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1570" windowHeight="7980" tabRatio="941"/>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31'!$A$1:$F$41</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5" i="181"/>
  <c r="G35" i="181" s="1"/>
  <c r="E35" i="181"/>
  <c r="F34" i="181"/>
  <c r="G34" i="181" s="1"/>
  <c r="E34" i="181"/>
  <c r="F33" i="181"/>
  <c r="G33" i="181" s="1"/>
  <c r="E33" i="181"/>
  <c r="F32" i="181"/>
  <c r="G32" i="181" s="1"/>
  <c r="E32" i="181"/>
  <c r="F31" i="181"/>
  <c r="G31" i="181" s="1"/>
  <c r="E31" i="181"/>
  <c r="F30" i="181"/>
  <c r="G30" i="181" s="1"/>
  <c r="E30" i="181"/>
  <c r="F29" i="181"/>
  <c r="G29" i="181" s="1"/>
  <c r="E29" i="181"/>
  <c r="E28" i="181"/>
  <c r="F28" i="181" s="1"/>
  <c r="G28" i="181" s="1"/>
  <c r="F27" i="181"/>
  <c r="G27" i="181" s="1"/>
  <c r="E27" i="181"/>
  <c r="F26" i="181"/>
  <c r="G26" i="181" s="1"/>
  <c r="E26" i="181"/>
  <c r="F25" i="181"/>
  <c r="G25" i="181" s="1"/>
  <c r="E25" i="181"/>
  <c r="F24" i="181"/>
  <c r="G24" i="181" s="1"/>
  <c r="E24" i="181"/>
  <c r="E23" i="181"/>
  <c r="F23" i="181" s="1"/>
  <c r="G23" i="181" s="1"/>
  <c r="F22" i="181"/>
  <c r="G22" i="181" s="1"/>
  <c r="E22" i="181"/>
  <c r="F21" i="181"/>
  <c r="G21" i="181" s="1"/>
  <c r="E21" i="181"/>
  <c r="F20" i="181"/>
  <c r="G20" i="181" s="1"/>
  <c r="E20" i="181"/>
  <c r="F36" i="181"/>
  <c r="G36" i="181" s="1"/>
  <c r="E36" i="181"/>
  <c r="E19" i="181"/>
  <c r="F19" i="181" s="1"/>
  <c r="G19" i="181" s="1"/>
  <c r="E18" i="181"/>
  <c r="F18" i="181" s="1"/>
  <c r="G18" i="181" s="1"/>
  <c r="D37" i="181" l="1"/>
  <c r="D80" i="36" l="1"/>
  <c r="B7797" i="106"/>
  <c r="E37" i="181"/>
  <c r="E17" i="181"/>
  <c r="E16" i="181"/>
  <c r="F16" i="181" s="1"/>
  <c r="G16" i="181" s="1"/>
  <c r="F17" i="181" l="1"/>
  <c r="G17" i="181" s="1"/>
  <c r="G37" i="181" s="1"/>
  <c r="G40" i="108" l="1"/>
  <c r="B7799" i="106"/>
  <c r="F37"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I24" i="12" s="1"/>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B6286" i="106" s="1"/>
  <c r="D6286" i="106" s="1"/>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s="1"/>
  <c r="B5104" i="106"/>
  <c r="D5104" i="106"/>
  <c r="B5105" i="106"/>
  <c r="D5105" i="106" s="1"/>
  <c r="B5106" i="106"/>
  <c r="D5106" i="106"/>
  <c r="B5107" i="106"/>
  <c r="D5107" i="106" s="1"/>
  <c r="B5108" i="106"/>
  <c r="D5108" i="106"/>
  <c r="B5109" i="106"/>
  <c r="D5109" i="106" s="1"/>
  <c r="B5110" i="106"/>
  <c r="D5110" i="106" s="1"/>
  <c r="B5111" i="106"/>
  <c r="D5111" i="106"/>
  <c r="B5113" i="106"/>
  <c r="D5113" i="106" s="1"/>
  <c r="B5114" i="106"/>
  <c r="D5114" i="106" s="1"/>
  <c r="B5115" i="106"/>
  <c r="D5115" i="106" s="1"/>
  <c r="B5116" i="106"/>
  <c r="D5116" i="106" s="1"/>
  <c r="B5117" i="106"/>
  <c r="D5117" i="106"/>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s="1"/>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s="1"/>
  <c r="D5460" i="106"/>
  <c r="D5461" i="106"/>
  <c r="B5462" i="106"/>
  <c r="D5462" i="106" s="1"/>
  <c r="B5463" i="106"/>
  <c r="D5463" i="106"/>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c r="B6302" i="106"/>
  <c r="D6302" i="106" s="1"/>
  <c r="B6303" i="106"/>
  <c r="D6303" i="106"/>
  <c r="B6304" i="106"/>
  <c r="D6304" i="106" s="1"/>
  <c r="B6305" i="106"/>
  <c r="D6305" i="106"/>
  <c r="B6307" i="106"/>
  <c r="D6307" i="106" s="1"/>
  <c r="B6308" i="106"/>
  <c r="D6308" i="106"/>
  <c r="B6309" i="106"/>
  <c r="D6309" i="106" s="1"/>
  <c r="B6310" i="106"/>
  <c r="D6310" i="106"/>
  <c r="B6311" i="106"/>
  <c r="D6311" i="106" s="1"/>
  <c r="B6312" i="106"/>
  <c r="D6312" i="106"/>
  <c r="B6313" i="106"/>
  <c r="D6313" i="106" s="1"/>
  <c r="B6314" i="106"/>
  <c r="D6314" i="106"/>
  <c r="B6315" i="106"/>
  <c r="D6315" i="106" s="1"/>
  <c r="B6316" i="106"/>
  <c r="D6316" i="106" s="1"/>
  <c r="B6317" i="106"/>
  <c r="D6317" i="106" s="1"/>
  <c r="B6319" i="106"/>
  <c r="D6319" i="106" s="1"/>
  <c r="B6320" i="106"/>
  <c r="D6320" i="106" s="1"/>
  <c r="B6321" i="106"/>
  <c r="D6321" i="106" s="1"/>
  <c r="B6322" i="106"/>
  <c r="D6322" i="106"/>
  <c r="B6323" i="106"/>
  <c r="D6323" i="106" s="1"/>
  <c r="B6324" i="106"/>
  <c r="D6324" i="106"/>
  <c r="B6325" i="106"/>
  <c r="D6325" i="106" s="1"/>
  <c r="B6326" i="106"/>
  <c r="D6326" i="106"/>
  <c r="B6327" i="106"/>
  <c r="D6327" i="106" s="1"/>
  <c r="B6328" i="106"/>
  <c r="D6328" i="106"/>
  <c r="B6329" i="106"/>
  <c r="D6329" i="106" s="1"/>
  <c r="B6330" i="106"/>
  <c r="D6330" i="106"/>
  <c r="B6331" i="106"/>
  <c r="D6331" i="106" s="1"/>
  <c r="B6332" i="106"/>
  <c r="D6332" i="106"/>
  <c r="B6333" i="106"/>
  <c r="D6333" i="106" s="1"/>
  <c r="B6334" i="106"/>
  <c r="D6334" i="106"/>
  <c r="B6335" i="106"/>
  <c r="D6335" i="106" s="1"/>
  <c r="B6336" i="106"/>
  <c r="D6336" i="106"/>
  <c r="B6337" i="106"/>
  <c r="D6337" i="106" s="1"/>
  <c r="B6338" i="106"/>
  <c r="D6338" i="106"/>
  <c r="B6339" i="106"/>
  <c r="D6339" i="106" s="1"/>
  <c r="B6340" i="106"/>
  <c r="D6340" i="106" s="1"/>
  <c r="B6341" i="106"/>
  <c r="D6341" i="106"/>
  <c r="B6342" i="106"/>
  <c r="D6342" i="106" s="1"/>
  <c r="B6343" i="106"/>
  <c r="D6343" i="106"/>
  <c r="B6344" i="106"/>
  <c r="D6344" i="106" s="1"/>
  <c r="B6345" i="106"/>
  <c r="D6345" i="106" s="1"/>
  <c r="B6346" i="106"/>
  <c r="D6346" i="106" s="1"/>
  <c r="B6347" i="106"/>
  <c r="D6347" i="106" s="1"/>
  <c r="B6348" i="106"/>
  <c r="D6348" i="106" s="1"/>
  <c r="B6349" i="106"/>
  <c r="D6349" i="106"/>
  <c r="B6350" i="106"/>
  <c r="D6350" i="106" s="1"/>
  <c r="B6353" i="106"/>
  <c r="D6353" i="106"/>
  <c r="B6354" i="106"/>
  <c r="D6354" i="106" s="1"/>
  <c r="B6355" i="106"/>
  <c r="D6355" i="106" s="1"/>
  <c r="B6356" i="106"/>
  <c r="D6356" i="106" s="1"/>
  <c r="B6358" i="106"/>
  <c r="D6358" i="106" s="1"/>
  <c r="B6359" i="106"/>
  <c r="D6359" i="106" s="1"/>
  <c r="B6360" i="106"/>
  <c r="D6360" i="106"/>
  <c r="B6361" i="106"/>
  <c r="D6361" i="106" s="1"/>
  <c r="B6362" i="106"/>
  <c r="D6362" i="106"/>
  <c r="B6363" i="106"/>
  <c r="D6363" i="106" s="1"/>
  <c r="B6364" i="106"/>
  <c r="D6364" i="106"/>
  <c r="B6365" i="106"/>
  <c r="D6365" i="106" s="1"/>
  <c r="B6366" i="106"/>
  <c r="D6366" i="106"/>
  <c r="B6367" i="106"/>
  <c r="D6367" i="106" s="1"/>
  <c r="B6368" i="106"/>
  <c r="D6368" i="106"/>
  <c r="B6369" i="106"/>
  <c r="D6369" i="106" s="1"/>
  <c r="B6370" i="106"/>
  <c r="D6370" i="106"/>
  <c r="B6371" i="106"/>
  <c r="D6371" i="106" s="1"/>
  <c r="B6372" i="106"/>
  <c r="D6372" i="106"/>
  <c r="B6373" i="106"/>
  <c r="D6373" i="106" s="1"/>
  <c r="B6374" i="106"/>
  <c r="D6374" i="106"/>
  <c r="B6375" i="106"/>
  <c r="D6375" i="106" s="1"/>
  <c r="B6376" i="106"/>
  <c r="D6376" i="106"/>
  <c r="B6377" i="106"/>
  <c r="D6377" i="106" s="1"/>
  <c r="B6378" i="106"/>
  <c r="D6378" i="106"/>
  <c r="B6379" i="106"/>
  <c r="D6379" i="106" s="1"/>
  <c r="B6380" i="106"/>
  <c r="D6380" i="106"/>
  <c r="B6381" i="106"/>
  <c r="D6381" i="106" s="1"/>
  <c r="B6382" i="106"/>
  <c r="D6382" i="106"/>
  <c r="B6383" i="106"/>
  <c r="D6383" i="106" s="1"/>
  <c r="B6384" i="106"/>
  <c r="D6384" i="106"/>
  <c r="B6385" i="106"/>
  <c r="D6385" i="106" s="1"/>
  <c r="B6386" i="106"/>
  <c r="D6386" i="106"/>
  <c r="B6387" i="106"/>
  <c r="D6387" i="106" s="1"/>
  <c r="B6388" i="106"/>
  <c r="D6388" i="106"/>
  <c r="B6389" i="106"/>
  <c r="D6389" i="106" s="1"/>
  <c r="B6390" i="106"/>
  <c r="D6390" i="106"/>
  <c r="B6391" i="106"/>
  <c r="D6391" i="106" s="1"/>
  <c r="B6392" i="106"/>
  <c r="D6392" i="106"/>
  <c r="B6393" i="106"/>
  <c r="D6393" i="106" s="1"/>
  <c r="B6394" i="106"/>
  <c r="D6394" i="106"/>
  <c r="B6395" i="106"/>
  <c r="D6395" i="106" s="1"/>
  <c r="B6398" i="106"/>
  <c r="D6398" i="106"/>
  <c r="B6399" i="106"/>
  <c r="D6399" i="106" s="1"/>
  <c r="B6401" i="106"/>
  <c r="D6401" i="106"/>
  <c r="B6402" i="106"/>
  <c r="D6402" i="106" s="1"/>
  <c r="B6403" i="106"/>
  <c r="D6403" i="106"/>
  <c r="B6404" i="106"/>
  <c r="D6404" i="106" s="1"/>
  <c r="B6405" i="106"/>
  <c r="D6405" i="106"/>
  <c r="B6406" i="106"/>
  <c r="D6406" i="106" s="1"/>
  <c r="B6407" i="106"/>
  <c r="D6407" i="106"/>
  <c r="B6408" i="106"/>
  <c r="D6408" i="106" s="1"/>
  <c r="B6410" i="106"/>
  <c r="D6410" i="106"/>
  <c r="B6411" i="106"/>
  <c r="D6411" i="106" s="1"/>
  <c r="B6412" i="106"/>
  <c r="D6412" i="106"/>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c r="B6616" i="106"/>
  <c r="D6616" i="106" s="1"/>
  <c r="B6617" i="106"/>
  <c r="D6617" i="106"/>
  <c r="B6618" i="106"/>
  <c r="D6618" i="106" s="1"/>
  <c r="B6619" i="106"/>
  <c r="D6619" i="106"/>
  <c r="B6620" i="106"/>
  <c r="D6620" i="106" s="1"/>
  <c r="B6621" i="106"/>
  <c r="D6621" i="106"/>
  <c r="B6622" i="106"/>
  <c r="D6622" i="106" s="1"/>
  <c r="B6623" i="106"/>
  <c r="D6623" i="106"/>
  <c r="B6624" i="106"/>
  <c r="D6624" i="106" s="1"/>
  <c r="B6625" i="106"/>
  <c r="D6625" i="106"/>
  <c r="B6626" i="106"/>
  <c r="D6626" i="106" s="1"/>
  <c r="B6627" i="106"/>
  <c r="D6627" i="106"/>
  <c r="B6628" i="106"/>
  <c r="D6628" i="106" s="1"/>
  <c r="B6629" i="106"/>
  <c r="D6629" i="106"/>
  <c r="B6630" i="106"/>
  <c r="D6630" i="106" s="1"/>
  <c r="B6631" i="106"/>
  <c r="D6631" i="106"/>
  <c r="B6632" i="106"/>
  <c r="D6632" i="106" s="1"/>
  <c r="B6633" i="106"/>
  <c r="D6633" i="106"/>
  <c r="B6634" i="106"/>
  <c r="D6634" i="106" s="1"/>
  <c r="B6635" i="106"/>
  <c r="D6635" i="106"/>
  <c r="B6636" i="106"/>
  <c r="D6636" i="106" s="1"/>
  <c r="B6637" i="106"/>
  <c r="D6637" i="106"/>
  <c r="B6638" i="106"/>
  <c r="D6638" i="106" s="1"/>
  <c r="B6639" i="106"/>
  <c r="D6639" i="106"/>
  <c r="B6640" i="106"/>
  <c r="D6640" i="106" s="1"/>
  <c r="B6641" i="106"/>
  <c r="D6641" i="106"/>
  <c r="B6642" i="106"/>
  <c r="D6642" i="106" s="1"/>
  <c r="B6643" i="106"/>
  <c r="D6643" i="106"/>
  <c r="B6644" i="106"/>
  <c r="D6644" i="106" s="1"/>
  <c r="B6645" i="106"/>
  <c r="D6645" i="106"/>
  <c r="B6646" i="106"/>
  <c r="D6646" i="106" s="1"/>
  <c r="B6647" i="106"/>
  <c r="D6647" i="106"/>
  <c r="B6648" i="106"/>
  <c r="D6648" i="106" s="1"/>
  <c r="B6649" i="106"/>
  <c r="D6649" i="106"/>
  <c r="B6650" i="106"/>
  <c r="D6650" i="106" s="1"/>
  <c r="B6651" i="106"/>
  <c r="D6651" i="106"/>
  <c r="B6652" i="106"/>
  <c r="D6652" i="106" s="1"/>
  <c r="B6653" i="106"/>
  <c r="D6653" i="106"/>
  <c r="B6654" i="106"/>
  <c r="D6654" i="106" s="1"/>
  <c r="B6655" i="106"/>
  <c r="D6655" i="106"/>
  <c r="B6656" i="106"/>
  <c r="D6656" i="106" s="1"/>
  <c r="B6657" i="106"/>
  <c r="D6657" i="106"/>
  <c r="B6658" i="106"/>
  <c r="D6658" i="106" s="1"/>
  <c r="B6659" i="106"/>
  <c r="D6659" i="106"/>
  <c r="B6660" i="106"/>
  <c r="D6660" i="106" s="1"/>
  <c r="B6661" i="106"/>
  <c r="D6661" i="106"/>
  <c r="B6662" i="106"/>
  <c r="D6662" i="106" s="1"/>
  <c r="B6663" i="106"/>
  <c r="D6663" i="106"/>
  <c r="B6664" i="106"/>
  <c r="D6664" i="106" s="1"/>
  <c r="B6665" i="106"/>
  <c r="D6665" i="106"/>
  <c r="B6666" i="106"/>
  <c r="D6666" i="106" s="1"/>
  <c r="B6667" i="106"/>
  <c r="D6667" i="106"/>
  <c r="B6668" i="106"/>
  <c r="D6668" i="106" s="1"/>
  <c r="B6669" i="106"/>
  <c r="D6669" i="106"/>
  <c r="B6670" i="106"/>
  <c r="D6670" i="106" s="1"/>
  <c r="B6671" i="106"/>
  <c r="D6671" i="106"/>
  <c r="B6672" i="106"/>
  <c r="D6672" i="106" s="1"/>
  <c r="B6673" i="106"/>
  <c r="D6673" i="106"/>
  <c r="B6674" i="106"/>
  <c r="D6674" i="106" s="1"/>
  <c r="B6675" i="106"/>
  <c r="D6675" i="106"/>
  <c r="B6676" i="106"/>
  <c r="D6676" i="106" s="1"/>
  <c r="B6677" i="106"/>
  <c r="D6677" i="106"/>
  <c r="B6678" i="106"/>
  <c r="D6678" i="106" s="1"/>
  <c r="B6679" i="106"/>
  <c r="D6679" i="106"/>
  <c r="B6680" i="106"/>
  <c r="D6680" i="106" s="1"/>
  <c r="B6681" i="106"/>
  <c r="D6681" i="106"/>
  <c r="B6682" i="106"/>
  <c r="D6682" i="106" s="1"/>
  <c r="B6683" i="106"/>
  <c r="D6683" i="106"/>
  <c r="B6684" i="106"/>
  <c r="D6684" i="106" s="1"/>
  <c r="B6685" i="106"/>
  <c r="D6685" i="106"/>
  <c r="B6686" i="106"/>
  <c r="D6686" i="106" s="1"/>
  <c r="B6687" i="106"/>
  <c r="D6687" i="106"/>
  <c r="B6688" i="106"/>
  <c r="D6688" i="106" s="1"/>
  <c r="B6689" i="106"/>
  <c r="D6689" i="106"/>
  <c r="B6690" i="106"/>
  <c r="D6690" i="106" s="1"/>
  <c r="B6691" i="106"/>
  <c r="D6691" i="106"/>
  <c r="B6692" i="106"/>
  <c r="D6692" i="106" s="1"/>
  <c r="B6693" i="106"/>
  <c r="D6693" i="106"/>
  <c r="B6694" i="106"/>
  <c r="D6694" i="106" s="1"/>
  <c r="B6695" i="106"/>
  <c r="D6695" i="106"/>
  <c r="B6696" i="106"/>
  <c r="D6696" i="106" s="1"/>
  <c r="B6697" i="106"/>
  <c r="D6697" i="106"/>
  <c r="B6698" i="106"/>
  <c r="D6698" i="106" s="1"/>
  <c r="B6699" i="106"/>
  <c r="D6699" i="106"/>
  <c r="B6700" i="106"/>
  <c r="D6700" i="106" s="1"/>
  <c r="B6701" i="106"/>
  <c r="D6701" i="106"/>
  <c r="B6702" i="106"/>
  <c r="D6702" i="106" s="1"/>
  <c r="B6703" i="106"/>
  <c r="D6703" i="106"/>
  <c r="B6704" i="106"/>
  <c r="D6704" i="106" s="1"/>
  <c r="B6705" i="106"/>
  <c r="D6705" i="106"/>
  <c r="B6706" i="106"/>
  <c r="D6706" i="106" s="1"/>
  <c r="B6707" i="106"/>
  <c r="D6707" i="106"/>
  <c r="B6708" i="106"/>
  <c r="D6708" i="106" s="1"/>
  <c r="B6709" i="106"/>
  <c r="D6709" i="106"/>
  <c r="B6710" i="106"/>
  <c r="D6710" i="106" s="1"/>
  <c r="B6711" i="106"/>
  <c r="D6711" i="106"/>
  <c r="B6712" i="106"/>
  <c r="D6712" i="106" s="1"/>
  <c r="B6713" i="106"/>
  <c r="D6713" i="106"/>
  <c r="B6714" i="106"/>
  <c r="D6714" i="106" s="1"/>
  <c r="B6715" i="106"/>
  <c r="D6715" i="106"/>
  <c r="B6716" i="106"/>
  <c r="D6716" i="106" s="1"/>
  <c r="B6717" i="106"/>
  <c r="D6717" i="106"/>
  <c r="B6718" i="106"/>
  <c r="D6718" i="106" s="1"/>
  <c r="B6719" i="106"/>
  <c r="D6719" i="106"/>
  <c r="B6720" i="106"/>
  <c r="D6720" i="106" s="1"/>
  <c r="B6721" i="106"/>
  <c r="D6721" i="106"/>
  <c r="B6722" i="106"/>
  <c r="D6722" i="106" s="1"/>
  <c r="B6723" i="106"/>
  <c r="D6723" i="106"/>
  <c r="B6724" i="106"/>
  <c r="D6724" i="106" s="1"/>
  <c r="B6725" i="106"/>
  <c r="D6725" i="106"/>
  <c r="B6726" i="106"/>
  <c r="D6726" i="106" s="1"/>
  <c r="B6727" i="106"/>
  <c r="D6727" i="106" s="1"/>
  <c r="B6728" i="106"/>
  <c r="D6728" i="106"/>
  <c r="B6729" i="106"/>
  <c r="D6729" i="106" s="1"/>
  <c r="B6730" i="106"/>
  <c r="D6730" i="106"/>
  <c r="B6731" i="106"/>
  <c r="D6731" i="106" s="1"/>
  <c r="B6732" i="106"/>
  <c r="D6732" i="106"/>
  <c r="B6733" i="106"/>
  <c r="D6733" i="106" s="1"/>
  <c r="B6734" i="106"/>
  <c r="D6734" i="106"/>
  <c r="B6735" i="106"/>
  <c r="D6735" i="106" s="1"/>
  <c r="B6736" i="106"/>
  <c r="D6736" i="106"/>
  <c r="B6737" i="106"/>
  <c r="D6737" i="106" s="1"/>
  <c r="B6738" i="106"/>
  <c r="D6738" i="106"/>
  <c r="B6739" i="106"/>
  <c r="D6739" i="106" s="1"/>
  <c r="B6740" i="106"/>
  <c r="D6740" i="106"/>
  <c r="B6741" i="106"/>
  <c r="D6741" i="106" s="1"/>
  <c r="B6742" i="106"/>
  <c r="D6742" i="106"/>
  <c r="B6743" i="106"/>
  <c r="D6743" i="106" s="1"/>
  <c r="B6744" i="106"/>
  <c r="D6744" i="106"/>
  <c r="B6745" i="106"/>
  <c r="D6745" i="106" s="1"/>
  <c r="B6746" i="106"/>
  <c r="D6746" i="106"/>
  <c r="B6747" i="106"/>
  <c r="D6747" i="106" s="1"/>
  <c r="B6748" i="106"/>
  <c r="D6748" i="106"/>
  <c r="B6749" i="106"/>
  <c r="D6749" i="106" s="1"/>
  <c r="B6750" i="106"/>
  <c r="D6750" i="106"/>
  <c r="B6751" i="106"/>
  <c r="D6751" i="106" s="1"/>
  <c r="B6752" i="106"/>
  <c r="D6752" i="106"/>
  <c r="B6753" i="106"/>
  <c r="D6753" i="106" s="1"/>
  <c r="B6754" i="106"/>
  <c r="D6754" i="106"/>
  <c r="B6755" i="106"/>
  <c r="D6755" i="106" s="1"/>
  <c r="B6756" i="106"/>
  <c r="D6756" i="106"/>
  <c r="B6757" i="106"/>
  <c r="D6757" i="106" s="1"/>
  <c r="B6758" i="106"/>
  <c r="D6758" i="106"/>
  <c r="B6759" i="106"/>
  <c r="D6759" i="106" s="1"/>
  <c r="B6760" i="106"/>
  <c r="D6760" i="106"/>
  <c r="B6761" i="106"/>
  <c r="D6761" i="106" s="1"/>
  <c r="B6762" i="106"/>
  <c r="D6762" i="106"/>
  <c r="B6763" i="106"/>
  <c r="D6763" i="106" s="1"/>
  <c r="B6764" i="106"/>
  <c r="D6764" i="106"/>
  <c r="B6765" i="106"/>
  <c r="D6765" i="106" s="1"/>
  <c r="B6766" i="106"/>
  <c r="D6766" i="106"/>
  <c r="B6767" i="106"/>
  <c r="D6767" i="106" s="1"/>
  <c r="B6768" i="106"/>
  <c r="D6768" i="106"/>
  <c r="B6769" i="106"/>
  <c r="D6769" i="106" s="1"/>
  <c r="B6770" i="106"/>
  <c r="D6770" i="106"/>
  <c r="B6771" i="106"/>
  <c r="D6771" i="106" s="1"/>
  <c r="B6772" i="106"/>
  <c r="D6772" i="106"/>
  <c r="B6773" i="106"/>
  <c r="D6773" i="106" s="1"/>
  <c r="B6774" i="106"/>
  <c r="D6774" i="106"/>
  <c r="B6775" i="106"/>
  <c r="D6775" i="106" s="1"/>
  <c r="B6776" i="106"/>
  <c r="D6776" i="106"/>
  <c r="B6777" i="106"/>
  <c r="D6777" i="106" s="1"/>
  <c r="B6778" i="106"/>
  <c r="D6778" i="106"/>
  <c r="B6779" i="106"/>
  <c r="D6779" i="106" s="1"/>
  <c r="B6780" i="106"/>
  <c r="D6780" i="106"/>
  <c r="B6781" i="106"/>
  <c r="D6781" i="106" s="1"/>
  <c r="B6782" i="106"/>
  <c r="D6782" i="106"/>
  <c r="B6783" i="106"/>
  <c r="D6783" i="106" s="1"/>
  <c r="B6784" i="106"/>
  <c r="D6784" i="106"/>
  <c r="B6785" i="106"/>
  <c r="D6785" i="106" s="1"/>
  <c r="B6786" i="106"/>
  <c r="D6786" i="106"/>
  <c r="B6787" i="106"/>
  <c r="D6787" i="106" s="1"/>
  <c r="B6788" i="106"/>
  <c r="D6788" i="106"/>
  <c r="B6789" i="106"/>
  <c r="D6789" i="106" s="1"/>
  <c r="B6790" i="106"/>
  <c r="D6790" i="106"/>
  <c r="B6791" i="106"/>
  <c r="D6791" i="106" s="1"/>
  <c r="B6792" i="106"/>
  <c r="D6792" i="106"/>
  <c r="B6793" i="106"/>
  <c r="D6793" i="106" s="1"/>
  <c r="B6794" i="106"/>
  <c r="D6794" i="106"/>
  <c r="B6795" i="106"/>
  <c r="D6795" i="106" s="1"/>
  <c r="B6796" i="106"/>
  <c r="D6796" i="106"/>
  <c r="B6797" i="106"/>
  <c r="D6797" i="106" s="1"/>
  <c r="B6798" i="106"/>
  <c r="D6798" i="106"/>
  <c r="B6799" i="106"/>
  <c r="D6799" i="106" s="1"/>
  <c r="B6800" i="106"/>
  <c r="D6800" i="106"/>
  <c r="B6801" i="106"/>
  <c r="D6801" i="106" s="1"/>
  <c r="B6802" i="106"/>
  <c r="D6802" i="106"/>
  <c r="B6803" i="106"/>
  <c r="D6803" i="106" s="1"/>
  <c r="B6804" i="106"/>
  <c r="D6804" i="106"/>
  <c r="B6805" i="106"/>
  <c r="D6805" i="106" s="1"/>
  <c r="B6806" i="106"/>
  <c r="D6806" i="106"/>
  <c r="B6807" i="106"/>
  <c r="D6807" i="106" s="1"/>
  <c r="B6808" i="106"/>
  <c r="D6808" i="106"/>
  <c r="B6809" i="106"/>
  <c r="D6809" i="106" s="1"/>
  <c r="B6810" i="106"/>
  <c r="D6810" i="106"/>
  <c r="B6811" i="106"/>
  <c r="D6811" i="106" s="1"/>
  <c r="B6812" i="106"/>
  <c r="D6812" i="106"/>
  <c r="B6813" i="106"/>
  <c r="D6813" i="106" s="1"/>
  <c r="B6814" i="106"/>
  <c r="D6814" i="106"/>
  <c r="B6815" i="106"/>
  <c r="D6815" i="106" s="1"/>
  <c r="B6816" i="106"/>
  <c r="D6816" i="106"/>
  <c r="B6817" i="106"/>
  <c r="D6817" i="106" s="1"/>
  <c r="B6818" i="106"/>
  <c r="D6818" i="106"/>
  <c r="B6819" i="106"/>
  <c r="D6819" i="106" s="1"/>
  <c r="B6820" i="106"/>
  <c r="D6820" i="106"/>
  <c r="B6821" i="106"/>
  <c r="D6821" i="106" s="1"/>
  <c r="B6822" i="106"/>
  <c r="D6822" i="106"/>
  <c r="B6823" i="106"/>
  <c r="D6823" i="106" s="1"/>
  <c r="B6824" i="106"/>
  <c r="D6824" i="106"/>
  <c r="B6825" i="106"/>
  <c r="D6825" i="106" s="1"/>
  <c r="B6826" i="106"/>
  <c r="D6826" i="106"/>
  <c r="B6827" i="106"/>
  <c r="D6827" i="106" s="1"/>
  <c r="B6828" i="106"/>
  <c r="D6828" i="106"/>
  <c r="B6829" i="106"/>
  <c r="D6829" i="106" s="1"/>
  <c r="B6830" i="106"/>
  <c r="D6830" i="106"/>
  <c r="B6831" i="106"/>
  <c r="D6831" i="106" s="1"/>
  <c r="B6832" i="106"/>
  <c r="D6832" i="106"/>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90" i="106"/>
  <c r="D6890" i="106" s="1"/>
  <c r="K27" i="29"/>
  <c r="B6891" i="106" s="1"/>
  <c r="D6891" i="106" s="1"/>
  <c r="B6892" i="106"/>
  <c r="D6892" i="106" s="1"/>
  <c r="K28" i="29"/>
  <c r="B6894" i="106"/>
  <c r="D6894" i="106" s="1"/>
  <c r="K29" i="29"/>
  <c r="B6895" i="106" s="1"/>
  <c r="D6895" i="106" s="1"/>
  <c r="B6896" i="106"/>
  <c r="D6896" i="106" s="1"/>
  <c r="K30" i="29"/>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s="1"/>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E28" i="108"/>
  <c r="F28" i="108"/>
  <c r="F31" i="108"/>
  <c r="F36" i="108"/>
  <c r="F37" i="108"/>
  <c r="G28" i="108"/>
  <c r="E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s="1"/>
  <c r="D5066" i="106" s="1"/>
  <c r="D12" i="5"/>
  <c r="B5334" i="106"/>
  <c r="D5334" i="106" s="1"/>
  <c r="E12" i="5"/>
  <c r="B5513" i="106" s="1"/>
  <c r="D5513" i="106" s="1"/>
  <c r="F12" i="5"/>
  <c r="B5557" i="106" s="1"/>
  <c r="D5557" i="106" s="1"/>
  <c r="G12" i="5"/>
  <c r="B5725" i="106" s="1"/>
  <c r="D5725" i="106" s="1"/>
  <c r="H12" i="5"/>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s="1"/>
  <c r="D5730" i="106" s="1"/>
  <c r="H18" i="5"/>
  <c r="B5878" i="106"/>
  <c r="D5878" i="106" s="1"/>
  <c r="I18" i="5"/>
  <c r="B5923" i="106" s="1"/>
  <c r="D5923" i="106" s="1"/>
  <c r="J18" i="5"/>
  <c r="B6306" i="106"/>
  <c r="D6306" i="106" s="1"/>
  <c r="K18" i="5"/>
  <c r="B5992" i="106" s="1"/>
  <c r="D5992" i="106" s="1"/>
  <c r="C40" i="5"/>
  <c r="B5087" i="106"/>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C121" i="5"/>
  <c r="B5132" i="106" s="1"/>
  <c r="D5132" i="106" s="1"/>
  <c r="D121" i="5"/>
  <c r="B5367" i="106" s="1"/>
  <c r="D5367" i="106" s="1"/>
  <c r="E121" i="5"/>
  <c r="B5534" i="106" s="1"/>
  <c r="D5534" i="106" s="1"/>
  <c r="F121" i="5"/>
  <c r="B5599" i="106" s="1"/>
  <c r="D5599" i="106" s="1"/>
  <c r="F131" i="5"/>
  <c r="F154" i="5"/>
  <c r="F172" i="5" s="1"/>
  <c r="B5644" i="106" s="1"/>
  <c r="D5644" i="106" s="1"/>
  <c r="G121" i="5"/>
  <c r="B5748" i="106"/>
  <c r="D5748" i="106" s="1"/>
  <c r="H121" i="5"/>
  <c r="B5893" i="106" s="1"/>
  <c r="D5893" i="106" s="1"/>
  <c r="J121" i="5"/>
  <c r="B6357" i="106" s="1"/>
  <c r="D6357" i="106" s="1"/>
  <c r="K121" i="5"/>
  <c r="C131" i="5"/>
  <c r="B5147" i="106" s="1"/>
  <c r="D5147" i="106" s="1"/>
  <c r="D131" i="5"/>
  <c r="B5369" i="106" s="1"/>
  <c r="D5369" i="106" s="1"/>
  <c r="B5614" i="106"/>
  <c r="D5614" i="106" s="1"/>
  <c r="C140" i="5"/>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s="1"/>
  <c r="D4951" i="106" s="1"/>
  <c r="C184" i="5"/>
  <c r="B5232" i="106"/>
  <c r="D5232" i="106" s="1"/>
  <c r="D184" i="5"/>
  <c r="F184" i="5"/>
  <c r="B5658" i="106"/>
  <c r="D5658" i="106" s="1"/>
  <c r="G184" i="5"/>
  <c r="B5784" i="106" s="1"/>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F131" i="34" s="1"/>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G228" i="5"/>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H22" i="37"/>
  <c r="J22" i="37"/>
  <c r="L22" i="37"/>
  <c r="D24" i="37"/>
  <c r="B4270" i="106" s="1"/>
  <c r="D4270" i="106" s="1"/>
  <c r="L5" i="11"/>
  <c r="B2056" i="106" s="1"/>
  <c r="D2056" i="106" s="1"/>
  <c r="D5" i="7"/>
  <c r="B1761" i="106" s="1"/>
  <c r="D1761" i="106" s="1"/>
  <c r="D13" i="7"/>
  <c r="B3726" i="106" s="1"/>
  <c r="D3726" i="106" s="1"/>
  <c r="D9" i="7"/>
  <c r="B1767" i="106" s="1"/>
  <c r="D1767" i="106" s="1"/>
  <c r="F130" i="34"/>
  <c r="F111" i="34"/>
  <c r="B5847" i="106"/>
  <c r="D5847" i="106" s="1"/>
  <c r="H173" i="5"/>
  <c r="B5906" i="106" s="1"/>
  <c r="D5906" i="106" s="1"/>
  <c r="D17" i="7"/>
  <c r="B4104" i="106" s="1"/>
  <c r="D4104" i="106" s="1"/>
  <c r="D12" i="7"/>
  <c r="B1769" i="106" s="1"/>
  <c r="D1769" i="106" s="1"/>
  <c r="D11" i="7"/>
  <c r="B1768" i="106" s="1"/>
  <c r="D1768" i="106" s="1"/>
  <c r="G30" i="108" l="1"/>
  <c r="H6" i="4"/>
  <c r="B2656" i="106" s="1"/>
  <c r="D2656" i="106" s="1"/>
  <c r="G172" i="5"/>
  <c r="F41" i="34"/>
  <c r="F35" i="34"/>
  <c r="B7071" i="106"/>
  <c r="D7071" i="106" s="1"/>
  <c r="F66" i="34"/>
  <c r="J274" i="5"/>
  <c r="B7054" i="106" s="1"/>
  <c r="D7054" i="106" s="1"/>
  <c r="B7041" i="106"/>
  <c r="D7041" i="106" s="1"/>
  <c r="B6897" i="106"/>
  <c r="D6897" i="106" s="1"/>
  <c r="F49" i="34"/>
  <c r="B6889" i="106"/>
  <c r="D6889" i="106" s="1"/>
  <c r="F45" i="34"/>
  <c r="B5488" i="106"/>
  <c r="D5488" i="106" s="1"/>
  <c r="F136" i="34"/>
  <c r="B5741" i="106"/>
  <c r="D5741" i="106" s="1"/>
  <c r="G5" i="4"/>
  <c r="B3409" i="106" s="1"/>
  <c r="D3409" i="106" s="1"/>
  <c r="G352" i="29"/>
  <c r="B3647" i="106"/>
  <c r="D3647" i="106" s="1"/>
  <c r="B3254" i="106"/>
  <c r="D3254" i="106" s="1"/>
  <c r="F77" i="4"/>
  <c r="B3255" i="106" s="1"/>
  <c r="D3255" i="106" s="1"/>
  <c r="B1996" i="106"/>
  <c r="D1996" i="106" s="1"/>
  <c r="I26" i="12"/>
  <c r="B7741" i="106" s="1"/>
  <c r="D7741" i="106" s="1"/>
  <c r="F106" i="34"/>
  <c r="B6006" i="106"/>
  <c r="D6006" i="106" s="1"/>
  <c r="K173" i="5"/>
  <c r="K6" i="4" s="1"/>
  <c r="B3570" i="106" s="1"/>
  <c r="D3570" i="106" s="1"/>
  <c r="K274" i="5"/>
  <c r="K28" i="118"/>
  <c r="O27" i="118" s="1"/>
  <c r="O29" i="118" s="1"/>
  <c r="I274" i="5"/>
  <c r="F128" i="34"/>
  <c r="B5425" i="106"/>
  <c r="D5425" i="106" s="1"/>
  <c r="F127" i="34"/>
  <c r="B5873" i="106"/>
  <c r="D5873" i="106" s="1"/>
  <c r="H109" i="5"/>
  <c r="L367" i="29"/>
  <c r="B1756" i="106"/>
  <c r="D1756" i="106" s="1"/>
  <c r="D15" i="7"/>
  <c r="B1772" i="106" s="1"/>
  <c r="D1772" i="106" s="1"/>
  <c r="B1747" i="106"/>
  <c r="D1747" i="106" s="1"/>
  <c r="D7" i="7"/>
  <c r="B1763" i="106" s="1"/>
  <c r="D1763" i="106" s="1"/>
  <c r="J77" i="4"/>
  <c r="B6262" i="106" s="1"/>
  <c r="D6262" i="106" s="1"/>
  <c r="B3454" i="106"/>
  <c r="D3454" i="106" s="1"/>
  <c r="L15" i="11"/>
  <c r="B3459" i="106" s="1"/>
  <c r="D3459" i="106" s="1"/>
  <c r="B5752" i="106"/>
  <c r="D5752" i="106" s="1"/>
  <c r="D4" i="7"/>
  <c r="B1760" i="106" s="1"/>
  <c r="D1760" i="106" s="1"/>
  <c r="B6238" i="106"/>
  <c r="D6238" i="106" s="1"/>
  <c r="J41" i="3"/>
  <c r="E174" i="29"/>
  <c r="B1309" i="106" s="1"/>
  <c r="D1309" i="106" s="1"/>
  <c r="G15" i="145"/>
  <c r="K24" i="12"/>
  <c r="D6103" i="106"/>
  <c r="B3621" i="106"/>
  <c r="D3621" i="106" s="1"/>
  <c r="C367" i="29"/>
  <c r="B3622" i="106" s="1"/>
  <c r="D3622" i="106" s="1"/>
  <c r="H365" i="29"/>
  <c r="B7242" i="106" s="1"/>
  <c r="D7242" i="106" s="1"/>
  <c r="B3649" i="106"/>
  <c r="D3649" i="106" s="1"/>
  <c r="G367" i="29"/>
  <c r="K350" i="29"/>
  <c r="B3670" i="106" s="1"/>
  <c r="D3670" i="106" s="1"/>
  <c r="C342" i="29"/>
  <c r="B7216" i="106" s="1"/>
  <c r="D7216" i="106" s="1"/>
  <c r="B1410" i="106"/>
  <c r="D1410" i="106" s="1"/>
  <c r="G210" i="29"/>
  <c r="E29" i="108"/>
  <c r="K184" i="29"/>
  <c r="F13" i="4" s="1"/>
  <c r="B2596" i="106" s="1"/>
  <c r="D2596" i="106" s="1"/>
  <c r="G29" i="108"/>
  <c r="B1329" i="106"/>
  <c r="D1329" i="106" s="1"/>
  <c r="F61" i="34"/>
  <c r="C129" i="29"/>
  <c r="G109" i="5"/>
  <c r="B1746" i="106"/>
  <c r="D1746" i="106" s="1"/>
  <c r="D109" i="5"/>
  <c r="B5356" i="106" s="1"/>
  <c r="D5356" i="106" s="1"/>
  <c r="B5161" i="106"/>
  <c r="D5161" i="106" s="1"/>
  <c r="C172" i="5"/>
  <c r="B5214" i="106" s="1"/>
  <c r="D5214" i="106" s="1"/>
  <c r="C109" i="5"/>
  <c r="B5121" i="106" s="1"/>
  <c r="D5121" i="106" s="1"/>
  <c r="L13" i="11"/>
  <c r="B2060" i="106" s="1"/>
  <c r="D2060"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F275" i="5"/>
  <c r="J7" i="4"/>
  <c r="B2657" i="106"/>
  <c r="D2657" i="106" s="1"/>
  <c r="D274" i="5"/>
  <c r="B3447" i="106"/>
  <c r="D3447" i="106" s="1"/>
  <c r="B7270" i="106"/>
  <c r="B7733" i="106" l="1"/>
  <c r="D7733" i="106" s="1"/>
  <c r="K26" i="12"/>
  <c r="B7743" i="106" s="1"/>
  <c r="D7743" i="106" s="1"/>
  <c r="G173" i="5"/>
  <c r="B5770" i="106"/>
  <c r="D5770" i="106" s="1"/>
  <c r="B1317" i="106"/>
  <c r="D1317" i="106" s="1"/>
  <c r="B6025" i="106"/>
  <c r="D6025" i="106" s="1"/>
  <c r="H4" i="4"/>
  <c r="L16" i="11"/>
  <c r="B2061" i="106" s="1"/>
  <c r="D2061" i="106" s="1"/>
  <c r="C114" i="29"/>
  <c r="B757" i="106" s="1"/>
  <c r="D757" i="106" s="1"/>
  <c r="K352" i="29"/>
  <c r="K367" i="29" s="1"/>
  <c r="H367" i="29"/>
  <c r="B3660" i="106" s="1"/>
  <c r="D3660" i="106" s="1"/>
  <c r="K342" i="29"/>
  <c r="F13" i="34" s="1"/>
  <c r="B1365" i="106"/>
  <c r="D1365" i="106" s="1"/>
  <c r="F65" i="34"/>
  <c r="D19" i="7"/>
  <c r="B1775" i="106" s="1"/>
  <c r="D1775" i="106" s="1"/>
  <c r="B6024" i="106"/>
  <c r="D6024" i="106" s="1"/>
  <c r="G4" i="4"/>
  <c r="B2603" i="106" s="1"/>
  <c r="D2603" i="106" s="1"/>
  <c r="D4" i="4"/>
  <c r="B2564" i="106" s="1"/>
  <c r="D2564" i="106" s="1"/>
  <c r="C173" i="5"/>
  <c r="B5223" i="106" s="1"/>
  <c r="D5223"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B2655" i="106" l="1"/>
  <c r="D2655" i="106" s="1"/>
  <c r="H8" i="4"/>
  <c r="B5778" i="106"/>
  <c r="D5778" i="106" s="1"/>
  <c r="G6" i="4"/>
  <c r="B2604" i="106" s="1"/>
  <c r="D2604" i="106" s="1"/>
  <c r="K13" i="4"/>
  <c r="B3572" i="106" s="1"/>
  <c r="D3572" i="106" s="1"/>
  <c r="B3672" i="106"/>
  <c r="D3672" i="106" s="1"/>
  <c r="E41" i="108"/>
  <c r="E44" i="108" s="1"/>
  <c r="E45" i="108" s="1"/>
  <c r="G41" i="108"/>
  <c r="G44" i="108" s="1"/>
  <c r="G45" i="108" s="1"/>
  <c r="F8" i="4"/>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B2658" i="106" l="1"/>
  <c r="D2658" i="106" s="1"/>
  <c r="H10" i="4"/>
  <c r="B4127" i="106" s="1"/>
  <c r="D4127"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<sst xmlns="http://schemas.openxmlformats.org/spreadsheetml/2006/main" count="5053" uniqueCount="2123">
  <si>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</si>
  <si>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</si>
  <si>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</si>
  <si>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</si>
  <si>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</si>
  <si>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</si>
  <si>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</si>
  <si>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</si>
  <si>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</si>
  <si>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</si>
  <si>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</si>
  <si>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</si>
  <si>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</si>
  <si>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</si>
  <si>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</si>
  <si>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</si>
  <si>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</si>
  <si>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</si>
  <si>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</si>
  <si>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</si>
  <si>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</si>
  <si>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</si>
  <si>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</si>
  <si>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</si>
  <si>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</si>
  <si>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</si>
  <si>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</si>
  <si>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</si>
  <si>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</si>
  <si>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</si>
  <si>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</si>
  <si>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</si>
  <si>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</si>
  <si>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</si>
  <si>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</si>
  <si>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</si>
  <si>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</si>
  <si>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</si>
  <si>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</si>
  <si>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</si>
  <si>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</si>
  <si>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</si>
  <si>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</si>
  <si>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</si>
  <si>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</si>
  <si>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</si>
  <si>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</si>
  <si>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</si>
  <si>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</si>
  <si>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</si>
  <si>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</si>
  <si>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</si>
  <si>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</si>
  <si>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</si>
  <si>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</si>
  <si>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</si>
  <si>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</si>
  <si>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</si>
  <si>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</si>
  <si>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</si>
  <si>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</si>
  <si>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</si>
  <si>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</si>
  <si>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</si>
  <si>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</si>
  <si>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</si>
  <si>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</si>
  <si>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</si>
  <si>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</si>
  <si>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</si>
  <si>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</si>
  <si>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</si>
  <si>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</si>
  <si>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</si>
  <si>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</si>
  <si>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</si>
  <si>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</si>
  <si>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</si>
  <si>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</si>
  <si>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</si>
  <si>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</si>
  <si>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</si>
  <si>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</si>
  <si>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</si>
  <si>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</si>
  <si>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</si>
  <si>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</si>
  <si>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</si>
  <si>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</si>
  <si>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</si>
  <si>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</si>
  <si>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</si>
  <si>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</si>
  <si>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</si>
  <si>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</si>
  <si>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</si>
  <si>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</si>
  <si>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</si>
  <si>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</si>
  <si>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</si>
  <si>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</si>
  <si>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</si>
  <si>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</si>
  <si>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</si>
  <si>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</si>
  <si>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</si>
  <si>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</si>
  <si>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</si>
  <si>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</si>
  <si>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</si>
  <si>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</si>
  <si>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</si>
  <si>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</si>
  <si>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</si>
  <si>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</si>
  <si>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</si>
  <si>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</si>
  <si>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</si>
  <si>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</si>
  <si>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</si>
  <si>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</si>
  <si>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</si>
  <si>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</si>
  <si>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</si>
  <si>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</si>
  <si>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</si>
  <si>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</si>
  <si>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</si>
  <si>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</si>
  <si>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</si>
  <si>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</si>
  <si>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</si>
  <si>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</si>
  <si>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</si>
  <si>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</si>
  <si>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</si>
  <si>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</si>
  <si>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</si>
  <si>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</si>
  <si>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</si>
  <si>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</si>
  <si>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</si>
  <si>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</si>
  <si>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</si>
  <si>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</si>
  <si>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</si>
  <si>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</si>
  <si>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</si>
  <si>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</si>
  <si>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</si>
  <si>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</si>
  <si>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</si>
  <si>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</si>
  <si>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</si>
  <si>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</si>
  <si>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</si>
  <si>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</si>
  <si>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</si>
  <si>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</si>
  <si>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</si>
  <si>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</si>
  <si>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</si>
  <si>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</si>
  <si>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</si>
  <si>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</si>
  <si>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</si>
  <si>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</si>
  <si>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</si>
  <si>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</si>
  <si>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</si>
  <si>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</si>
  <si>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</si>
  <si>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</si>
  <si>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</si>
  <si>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</si>
  <si>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</si>
  <si>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</si>
  <si>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</si>
  <si>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</si>
  <si>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</si>
  <si>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</si>
  <si>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</si>
  <si>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</si>
  <si>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</si>
  <si>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</si>
  <si>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</si>
  <si>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</si>
  <si>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</si>
  <si>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</si>
  <si>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</si>
  <si>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</si>
  <si>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</si>
  <si>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</si>
  <si>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</si>
  <si>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</si>
  <si>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</si>
  <si>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</si>
  <si>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</si>
  <si>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</si>
  <si>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</si>
  <si>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</si>
  <si>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</si>
  <si>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</si>
  <si>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</si>
  <si>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</si>
  <si>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</si>
  <si>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</si>
  <si>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</si>
  <si>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</si>
  <si>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</si>
  <si>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</si>
  <si>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</si>
  <si>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</si>
  <si>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</si>
  <si>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</si>
  <si>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</si>
  <si>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</si>
  <si>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</si>
  <si>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</si>
  <si>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</si>
  <si>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</si>
  <si>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</si>
  <si>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</si>
  <si>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</si>
  <si>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</si>
  <si>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</si>
  <si>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</si>
  <si>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</si>
  <si>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</si>
  <si>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</si>
  <si>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</si>
  <si>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</si>
  <si>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</si>
  <si>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</si>
  <si>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</si>
  <si>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</si>
  <si>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</si>
  <si>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</si>
  <si>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</si>
  <si>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</si>
  <si>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</si>
  <si>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</si>
  <si>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</si>
  <si>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</si>
  <si>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</si>
  <si>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</si>
  <si>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</si>
  <si>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</si>
  <si>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</si>
  <si>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</si>
  <si>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</si>
  <si>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</si>
  <si>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</si>
  <si>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</si>
  <si>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</si>
  <si>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</si>
  <si>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</si>
  <si>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</si>
  <si>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</si>
  <si>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</si>
  <si>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</si>
  <si>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</si>
  <si>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</si>
  <si>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</si>
  <si>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</si>
  <si>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</si>
  <si>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</si>
  <si>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</si>
  <si>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</si>
  <si>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</si>
  <si>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</si>
  <si>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</si>
  <si>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</si>
  <si>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</si>
  <si>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</si>
  <si>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</si>
  <si>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</si>
  <si>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</si>
  <si>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</si>
  <si>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</si>
  <si>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</si>
  <si>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</si>
  <si>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</si>
  <si>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</si>
  <si>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</si>
  <si>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</si>
  <si>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</si>
  <si>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</si>
  <si>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</si>
  <si>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</si>
  <si>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</si>
  <si>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</si>
  <si>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</si>
  <si>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</si>
  <si>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</si>
  <si>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</si>
  <si>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</si>
  <si>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</si>
  <si>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</si>
  <si>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</si>
  <si>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</si>
  <si>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</si>
  <si>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</si>
  <si>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</si>
  <si>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</si>
  <si>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</si>
  <si>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</si>
  <si>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</si>
  <si>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</si>
  <si>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</si>
  <si>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</si>
  <si>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</si>
  <si>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</si>
  <si>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</si>
  <si>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</si>
  <si>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</si>
  <si>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</si>
  <si>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</si>
  <si>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</si>
  <si>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</si>
  <si>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</si>
  <si>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</si>
  <si>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</si>
  <si>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</si>
  <si>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</si>
  <si>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</si>
  <si>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</si>
  <si>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</si>
  <si>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</si>
  <si>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</si>
  <si>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</si>
  <si>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</si>
  <si>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</si>
  <si>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</si>
  <si>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</si>
  <si>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</si>
  <si>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</si>
  <si>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</si>
  <si>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</si>
  <si>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</si>
  <si>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</si>
  <si>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</si>
  <si>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</si>
  <si>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</si>
  <si>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</si>
  <si>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</si>
  <si>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</si>
  <si>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</si>
  <si>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</si>
  <si>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</si>
  <si>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</si>
  <si>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</si>
  <si>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</si>
  <si>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</si>
  <si>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</si>
  <si>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</si>
  <si>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</si>
  <si>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</si>
  <si>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</si>
  <si>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</si>
  <si>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</si>
  <si>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</si>
  <si>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</si>
  <si>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</si>
  <si>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</si>
  <si>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</si>
  <si>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</si>
  <si>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</si>
  <si>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</si>
  <si>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</si>
  <si>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</si>
  <si>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</si>
  <si>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</si>
  <si>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</si>
  <si>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</si>
  <si>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</si>
  <si>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</si>
  <si>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</si>
  <si>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</si>
  <si>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</si>
  <si>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</si>
  <si>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</si>
  <si>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</si>
  <si>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</si>
  <si>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</si>
  <si>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</si>
  <si>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</si>
  <si>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</si>
  <si>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</si>
  <si>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</si>
  <si>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</si>
  <si>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</si>
  <si>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</si>
  <si>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</si>
  <si>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</si>
  <si>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</si>
  <si>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</si>
  <si>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</si>
  <si>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</si>
  <si>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</si>
  <si>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</si>
  <si>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</si>
  <si>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</si>
  <si>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</si>
  <si>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</si>
  <si>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</si>
  <si>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</si>
  <si>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</si>
  <si>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</si>
  <si>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</si>
  <si>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</si>
  <si>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</si>
  <si>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</si>
  <si>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</si>
  <si>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</si>
  <si>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</si>
  <si>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</si>
  <si>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</si>
  <si>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</si>
  <si>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</si>
  <si>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</si>
  <si>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</si>
  <si>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</si>
  <si>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</si>
  <si>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</si>
  <si>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</si>
  <si>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</si>
  <si>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</si>
  <si>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</si>
  <si>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</si>
  <si>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</si>
  <si>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</si>
  <si>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</si>
  <si>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</si>
  <si>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</si>
  <si>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</si>
  <si>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</si>
  <si>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</si>
  <si>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</si>
  <si>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</si>
  <si>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</si>
  <si>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</si>
  <si>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</si>
  <si>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</si>
  <si>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</si>
  <si>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</si>
  <si>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</si>
  <si>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</si>
  <si>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</si>
  <si>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</si>
  <si>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</si>
  <si>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</si>
  <si>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</si>
  <si>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</si>
  <si>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</si>
  <si>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</si>
  <si>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</si>
  <si>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</si>
  <si>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</si>
  <si>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</si>
  <si>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</si>
  <si>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</si>
  <si>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</si>
  <si>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</si>
  <si>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</si>
  <si>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</si>
  <si>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</si>
  <si>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</si>
  <si>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</si>
  <si>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</si>
  <si>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</si>
  <si>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</si>
  <si>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</si>
  <si>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</si>
  <si>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</si>
  <si>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</si>
  <si>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</si>
  <si>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</si>
  <si>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</si>
  <si>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</si>
  <si>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</si>
  <si>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</si>
  <si>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</si>
  <si>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</si>
  <si>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</si>
  <si>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</si>
  <si>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</si>
  <si>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</si>
  <si>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</si>
  <si>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</si>
  <si>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</si>
  <si>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</si>
  <si>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</si>
  <si>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</si>
  <si>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</si>
  <si>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</si>
  <si>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</si>
  <si>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</si>
  <si>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</si>
  <si>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</si>
  <si>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</si>
  <si>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</si>
  <si>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</si>
  <si>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</si>
  <si>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</si>
  <si>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</si>
  <si>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</si>
  <si>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</si>
  <si>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</si>
  <si>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</si>
  <si>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</si>
  <si>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</si>
  <si>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</si>
  <si>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</si>
  <si>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</si>
  <si>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</si>
  <si>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</si>
  <si>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</si>
  <si>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</si>
  <si>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</si>
  <si>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</si>
  <si>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</si>
  <si>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</si>
  <si>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</si>
  <si>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</si>
  <si>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</si>
  <si>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</si>
  <si>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</si>
  <si>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</si>
  <si>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</si>
  <si>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</si>
  <si>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</si>
  <si>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</si>
  <si>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</si>
  <si>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</si>
  <si>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</si>
  <si>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</si>
  <si>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</si>
  <si>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</si>
  <si>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</si>
  <si>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</si>
  <si>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</si>
  <si>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</si>
  <si>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</si>
  <si>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</si>
  <si>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</si>
  <si>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</si>
  <si>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</si>
  <si>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</si>
  <si>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</si>
  <si>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</si>
  <si>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</si>
  <si>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</si>
  <si>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</si>
  <si>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</si>
  <si>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</si>
  <si>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</si>
  <si>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</si>
  <si>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</si>
  <si>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</si>
  <si>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</si>
  <si>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</si>
  <si>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</si>
  <si>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</si>
  <si>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</si>
  <si>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</si>
  <si>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</si>
  <si>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</si>
  <si>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</si>
  <si>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</si>
  <si>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</si>
  <si>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</si>
  <si>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</si>
  <si>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</si>
  <si>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</si>
  <si>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</si>
  <si>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</si>
  <si>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</si>
  <si>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</si>
  <si>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</si>
  <si>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</si>
  <si>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</si>
  <si>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</si>
  <si>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</si>
  <si>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</si>
  <si>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</si>
  <si>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</si>
  <si>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</si>
  <si>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</si>
  <si>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</si>
  <si>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</si>
  <si>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</si>
  <si>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</si>
  <si>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</si>
  <si>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</si>
  <si>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</si>
  <si>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</si>
  <si>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</si>
  <si>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</si>
  <si>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</si>
  <si>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</si>
  <si>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</si>
  <si>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</si>
  <si>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</si>
  <si>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</si>
  <si>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</si>
  <si>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</si>
  <si>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</si>
  <si>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</si>
  <si>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</si>
  <si>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</si>
  <si>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</si>
  <si>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</si>
  <si>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</si>
  <si>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</si>
  <si>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</si>
  <si>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</si>
  <si>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</si>
  <si>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</si>
  <si>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</si>
  <si>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</si>
  <si>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</si>
  <si>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</si>
  <si>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</si>
  <si>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</si>
  <si>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</si>
  <si>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</si>
  <si>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</si>
  <si>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</si>
  <si>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</si>
  <si>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</si>
  <si>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</si>
  <si>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</si>
  <si>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</si>
  <si>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</si>
  <si>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</si>
  <si>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</si>
  <si>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</si>
  <si>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</si>
  <si>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</si>
  <si>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</si>
  <si>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</si>
  <si>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</si>
  <si>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</si>
  <si>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</si>
  <si>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</si>
  <si>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</si>
  <si>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</si>
  <si>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</si>
  <si>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</si>
  <si>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</si>
  <si>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</si>
  <si>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</si>
  <si>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</si>
  <si>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</si>
  <si>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</si>
  <si>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</si>
  <si>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</si>
  <si>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</si>
  <si>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</si>
  <si>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</si>
  <si>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</si>
  <si>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</si>
  <si>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</si>
  <si>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</si>
  <si>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</si>
  <si>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</si>
  <si>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</si>
  <si>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</si>
  <si>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</si>
  <si>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</si>
  <si>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</si>
  <si>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</si>
  <si>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</si>
  <si>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</si>
  <si>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</si>
  <si>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</si>
  <si>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</si>
  <si>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</si>
  <si>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</si>
  <si>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</si>
  <si>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</si>
  <si>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</si>
  <si>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</si>
  <si>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</si>
  <si>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</si>
  <si>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</si>
  <si>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</si>
  <si>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</si>
  <si>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</si>
  <si>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</si>
  <si>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</si>
  <si>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</si>
  <si>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</si>
  <si>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</si>
  <si>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</si>
  <si>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</si>
  <si>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</si>
  <si>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</si>
  <si>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</si>
  <si>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</si>
  <si>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</si>
  <si>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</si>
  <si>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</si>
  <si>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</si>
  <si>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</si>
  <si>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</si>
  <si>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</si>
  <si>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</si>
  <si>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</si>
  <si>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</si>
  <si>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</si>
  <si>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</si>
  <si>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</si>
  <si>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</si>
  <si>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</si>
  <si>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</si>
  <si>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</si>
  <si>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</si>
  <si>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</si>
  <si>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</si>
  <si>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</si>
  <si>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</si>
  <si>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</si>
  <si>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</si>
  <si>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</si>
  <si>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</si>
  <si>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</si>
  <si>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</si>
  <si>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</si>
  <si>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</si>
  <si>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</si>
  <si>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</si>
  <si>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</si>
  <si>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</si>
  <si>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</si>
  <si>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</si>
  <si>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</si>
  <si>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</si>
  <si>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</si>
  <si>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</si>
  <si>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</si>
  <si>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</si>
  <si>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</si>
  <si>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</si>
  <si>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</si>
  <si>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</si>
  <si>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</si>
  <si>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</si>
  <si>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</si>
  <si>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</si>
  <si>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</si>
  <si>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</si>
  <si>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</si>
  <si>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</si>
  <si>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</si>
  <si>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</si>
  <si>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</si>
  <si>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</si>
  <si>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</si>
  <si>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</si>
  <si>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</si>
  <si>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</si>
  <si>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</si>
  <si>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</si>
  <si>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</si>
  <si>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</si>
  <si>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</si>
  <si>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</si>
  <si>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</si>
  <si>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</si>
  <si>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</si>
  <si>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</si>
  <si>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</si>
  <si>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</si>
  <si>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</si>
  <si>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</si>
  <si>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</si>
  <si>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</si>
  <si>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</si>
  <si>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</si>
  <si>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</si>
  <si>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</si>
  <si>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</si>
  <si>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</si>
  <si>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</si>
  <si>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</si>
  <si>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</si>
  <si>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</si>
  <si>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</si>
  <si>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</si>
  <si>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</si>
  <si>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</si>
  <si>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</si>
  <si>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</si>
  <si>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</si>
  <si>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</si>
  <si>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</si>
  <si>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</si>
  <si>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</si>
  <si>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</si>
  <si>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</si>
  <si>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</si>
  <si>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</si>
  <si>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</si>
  <si>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</si>
  <si>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</si>
  <si>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</si>
  <si>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</si>
  <si>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</si>
  <si>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</si>
  <si>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</si>
  <si>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</si>
  <si>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</si>
  <si>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</si>
  <si>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</si>
  <si>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</si>
  <si>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</si>
  <si>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</si>
  <si>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</si>
  <si>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</si>
  <si>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</si>
  <si>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</si>
  <si>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</si>
  <si>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</si>
  <si>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</si>
  <si>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</si>
  <si>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</si>
  <si>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</si>
  <si>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</si>
  <si>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</si>
  <si>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</si>
  <si>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</si>
  <si>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</si>
  <si>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</si>
  <si>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</si>
  <si>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</si>
  <si>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</si>
  <si>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</si>
  <si>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</si>
  <si>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</si>
  <si>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</si>
  <si>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</si>
  <si>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</si>
  <si>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</si>
  <si>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</si>
  <si>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</si>
  <si>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</si>
  <si>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</si>
  <si>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</si>
  <si>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</si>
  <si>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</si>
  <si>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</si>
  <si>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</si>
  <si>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</si>
  <si>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</si>
  <si>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</si>
  <si>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</si>
  <si>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</si>
  <si>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</si>
  <si>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</si>
  <si>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</si>
  <si>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</si>
  <si>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</si>
  <si>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</si>
  <si>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</si>
  <si>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</si>
  <si>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</si>
  <si>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</si>
  <si>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</si>
  <si>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</si>
  <si>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</si>
  <si>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</si>
  <si>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</si>
  <si>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</si>
  <si>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</si>
  <si>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</si>
  <si>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</si>
  <si>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</si>
  <si>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</si>
  <si>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</si>
  <si>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</si>
  <si>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</si>
  <si>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</si>
  <si>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</si>
  <si>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</si>
  <si>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</si>
  <si>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</si>
  <si>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</si>
  <si>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</si>
  <si>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</si>
  <si>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</si>
  <si>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</si>
  <si>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</si>
  <si>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</si>
  <si>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</si>
  <si>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</si>
  <si>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</si>
  <si>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</si>
  <si>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</si>
  <si>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</si>
  <si>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</si>
  <si>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</si>
  <si>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</si>
  <si>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</si>
  <si>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</si>
  <si>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</si>
  <si>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</si>
  <si>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</si>
  <si>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</si>
  <si>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</si>
  <si>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</si>
  <si>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</si>
  <si>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</si>
  <si>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</si>
  <si>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</si>
  <si>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</si>
  <si>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</si>
  <si>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</si>
  <si>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</si>
  <si>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</si>
  <si>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</si>
  <si>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</si>
  <si>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</si>
  <si>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</si>
  <si>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</si>
  <si>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</si>
  <si>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</si>
  <si>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</si>
  <si>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</si>
  <si>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</si>
  <si>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</si>
  <si>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</si>
  <si>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</si>
  <si>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</si>
  <si>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</si>
  <si>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</si>
  <si>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</si>
  <si>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</si>
  <si>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</si>
  <si>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</si>
  <si>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</si>
  <si>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</si>
  <si>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</si>
  <si>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</si>
  <si>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</si>
  <si>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</si>
  <si>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</si>
  <si>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</si>
  <si>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</si>
  <si>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</si>
  <si>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</si>
  <si>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</si>
  <si>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</si>
  <si>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</si>
  <si>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</si>
  <si>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</si>
  <si>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</si>
  <si>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</si>
  <si>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</si>
  <si>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</si>
  <si>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</si>
  <si>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</si>
  <si>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</si>
  <si>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</si>
  <si>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</si>
  <si>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</si>
  <si>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</si>
  <si>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</si>
  <si>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</si>
  <si>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</si>
  <si>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</si>
  <si>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</si>
  <si>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</si>
  <si>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</si>
  <si>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</si>
  <si>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</si>
  <si>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</si>
  <si>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</si>
  <si>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</si>
  <si>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</si>
  <si>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</si>
  <si>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</si>
  <si>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</si>
  <si>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</si>
  <si>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</si>
  <si>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</si>
  <si>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</si>
  <si>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</si>
  <si>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</si>
  <si>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</si>
  <si>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</si>
  <si>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</si>
  <si>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</si>
  <si>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</si>
  <si>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</si>
  <si>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</si>
  <si>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</si>
  <si>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</si>
  <si>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</si>
  <si>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</si>
  <si>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</si>
  <si>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</si>
  <si>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</si>
  <si>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</si>
  <si>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</si>
  <si>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</si>
  <si>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</si>
  <si>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</si>
  <si>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</si>
  <si>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</si>
  <si>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</si>
  <si>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</si>
  <si>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</si>
  <si>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</si>
  <si>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</si>
  <si>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</si>
  <si>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</si>
  <si>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</si>
  <si>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</si>
  <si>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</si>
  <si>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</si>
  <si>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</si>
  <si>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</si>
  <si>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</si>
  <si>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</si>
  <si>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</si>
  <si>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</si>
  <si>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</si>
  <si>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</si>
  <si>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</si>
  <si>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</si>
  <si>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</si>
  <si>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</si>
  <si>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</si>
  <si>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</si>
  <si>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</si>
  <si>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</si>
  <si>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</si>
  <si>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</si>
  <si>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</si>
  <si>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</si>
  <si>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</si>
  <si>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</si>
  <si>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</si>
  <si>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</si>
  <si>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</si>
  <si>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</si>
  <si>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</si>
  <si>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</si>
  <si>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</si>
  <si>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</si>
  <si>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</si>
  <si>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</si>
  <si>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</si>
  <si>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</si>
  <si>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</si>
  <si>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</si>
  <si>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</si>
  <si>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</si>
  <si>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</si>
  <si>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</si>
  <si>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</si>
  <si>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</si>
  <si>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</si>
  <si>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</si>
  <si>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</si>
  <si>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</si>
  <si>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</si>
  <si>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</si>
  <si>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</si>
  <si>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</si>
  <si>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</si>
  <si>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</si>
  <si>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</si>
  <si>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</si>
  <si>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</si>
  <si>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</si>
  <si>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</si>
  <si>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</si>
  <si>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</si>
  <si>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</si>
  <si>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</si>
  <si>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</si>
  <si>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</si>
  <si>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</si>
  <si>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</si>
  <si>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</si>
  <si>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</si>
  <si>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</si>
  <si>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</si>
  <si>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</si>
  <si>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</si>
  <si>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</si>
  <si>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</si>
  <si>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</si>
  <si>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</si>
  <si>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</si>
  <si>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</si>
  <si>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</si>
  <si>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</si>
  <si>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</si>
  <si>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</si>
  <si>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</si>
  <si>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</si>
  <si>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</si>
  <si>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</si>
  <si>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</si>
  <si>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</si>
  <si>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</si>
  <si>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</si>
  <si>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</si>
  <si>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</si>
  <si>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</si>
  <si>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</si>
  <si>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</si>
  <si>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</si>
  <si>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</si>
  <si>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</si>
  <si>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</si>
  <si>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</si>
  <si>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</si>
  <si>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</si>
  <si>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</si>
  <si>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</si>
  <si>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</si>
  <si>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</si>
  <si>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</si>
  <si>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</si>
  <si>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</si>
  <si>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</si>
  <si>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</si>
  <si>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</si>
  <si>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</si>
  <si>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</si>
  <si>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</si>
  <si>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</si>
  <si>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</si>
  <si>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</si>
  <si>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</si>
  <si>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</si>
  <si>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</si>
  <si>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</si>
  <si>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</si>
  <si>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</si>
  <si>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</si>
  <si>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</si>
  <si>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</si>
  <si>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</si>
  <si>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</si>
  <si>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</si>
  <si>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</si>
  <si>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</si>
  <si>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</si>
  <si>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</si>
  <si>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</si>
  <si>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</si>
  <si>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</si>
  <si>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</si>
  <si>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</si>
  <si>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</si>
  <si>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</si>
  <si>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</si>
  <si>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</si>
  <si>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</si>
  <si>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</si>
  <si>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</si>
  <si>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</si>
  <si>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</si>
  <si>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</si>
  <si>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</si>
  <si>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</si>
  <si>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</si>
  <si>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</si>
  <si>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</si>
  <si>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</si>
  <si>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</si>
  <si>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</si>
  <si>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</si>
  <si>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</si>
  <si>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</si>
  <si>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</si>
  <si>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</si>
  <si>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</si>
  <si>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</si>
  <si>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</si>
  <si>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</si>
  <si>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</si>
  <si>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</si>
  <si>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</si>
  <si>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</si>
  <si>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</si>
  <si>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</si>
  <si>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</si>
  <si>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</si>
  <si>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</si>
  <si>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</si>
  <si>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</si>
  <si>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</si>
  <si>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</si>
  <si>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</si>
  <si>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</si>
  <si>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</si>
  <si>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</si>
  <si>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</si>
  <si>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</si>
  <si>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</si>
  <si>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</si>
  <si>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</si>
  <si>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</si>
  <si>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</si>
  <si>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</si>
  <si>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</si>
  <si>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</si>
  <si>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</si>
  <si>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</si>
  <si>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</si>
  <si>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</si>
  <si>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</si>
  <si>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</si>
  <si>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</si>
  <si>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</si>
  <si>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</si>
  <si>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</si>
  <si>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</si>
  <si>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</si>
  <si>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</si>
  <si>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</si>
  <si>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</si>
  <si>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</si>
  <si>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</si>
  <si>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</si>
  <si>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</si>
  <si>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</si>
  <si>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</si>
  <si>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</si>
  <si>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</si>
  <si>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</si>
  <si>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</si>
  <si>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</si>
  <si>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</si>
  <si>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</si>
  <si>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</si>
  <si>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</si>
  <si>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</si>
  <si>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</si>
  <si>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</si>
  <si>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</si>
  <si>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</si>
  <si>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</si>
  <si>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</si>
  <si>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</si>
  <si>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</si>
  <si>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</si>
  <si>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</si>
  <si>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</si>
  <si>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</si>
  <si>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</si>
  <si>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</si>
  <si>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</si>
  <si>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</si>
  <si>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</si>
  <si>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</si>
  <si>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</si>
  <si>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</si>
  <si>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</si>
  <si>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</si>
  <si>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</si>
  <si>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</si>
  <si>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</si>
  <si>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</si>
  <si>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</si>
  <si>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</si>
  <si>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</si>
  <si>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</si>
  <si>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</si>
  <si>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</si>
  <si>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</si>
  <si>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</si>
  <si>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</si>
  <si>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</si>
  <si>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</si>
  <si>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</si>
  <si>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</si>
  <si>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</si>
  <si>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</si>
  <si>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</si>
  <si>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</si>
  <si>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</si>
  <si>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</si>
  <si>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</si>
  <si>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</si>
  <si>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</si>
  <si>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</si>
  <si>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</si>
  <si>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</si>
  <si>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</si>
  <si>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</si>
  <si>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</si>
  <si>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</si>
  <si>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</si>
  <si>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</si>
  <si>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</si>
  <si>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</si>
  <si>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</si>
  <si>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</si>
  <si>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</si>
  <si>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</si>
  <si>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</si>
  <si>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</si>
  <si>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</si>
  <si>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</si>
  <si>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</si>
  <si>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</si>
  <si>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</si>
  <si>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</si>
  <si>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</si>
  <si>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</si>
  <si>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</si>
  <si>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</si>
  <si>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</si>
  <si>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</si>
  <si>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</si>
  <si>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</si>
  <si>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</si>
  <si>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</si>
  <si>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</si>
  <si>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</si>
  <si>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</si>
  <si>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</si>
  <si>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</si>
  <si>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</si>
  <si>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</si>
  <si>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</si>
  <si>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</si>
  <si>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</si>
  <si>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</si>
  <si>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</si>
  <si>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</si>
  <si>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</si>
  <si>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</si>
  <si>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</si>
  <si>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</si>
  <si>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</si>
  <si>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</si>
  <si>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</si>
  <si>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</si>
  <si>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</si>
  <si>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</si>
  <si>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</si>
  <si>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</si>
  <si>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</si>
  <si>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</si>
  <si>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</si>
  <si>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</si>
  <si>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</si>
  <si>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</si>
  <si>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</si>
  <si>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</si>
  <si>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</si>
  <si>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</si>
  <si>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</si>
  <si>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</si>
  <si>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</si>
  <si>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</si>
  <si>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</si>
  <si>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</si>
  <si>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</si>
  <si>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</si>
  <si>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</si>
  <si>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</si>
  <si>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</si>
  <si>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</si>
  <si>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</si>
  <si>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</si>
  <si>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</si>
  <si>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</si>
  <si>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</si>
  <si>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</si>
  <si>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</si>
  <si>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</si>
  <si>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</si>
  <si>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</si>
  <si>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</si>
  <si>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</si>
  <si>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</si>
  <si>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</si>
  <si>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</si>
  <si>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</si>
  <si>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</si>
  <si>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</si>
  <si>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</si>
  <si>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</si>
  <si>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</si>
  <si>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</si>
  <si>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</si>
  <si>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</si>
  <si>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</si>
  <si>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</si>
  <si>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</si>
  <si>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</si>
  <si>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</si>
  <si>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</si>
  <si>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</si>
  <si>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</si>
  <si>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</si>
  <si>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</si>
  <si>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</si>
  <si>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</si>
  <si>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</si>
  <si>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</si>
  <si>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</si>
  <si>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</si>
  <si>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</si>
  <si>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</si>
  <si>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</si>
  <si>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</si>
  <si>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</si>
  <si>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</si>
  <si>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</si>
  <si>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</si>
  <si>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</si>
  <si>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</si>
  <si>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</si>
  <si>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</si>
  <si>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</si>
  <si>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</si>
  <si>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</si>
  <si>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</si>
  <si>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</si>
  <si>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</si>
  <si>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</si>
  <si>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</si>
  <si>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</si>
  <si>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</si>
  <si>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</si>
  <si>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</si>
  <si>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</si>
  <si>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</si>
  <si>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</si>
  <si>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</si>
  <si>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</si>
  <si>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</si>
  <si>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</si>
  <si>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</si>
  <si>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</si>
  <si>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</si>
  <si>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</si>
  <si>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</si>
  <si>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</si>
  <si>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</si>
  <si>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</si>
  <si>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</si>
  <si>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</si>
  <si>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</si>
  <si>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</si>
  <si>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</si>
  <si>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</si>
  <si>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</si>
  <si>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</si>
  <si>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</si>
  <si>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</si>
  <si>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</si>
  <si>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</si>
  <si>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</si>
  <si>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</si>
  <si>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</si>
  <si>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</si>
  <si>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</si>
  <si>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</si>
  <si>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</si>
  <si>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</si>
  <si>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</si>
  <si>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</si>
  <si>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</si>
  <si>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</si>
  <si>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</si>
  <si>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</si>
  <si>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</si>
  <si>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</si>
  <si>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</si>
  <si>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</si>
  <si>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</si>
  <si>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</si>
  <si>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</si>
  <si>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</si>
  <si>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</si>
  <si>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</si>
  <si>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</si>
  <si>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</si>
  <si>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</si>
  <si>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</si>
  <si>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</si>
  <si>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</si>
  <si>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</si>
  <si>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</si>
  <si>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</si>
  <si>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</si>
  <si>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</si>
  <si>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</si>
  <si>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</si>
  <si>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</si>
  <si>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</si>
  <si>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</si>
  <si>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</si>
  <si>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</si>
  <si>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</si>
  <si>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</si>
  <si>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</si>
  <si>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</si>
  <si>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</si>
  <si>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</si>
  <si>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</si>
  <si>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</si>
  <si>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</si>
  <si>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</si>
  <si>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</si>
  <si>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</si>
  <si>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</si>
  <si>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</si>
  <si>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</si>
  <si>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</si>
  <si>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</si>
  <si>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</si>
  <si>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</si>
  <si>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</si>
  <si>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</si>
  <si>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</si>
  <si>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</si>
  <si>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</si>
  <si>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</si>
  <si>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</si>
  <si>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</si>
  <si>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</si>
  <si>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</si>
  <si>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</si>
  <si>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</si>
  <si>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</si>
  <si>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</si>
  <si>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</si>
  <si>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</si>
  <si>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</si>
  <si>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</si>
  <si>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</si>
  <si>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</si>
  <si>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</si>
  <si>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</si>
  <si>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</si>
  <si>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</si>
  <si>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</si>
  <si>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</si>
  <si>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</si>
  <si>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</si>
  <si>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</si>
  <si>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</si>
  <si>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</si>
  <si>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</si>
  <si>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</si>
  <si>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</si>
  <si>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</si>
  <si>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</si>
  <si>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</si>
  <si>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</si>
  <si>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</si>
  <si>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</si>
  <si>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</si>
  <si>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</si>
  <si>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</si>
  <si>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</si>
  <si>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</si>
  <si>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</si>
  <si>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</si>
  <si>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</si>
  <si>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</si>
  <si>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</si>
  <si>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</si>
  <si>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</si>
  <si>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</si>
  <si>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</si>
  <si>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</si>
  <si>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</si>
  <si>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</si>
  <si>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</si>
  <si>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</si>
  <si>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</si>
  <si>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</si>
  <si>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</si>
  <si>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</si>
  <si>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</si>
  <si>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</si>
  <si>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</si>
  <si>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</si>
  <si>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</si>
  <si>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</si>
  <si>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</si>
  <si>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</si>
  <si>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</si>
  <si>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</si>
  <si>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</si>
  <si>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</si>
  <si>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</si>
  <si>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</si>
  <si>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</si>
  <si>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</si>
  <si>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</si>
  <si>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</si>
  <si>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</si>
  <si>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</si>
  <si>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</si>
  <si>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</si>
  <si>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</si>
  <si>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</si>
  <si>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</si>
  <si>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</si>
  <si>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</si>
  <si>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</si>
  <si>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</si>
  <si>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</si>
  <si>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</si>
  <si>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</si>
  <si>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</si>
  <si>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</si>
  <si>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</si>
  <si>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</si>
  <si>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</si>
  <si>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</si>
  <si>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</si>
  <si>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</si>
  <si>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</si>
  <si>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</si>
  <si>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</si>
  <si>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</si>
  <si>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</si>
  <si>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</si>
  <si>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</si>
  <si>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</si>
  <si>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</si>
  <si>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</si>
  <si>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</si>
  <si>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</si>
  <si>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</si>
  <si>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</si>
  <si>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</si>
  <si>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</si>
  <si>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</si>
  <si>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</si>
  <si>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</si>
  <si>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</si>
  <si>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</si>
  <si>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</si>
  <si>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</si>
  <si>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</si>
  <si>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</si>
  <si>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</si>
  <si>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</si>
  <si>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</si>
  <si>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</si>
  <si>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</si>
  <si>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</si>
  <si>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</si>
  <si>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</si>
  <si>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</si>
  <si>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</si>
  <si>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</si>
  <si>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</si>
  <si>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</si>
  <si>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</si>
  <si>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</si>
  <si>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</si>
  <si>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</si>
  <si>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</si>
  <si>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</si>
  <si>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</si>
  <si>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</si>
  <si>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</si>
  <si>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</si>
  <si>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</si>
  <si>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</si>
  <si>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</si>
  <si>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</si>
  <si>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</si>
  <si>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</si>
  <si>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</si>
  <si>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</si>
  <si>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</si>
  <si>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</si>
  <si>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</si>
  <si>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</si>
  <si>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</si>
  <si>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</si>
  <si>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</si>
  <si>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</si>
  <si>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</si>
  <si>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</si>
  <si>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</si>
  <si>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</si>
  <si>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</si>
  <si>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</si>
  <si>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</si>
  <si>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</si>
  <si>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</si>
  <si>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</si>
  <si>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</si>
  <si>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</si>
  <si>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</si>
  <si>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</si>
  <si>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</si>
  <si>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</si>
  <si>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</si>
  <si>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</si>
  <si>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</si>
  <si>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</si>
  <si>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</si>
  <si>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</si>
  <si>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</si>
  <si>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</si>
  <si>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</si>
  <si>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</si>
  <si>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</si>
  <si>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</si>
  <si>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</si>
  <si>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</si>
  <si>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</si>
  <si>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</si>
  <si>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</si>
  <si>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</si>
  <si>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</si>
  <si>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</si>
  <si>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</si>
  <si>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</si>
  <si>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</si>
  <si>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</si>
  <si>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</si>
  <si>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</si>
  <si>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</si>
  <si>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</si>
  <si>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</si>
  <si>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</si>
  <si>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</si>
  <si>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</si>
  <si>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</si>
  <si>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</si>
  <si>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</si>
  <si>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</si>
  <si>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</si>
  <si>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</si>
  <si>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</si>
  <si>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</si>
  <si>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</si>
  <si>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</si>
  <si>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</si>
  <si>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</si>
  <si>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</si>
  <si>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</si>
  <si>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</si>
  <si>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</si>
  <si>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</si>
  <si>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</si>
  <si>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</si>
  <si>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</si>
  <si>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</si>
  <si>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</si>
  <si>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</si>
  <si>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</si>
  <si>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</si>
  <si>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</si>
  <si>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</si>
  <si>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</si>
  <si>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</si>
  <si>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</si>
  <si>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</si>
  <si>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</si>
  <si>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</si>
  <si>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</si>
  <si>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</si>
  <si>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</si>
  <si>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</si>
  <si>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</si>
  <si>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</si>
  <si>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</si>
  <si>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</si>
  <si>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</si>
  <si>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</si>
  <si>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</si>
  <si>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</si>
  <si>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</si>
  <si>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</si>
  <si>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</si>
  <si>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</si>
  <si>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</si>
  <si>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</si>
  <si>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</si>
  <si>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</si>
  <si>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</si>
  <si>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</si>
  <si>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</si>
  <si>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</si>
  <si>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</si>
  <si>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</si>
  <si>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</si>
  <si>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</si>
  <si>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</si>
  <si>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</si>
  <si>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</si>
  <si>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</si>
  <si>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</si>
  <si>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</si>
  <si>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</si>
  <si>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</si>
  <si>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</si>
  <si>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</si>
  <si>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</si>
  <si>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</si>
  <si>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</si>
  <si>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</si>
  <si>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</si>
  <si>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</si>
  <si>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</si>
  <si>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</si>
  <si>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</si>
  <si>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</si>
  <si>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</si>
  <si>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</si>
  <si>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</si>
  <si>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</si>
  <si>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</si>
  <si>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</si>
  <si>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</si>
  <si>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</si>
  <si>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</si>
  <si>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</si>
  <si>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</si>
  <si>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</si>
  <si>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</si>
  <si>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</si>
  <si>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</si>
  <si>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</si>
  <si>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</si>
  <si>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</si>
  <si>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</si>
  <si>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</si>
  <si>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</si>
  <si>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</si>
  <si>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</si>
  <si>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</si>
  <si>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</si>
  <si>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</si>
  <si>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</si>
  <si>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</si>
  <si>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</si>
  <si>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</si>
  <si>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</si>
  <si>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</si>
  <si>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</si>
  <si>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</si>
  <si>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</si>
  <si>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</si>
  <si>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</si>
  <si>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</si>
  <si>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</si>
  <si>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</si>
  <si>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</si>
  <si>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</si>
  <si>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</si>
  <si>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</si>
  <si>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</si>
  <si>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</si>
  <si>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</si>
  <si>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</si>
  <si>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</si>
  <si>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</si>
  <si>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</si>
  <si>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</si>
  <si>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</si>
  <si>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</si>
  <si>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</si>
  <si>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</si>
  <si>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</si>
  <si>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</si>
  <si>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</si>
  <si>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</si>
  <si>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</si>
  <si>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</si>
  <si>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</si>
  <si>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</si>
  <si>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</si>
  <si>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</si>
  <si>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</si>
  <si>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</si>
  <si>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</si>
  <si>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</si>
  <si>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</si>
  <si>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</si>
  <si>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</si>
  <si>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</si>
  <si>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</si>
  <si>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</si>
  <si>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</si>
  <si>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</si>
  <si>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</si>
  <si>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</si>
  <si>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</si>
  <si>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</si>
  <si>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</si>
  <si>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</si>
  <si>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</si>
  <si>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</si>
  <si>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</si>
  <si>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</si>
  <si>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</si>
  <si>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</si>
  <si>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</si>
  <si>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</si>
  <si>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</si>
  <si>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</si>
  <si>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</si>
  <si>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</si>
  <si>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</si>
  <si>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</si>
  <si>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</si>
  <si>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</si>
  <si>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</si>
  <si>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</si>
  <si>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</si>
  <si>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</si>
  <si>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</si>
  <si>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</si>
  <si>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</si>
  <si>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</si>
  <si>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</si>
  <si>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</si>
  <si>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</si>
  <si>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</si>
  <si>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</si>
  <si>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</si>
  <si>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</si>
  <si>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</si>
  <si>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</si>
  <si>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</si>
  <si>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</si>
  <si>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</si>
  <si>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</si>
  <si>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</si>
  <si>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</si>
  <si>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</si>
  <si>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</si>
  <si>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</si>
  <si>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</si>
  <si>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</si>
  <si>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</si>
  <si>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</si>
  <si>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</si>
  <si>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</si>
  <si>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</si>
  <si>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</si>
  <si>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</si>
  <si>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</si>
  <si>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</si>
  <si>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</si>
  <si>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</si>
  <si>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</si>
  <si>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</si>
  <si>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</si>
  <si>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</si>
  <si>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</si>
  <si>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</si>
  <si>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</si>
  <si>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</si>
  <si>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</si>
  <si>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</si>
  <si>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</si>
  <si>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</si>
  <si>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</si>
  <si>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</si>
  <si>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</si>
  <si>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</si>
  <si>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</si>
  <si>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</si>
  <si>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</si>
  <si>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</si>
  <si>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</si>
  <si>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</si>
  <si>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</si>
  <si>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</si>
  <si>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</si>
  <si>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</si>
  <si>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</si>
  <si>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</si>
  <si>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</si>
  <si>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</si>
  <si>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</si>
  <si>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</si>
  <si>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</si>
  <si>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</si>
  <si>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</si>
  <si>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</si>
  <si>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</si>
  <si>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</si>
  <si>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</si>
  <si>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</si>
  <si>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</si>
  <si>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</si>
  <si>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</si>
  <si>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</si>
  <si>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</si>
  <si>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</si>
  <si>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</si>
  <si>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</si>
  <si>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</si>
  <si>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</si>
  <si>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</si>
  <si>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</si>
  <si>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</si>
  <si>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</si>
  <si>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</si>
  <si>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</si>
  <si>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</si>
  <si>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</si>
  <si>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</si>
  <si>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</si>
  <si>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</si>
  <si>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</si>
  <si>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</si>
  <si>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</si>
  <si>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</si>
  <si>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</si>
  <si>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</si>
  <si>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</si>
  <si>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</si>
  <si>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</si>
  <si>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</si>
  <si>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</si>
  <si>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</si>
  <si>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</si>
  <si>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</si>
  <si>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</si>
  <si>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</si>
  <si>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</si>
  <si>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</si>
  <si>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</si>
  <si>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</si>
  <si>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</si>
  <si>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</si>
  <si>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</si>
  <si>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</si>
  <si>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</si>
  <si>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</si>
  <si>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</si>
  <si>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</si>
  <si>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</si>
  <si>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</si>
  <si>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</si>
  <si>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</si>
  <si>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</si>
  <si>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</si>
  <si>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</si>
  <si>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</si>
  <si>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</si>
  <si>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</si>
  <si>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</si>
  <si>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</si>
  <si>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</si>
  <si>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</si>
  <si>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</si>
  <si>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</si>
  <si>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</si>
  <si>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</si>
  <si>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</si>
  <si>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</si>
  <si>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</si>
  <si>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</si>
  <si>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</si>
  <si>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</si>
  <si>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</si>
  <si>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</si>
  <si>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</si>
  <si>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</si>
  <si>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Pehlman and Dold, P.C.</t>
  </si>
  <si>
    <t>100 North Amos Avenue</t>
  </si>
  <si>
    <t>Springfield</t>
  </si>
  <si>
    <t>IL</t>
  </si>
  <si>
    <t>(217) 787-0563</t>
  </si>
  <si>
    <t>(217) 787-9266</t>
  </si>
  <si>
    <t>060-004845</t>
  </si>
  <si>
    <t>x</t>
  </si>
  <si>
    <t>Sangamon</t>
  </si>
  <si>
    <t>315 West Church Street</t>
  </si>
  <si>
    <t>Pleasant Plains</t>
  </si>
  <si>
    <t>Matt Runge, Superintendent</t>
  </si>
  <si>
    <t>mrunge@ppcusd8.org</t>
  </si>
  <si>
    <t>(217) 626-1041</t>
  </si>
  <si>
    <t>(217) 626-1082</t>
  </si>
  <si>
    <t>Dorinda L Fitzgerald</t>
  </si>
  <si>
    <t>dfitzgerald@p-dcpas.com</t>
  </si>
  <si>
    <t>Part C, 23 - Other than cash, the Auditor's Report is qualified due to the District not maintaining a formal record system to track fixed assets accounted for in the General Fixed Asset Account Group.</t>
  </si>
  <si>
    <t>Series 2009</t>
  </si>
  <si>
    <t>Series 2012</t>
  </si>
  <si>
    <t>2011 Debt Certificates</t>
  </si>
  <si>
    <t>Capital Bus Lease (Pd out of Transportation Fund)</t>
  </si>
  <si>
    <t>Capital Bus Lease -Transporation Fund</t>
  </si>
  <si>
    <t>Ed - Food Service - Supplies and Materials</t>
  </si>
  <si>
    <t>10-2560-400</t>
  </si>
  <si>
    <t>SAPCO/Kohl's</t>
  </si>
  <si>
    <t>Springfield Pepsi</t>
  </si>
  <si>
    <t>Prairie Farms</t>
  </si>
  <si>
    <t>Sangamon Area Special Education District</t>
  </si>
  <si>
    <t>Capital Area Career Center</t>
  </si>
  <si>
    <t>Education Fund - Acct 1690 - Vending Receipts</t>
  </si>
  <si>
    <t>Education Fund - Acct 1790 - Vocational Fair Income</t>
  </si>
  <si>
    <t>Education Fund - Acct 1829 - Parking Permits</t>
  </si>
  <si>
    <t>Education Fund - Acct 1993 - Daycare Fees  $269,804, Misc Student Fees  $22,452</t>
  </si>
  <si>
    <t>Education Fund - Acct 1999 - Misc Refunds and Reimbursements</t>
  </si>
  <si>
    <t xml:space="preserve">Transportation Fund - Acct 1999 -  Misc Refunds and Reimbursements </t>
  </si>
  <si>
    <t xml:space="preserve">Education Fund - Acct 3999 - State Library Grant  $6,741, State Reimbursement for Daycare - Dept of Human Services </t>
  </si>
  <si>
    <t>Operations &amp; Maintenance Fund - Function 4190, Object 600 - Real Estate Taxes</t>
  </si>
  <si>
    <t>Debt Service - Function 5400, Object 600 - Misc Bank Fees</t>
  </si>
  <si>
    <t>Audit Check Error #8 - Principal payments on bus capital leases are being paid out of the Transportation Fund</t>
  </si>
  <si>
    <t>Education Fund - Acct 190 - Due from Employees</t>
  </si>
  <si>
    <t>Transportation Fund - Acct 190 - Prepaid payroll withholdings</t>
  </si>
  <si>
    <t>Debt Service Fund and Capital Projects Fund - Acct 430 - Overdrawn bank account balance</t>
  </si>
  <si>
    <t xml:space="preserve">Pehlman and Dold, P.C.                   </t>
  </si>
  <si>
    <t>PDF in Opinion Page with Signature</t>
  </si>
  <si>
    <t xml:space="preserve">Pleasant Plains CUSD 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</si>
</sst>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1">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1666875</xdr:colOff>
          <xdr:row>3</xdr:row>
          <xdr:rowOff>28575</xdr:rowOff>
        </xdr:from>
        <xdr:to>
          <xdr:col>1</xdr:col>
          <xdr:colOff>2581275</xdr:colOff>
          <xdr:row>7</xdr:row>
          <xdr:rowOff>66675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5" t="s">
        <v>1685</v>
      </c>
      <c r="B3" s="156"/>
      <c r="C3" s="156"/>
      <c r="D3" s="157"/>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4" t="s">
        <v>2084</v>
      </c>
      <c r="C5" s="26" t="s">
        <v>966</v>
      </c>
      <c r="D5" s="84"/>
      <c r="E5" s="84"/>
      <c r="H5" s="38"/>
      <c r="I5" s="2007" t="s">
        <v>701</v>
      </c>
      <c r="J5" s="2006"/>
      <c r="K5" s="2006"/>
      <c r="L5" s="2006"/>
      <c r="M5" s="2006"/>
      <c r="N5" s="2006"/>
      <c r="O5" s="2006"/>
      <c r="P5" s="2006"/>
      <c r="Q5" s="2006"/>
      <c r="R5" s="2006"/>
      <c r="S5" s="2006"/>
    </row>
    <row r="6" spans="1:28" ht="14.1" customHeight="1" x14ac:dyDescent="0.2">
      <c r="B6" s="104"/>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8" t="s">
        <v>554</v>
      </c>
      <c r="U9" s="2019"/>
      <c r="V9" s="2019"/>
      <c r="W9" s="2019"/>
      <c r="X9" s="2019"/>
      <c r="Y9" s="2019"/>
      <c r="Z9" s="2019"/>
      <c r="AA9" s="2020"/>
    </row>
    <row r="10" spans="1:28" ht="13.5" customHeight="1" x14ac:dyDescent="0.2">
      <c r="A10" s="2025" t="s">
        <v>696</v>
      </c>
      <c r="B10" s="2026"/>
      <c r="C10" s="2026"/>
      <c r="D10" s="2026"/>
      <c r="E10" s="2026"/>
      <c r="F10" s="2026"/>
      <c r="G10" s="2026"/>
      <c r="H10" s="2027"/>
      <c r="I10" s="29"/>
      <c r="J10" s="30"/>
      <c r="K10" s="28"/>
      <c r="R10" s="30"/>
      <c r="S10" s="30"/>
      <c r="T10" s="2021"/>
      <c r="U10" s="2006"/>
      <c r="V10" s="2006"/>
      <c r="W10" s="2006"/>
      <c r="X10" s="2006"/>
      <c r="Y10" s="2006"/>
      <c r="Z10" s="2006"/>
      <c r="AA10" s="2012"/>
    </row>
    <row r="11" spans="1:28" ht="14.25" customHeight="1" x14ac:dyDescent="0.2">
      <c r="A11" s="2028" t="s">
        <v>1012</v>
      </c>
      <c r="B11" s="2029"/>
      <c r="C11" s="2029"/>
      <c r="D11" s="2029"/>
      <c r="E11" s="2029"/>
      <c r="F11" s="2029"/>
      <c r="G11" s="2029"/>
      <c r="H11" s="2030"/>
      <c r="I11" s="27"/>
      <c r="J11" s="74"/>
      <c r="K11" s="27"/>
      <c r="O11" s="148" t="s">
        <v>2084</v>
      </c>
      <c r="P11" s="100" t="s">
        <v>210</v>
      </c>
      <c r="Q11" s="30"/>
      <c r="R11" s="28"/>
      <c r="S11" s="27"/>
      <c r="T11" s="2022"/>
      <c r="U11" s="2023"/>
      <c r="V11" s="2023"/>
      <c r="W11" s="2023"/>
      <c r="X11" s="2023"/>
      <c r="Y11" s="2023"/>
      <c r="Z11" s="2023"/>
      <c r="AA11" s="2024"/>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2">
        <v>51084008026</v>
      </c>
      <c r="B13" s="2033"/>
      <c r="C13" s="2033"/>
      <c r="D13" s="2033"/>
      <c r="E13" s="2033"/>
      <c r="F13" s="2033"/>
      <c r="G13" s="2033"/>
      <c r="H13" s="2034"/>
      <c r="I13" s="31"/>
      <c r="J13" s="30"/>
      <c r="K13" s="28"/>
      <c r="L13" s="30"/>
      <c r="M13" s="30"/>
      <c r="N13" s="30"/>
      <c r="O13" s="30"/>
      <c r="P13" s="30"/>
      <c r="Q13" s="30"/>
      <c r="R13" s="30"/>
      <c r="S13" s="30"/>
      <c r="T13" s="2037" t="s">
        <v>2120</v>
      </c>
      <c r="U13" s="2038"/>
      <c r="V13" s="2038"/>
      <c r="W13" s="2038"/>
      <c r="X13" s="2038"/>
      <c r="Y13" s="2039"/>
      <c r="Z13" s="2039"/>
      <c r="AA13" s="204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1" t="s">
        <v>2085</v>
      </c>
      <c r="B15" s="2035"/>
      <c r="C15" s="2035"/>
      <c r="D15" s="2035"/>
      <c r="E15" s="2035"/>
      <c r="F15" s="2035"/>
      <c r="G15" s="2035"/>
      <c r="H15" s="2036"/>
      <c r="T15" s="2041" t="s">
        <v>2092</v>
      </c>
      <c r="U15" s="1985"/>
      <c r="V15" s="1985"/>
      <c r="W15" s="1985"/>
      <c r="X15" s="1985"/>
      <c r="Y15" s="2042"/>
      <c r="Z15" s="2042"/>
      <c r="AA15" s="204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2122</v>
      </c>
      <c r="B17" s="1992"/>
      <c r="C17" s="1992"/>
      <c r="D17" s="1992"/>
      <c r="E17" s="1992"/>
      <c r="F17" s="1992"/>
      <c r="G17" s="1992"/>
      <c r="H17" s="2017"/>
      <c r="T17" s="2048" t="s">
        <v>2078</v>
      </c>
      <c r="U17" s="2049"/>
      <c r="V17" s="2049"/>
      <c r="W17" s="2049"/>
      <c r="X17" s="2049"/>
      <c r="Y17" s="2049"/>
      <c r="Z17" s="2049"/>
      <c r="AA17" s="2050"/>
    </row>
    <row r="18" spans="1:27" ht="13.5" customHeight="1" x14ac:dyDescent="0.2">
      <c r="A18" s="85" t="s">
        <v>551</v>
      </c>
      <c r="B18" s="76"/>
      <c r="C18" s="72"/>
      <c r="D18" s="76"/>
      <c r="E18" s="76"/>
      <c r="F18" s="76"/>
      <c r="G18" s="76"/>
      <c r="H18" s="56"/>
      <c r="I18" s="2016" t="s">
        <v>697</v>
      </c>
      <c r="J18" s="1967"/>
      <c r="K18" s="1967"/>
      <c r="L18" s="1967"/>
      <c r="M18" s="1967"/>
      <c r="N18" s="1967"/>
      <c r="O18" s="1967"/>
      <c r="P18" s="1967"/>
      <c r="Q18" s="1967"/>
      <c r="R18" s="1967"/>
      <c r="S18" s="1968"/>
      <c r="T18" s="85" t="s">
        <v>735</v>
      </c>
      <c r="U18" s="51"/>
      <c r="V18" s="72"/>
      <c r="W18" s="50"/>
      <c r="X18" s="85" t="s">
        <v>284</v>
      </c>
      <c r="Y18" s="81"/>
      <c r="Z18" s="159" t="s">
        <v>698</v>
      </c>
      <c r="AA18" s="46"/>
    </row>
    <row r="19" spans="1:27" ht="13.5" customHeight="1" x14ac:dyDescent="0.2">
      <c r="A19" s="2031" t="s">
        <v>2086</v>
      </c>
      <c r="B19" s="1977"/>
      <c r="C19" s="1977"/>
      <c r="D19" s="1977"/>
      <c r="E19" s="1977"/>
      <c r="F19" s="1977"/>
      <c r="G19" s="1977"/>
      <c r="H19" s="1957"/>
      <c r="I19" s="30"/>
      <c r="J19" s="99"/>
      <c r="K19" s="40"/>
      <c r="L19" s="38"/>
      <c r="M19" s="112" t="s">
        <v>333</v>
      </c>
      <c r="P19" s="27"/>
      <c r="Q19" s="27"/>
      <c r="R19" s="27"/>
      <c r="S19" s="31"/>
      <c r="T19" s="2031" t="s">
        <v>2079</v>
      </c>
      <c r="U19" s="1956"/>
      <c r="V19" s="1956"/>
      <c r="W19" s="1957"/>
      <c r="X19" s="2046" t="s">
        <v>2080</v>
      </c>
      <c r="Y19" s="2047"/>
      <c r="Z19" s="2044">
        <v>62702</v>
      </c>
      <c r="AA19" s="204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5" t="s">
        <v>2087</v>
      </c>
      <c r="B21" s="1956"/>
      <c r="C21" s="1956"/>
      <c r="D21" s="1956"/>
      <c r="E21" s="1956"/>
      <c r="F21" s="1956"/>
      <c r="G21" s="1956"/>
      <c r="H21" s="1957"/>
      <c r="I21" s="2011" t="s">
        <v>699</v>
      </c>
      <c r="J21" s="2006"/>
      <c r="K21" s="2006"/>
      <c r="L21" s="2006"/>
      <c r="M21" s="2006"/>
      <c r="N21" s="2006"/>
      <c r="O21" s="2006"/>
      <c r="P21" s="2006"/>
      <c r="Q21" s="2006"/>
      <c r="R21" s="2006"/>
      <c r="S21" s="2012"/>
      <c r="T21" s="2055" t="s">
        <v>2081</v>
      </c>
      <c r="U21" s="2056"/>
      <c r="V21" s="2056"/>
      <c r="W21" s="2056"/>
      <c r="X21" s="2061" t="s">
        <v>2082</v>
      </c>
      <c r="Y21" s="2062"/>
      <c r="Z21" s="2062"/>
      <c r="AA21" s="2063"/>
    </row>
    <row r="22" spans="1:27" ht="13.5" customHeight="1" x14ac:dyDescent="0.2">
      <c r="A22" s="87" t="s">
        <v>552</v>
      </c>
      <c r="B22" s="59"/>
      <c r="C22" s="59"/>
      <c r="D22" s="59"/>
      <c r="E22" s="59"/>
      <c r="F22" s="59"/>
      <c r="G22" s="59"/>
      <c r="H22" s="60"/>
      <c r="I22" s="2013" t="s">
        <v>1504</v>
      </c>
      <c r="J22" s="2014"/>
      <c r="K22" s="2014"/>
      <c r="L22" s="2014"/>
      <c r="M22" s="2014"/>
      <c r="N22" s="2014"/>
      <c r="O22" s="2014"/>
      <c r="P22" s="2014"/>
      <c r="Q22" s="2014"/>
      <c r="R22" s="2014"/>
      <c r="S22" s="2015"/>
      <c r="T22" s="85" t="s">
        <v>1596</v>
      </c>
      <c r="U22" s="51"/>
      <c r="V22" s="72"/>
      <c r="W22" s="51"/>
      <c r="X22" s="160" t="s">
        <v>1385</v>
      </c>
      <c r="Z22" s="45"/>
      <c r="AA22" s="46"/>
    </row>
    <row r="23" spans="1:27" ht="13.5" customHeight="1" x14ac:dyDescent="0.2">
      <c r="A23" s="2008"/>
      <c r="B23" s="2009"/>
      <c r="C23" s="2009"/>
      <c r="D23" s="2009"/>
      <c r="E23" s="2009"/>
      <c r="F23" s="2009"/>
      <c r="G23" s="2009"/>
      <c r="H23" s="2010"/>
      <c r="T23" s="1991" t="s">
        <v>2083</v>
      </c>
      <c r="U23" s="2054"/>
      <c r="V23" s="2054"/>
      <c r="W23" s="2054"/>
      <c r="X23" s="2058">
        <v>43466</v>
      </c>
      <c r="Y23" s="2059"/>
      <c r="Z23" s="2059"/>
      <c r="AA23" s="2060"/>
    </row>
    <row r="24" spans="1:27" ht="14.1" customHeight="1" x14ac:dyDescent="0.2">
      <c r="A24" s="88" t="s">
        <v>698</v>
      </c>
      <c r="B24" s="49"/>
      <c r="C24" s="49"/>
      <c r="D24" s="49"/>
      <c r="E24" s="49"/>
      <c r="F24" s="49"/>
      <c r="G24" s="49"/>
      <c r="H24" s="61"/>
      <c r="J24" s="1978">
        <f>IF(B5="x",IF(AUDITCHECK!D29="AFR form Incomplete.","",IF(AUDITCHECK!D29="Deficit reduction plan is required.","School District must complete a deficit reduction plan in the 2018-2019 Budget",)),"")</f>
        <v>0</v>
      </c>
      <c r="K24" s="1978"/>
      <c r="L24" s="1978"/>
      <c r="M24" s="1978"/>
      <c r="N24" s="1978"/>
      <c r="O24" s="1978"/>
      <c r="P24" s="1978"/>
      <c r="Q24" s="1978"/>
      <c r="R24" s="1978"/>
      <c r="S24" s="1979"/>
      <c r="T24" s="105" t="s">
        <v>552</v>
      </c>
      <c r="U24" s="106"/>
      <c r="V24" s="106"/>
      <c r="W24" s="106"/>
      <c r="X24" s="107"/>
      <c r="Y24" s="107"/>
      <c r="Z24" s="107"/>
      <c r="AA24" s="108"/>
    </row>
    <row r="25" spans="1:27" ht="14.1" customHeight="1" x14ac:dyDescent="0.2">
      <c r="A25" s="1955">
        <v>62677</v>
      </c>
      <c r="B25" s="1956"/>
      <c r="C25" s="1956"/>
      <c r="D25" s="1956"/>
      <c r="E25" s="1956"/>
      <c r="F25" s="1956"/>
      <c r="G25" s="1956"/>
      <c r="H25" s="1957"/>
      <c r="I25" s="113"/>
      <c r="J25" s="1980"/>
      <c r="K25" s="1980"/>
      <c r="L25" s="1980"/>
      <c r="M25" s="1980"/>
      <c r="N25" s="1980"/>
      <c r="O25" s="1980"/>
      <c r="P25" s="1980"/>
      <c r="Q25" s="1980"/>
      <c r="R25" s="1980"/>
      <c r="S25" s="1981"/>
      <c r="T25" s="2051" t="s">
        <v>2093</v>
      </c>
      <c r="U25" s="2052"/>
      <c r="V25" s="2052"/>
      <c r="W25" s="2052"/>
      <c r="X25" s="2052"/>
      <c r="Y25" s="2052"/>
      <c r="Z25" s="2052"/>
      <c r="AA25" s="205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6" t="s">
        <v>1591</v>
      </c>
      <c r="J27" s="1967"/>
      <c r="K27" s="1967"/>
      <c r="L27" s="1967"/>
      <c r="M27" s="1967"/>
      <c r="N27" s="1967"/>
      <c r="O27" s="1967"/>
      <c r="P27" s="1967"/>
      <c r="Q27" s="1967"/>
      <c r="R27" s="1967"/>
      <c r="S27" s="196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2084</v>
      </c>
      <c r="C29" s="124" t="s">
        <v>874</v>
      </c>
      <c r="D29" s="114"/>
      <c r="E29" s="136"/>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c r="Q35" s="1956"/>
      <c r="R35" s="195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1" t="s">
        <v>2088</v>
      </c>
      <c r="B38" s="1992"/>
      <c r="C38" s="1992"/>
      <c r="D38" s="1992"/>
      <c r="E38" s="1992"/>
      <c r="F38" s="1956"/>
      <c r="G38" s="1956"/>
      <c r="H38" s="1957"/>
      <c r="I38" s="1984"/>
      <c r="J38" s="1985"/>
      <c r="K38" s="1985"/>
      <c r="L38" s="1985"/>
      <c r="M38" s="1985"/>
      <c r="N38" s="1985"/>
      <c r="O38" s="1985"/>
      <c r="P38" s="1986"/>
      <c r="Q38" s="1986"/>
      <c r="R38" s="1986"/>
      <c r="S38" s="1987"/>
      <c r="T38" s="2041"/>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2089</v>
      </c>
      <c r="B40" s="1970"/>
      <c r="C40" s="1971"/>
      <c r="D40" s="1971"/>
      <c r="E40" s="1971"/>
      <c r="F40" s="1972"/>
      <c r="G40" s="1972"/>
      <c r="H40" s="1973"/>
      <c r="I40" s="1994"/>
      <c r="J40" s="1995"/>
      <c r="K40" s="1995"/>
      <c r="L40" s="1995"/>
      <c r="M40" s="1995"/>
      <c r="N40" s="1995"/>
      <c r="O40" s="1995"/>
      <c r="P40" s="1995"/>
      <c r="Q40" s="1995"/>
      <c r="R40" s="1995"/>
      <c r="S40" s="1996"/>
      <c r="T40" s="1994"/>
      <c r="U40" s="2057"/>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t="s">
        <v>2090</v>
      </c>
      <c r="B42" s="1975"/>
      <c r="C42" s="1976"/>
      <c r="D42" s="1974" t="s">
        <v>2091</v>
      </c>
      <c r="E42" s="1975"/>
      <c r="F42" s="1975"/>
      <c r="G42" s="1975"/>
      <c r="H42" s="1976"/>
      <c r="I42" s="1958"/>
      <c r="J42" s="1959"/>
      <c r="K42" s="1959"/>
      <c r="L42" s="1959"/>
      <c r="M42" s="1959"/>
      <c r="N42" s="1959"/>
      <c r="O42" s="1960"/>
      <c r="P42" s="1993"/>
      <c r="Q42" s="1959"/>
      <c r="R42" s="1959"/>
      <c r="S42" s="1960"/>
      <c r="T42" s="1958"/>
      <c r="U42" s="1959"/>
      <c r="V42" s="1959"/>
      <c r="W42" s="1960"/>
      <c r="X42" s="1993"/>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197" t="s">
        <v>1905</v>
      </c>
      <c r="B2" s="1550" t="s">
        <v>2037</v>
      </c>
      <c r="C2" s="715" t="s">
        <v>1910</v>
      </c>
      <c r="D2" s="715" t="s">
        <v>1911</v>
      </c>
      <c r="E2" s="715" t="s">
        <v>1912</v>
      </c>
      <c r="F2" s="715" t="s">
        <v>1913</v>
      </c>
    </row>
    <row r="3" spans="1:6" ht="12" customHeight="1" x14ac:dyDescent="0.2">
      <c r="A3" s="2198"/>
      <c r="B3" s="1547"/>
      <c r="C3" s="1548"/>
      <c r="D3" s="1549" t="s">
        <v>274</v>
      </c>
      <c r="E3" s="1548"/>
      <c r="F3" s="1549" t="s">
        <v>275</v>
      </c>
    </row>
    <row r="4" spans="1:6" ht="13.7" customHeight="1" x14ac:dyDescent="0.2">
      <c r="A4" s="716" t="s">
        <v>1217</v>
      </c>
      <c r="B4" s="1769">
        <f>'Revenues 9-14'!C5</f>
        <v>6646398</v>
      </c>
      <c r="C4" s="1546">
        <v>3616609</v>
      </c>
      <c r="D4" s="1772">
        <f>B4-C4</f>
        <v>3029789</v>
      </c>
      <c r="E4" s="1546">
        <v>6958188</v>
      </c>
      <c r="F4" s="1772">
        <f>E4-C4</f>
        <v>3341579</v>
      </c>
    </row>
    <row r="5" spans="1:6" ht="13.7" customHeight="1" x14ac:dyDescent="0.2">
      <c r="A5" s="716" t="s">
        <v>925</v>
      </c>
      <c r="B5" s="1770">
        <f>'Revenues 9-14'!D5</f>
        <v>1372475</v>
      </c>
      <c r="C5" s="585">
        <v>756472</v>
      </c>
      <c r="D5" s="1773">
        <f t="shared" ref="D5:D18" si="0">B5-C5</f>
        <v>616003</v>
      </c>
      <c r="E5" s="585">
        <v>1455417</v>
      </c>
      <c r="F5" s="1773">
        <f>E5-C5</f>
        <v>698945</v>
      </c>
    </row>
    <row r="6" spans="1:6" ht="13.7" customHeight="1" x14ac:dyDescent="0.2">
      <c r="A6" s="716" t="s">
        <v>431</v>
      </c>
      <c r="B6" s="1770">
        <f>'Revenues 9-14'!E5</f>
        <v>745836</v>
      </c>
      <c r="C6" s="585">
        <v>410882</v>
      </c>
      <c r="D6" s="1773">
        <f t="shared" si="0"/>
        <v>334954</v>
      </c>
      <c r="E6" s="585">
        <v>790518</v>
      </c>
      <c r="F6" s="1773">
        <f t="shared" ref="F6:F18" si="1">E6-C6</f>
        <v>379636</v>
      </c>
    </row>
    <row r="7" spans="1:6" ht="13.7" customHeight="1" x14ac:dyDescent="0.2">
      <c r="A7" s="716" t="s">
        <v>157</v>
      </c>
      <c r="B7" s="1770">
        <f>'Revenues 9-14'!F5</f>
        <v>477956</v>
      </c>
      <c r="C7" s="585">
        <v>267239</v>
      </c>
      <c r="D7" s="1773">
        <f t="shared" si="0"/>
        <v>210717</v>
      </c>
      <c r="E7" s="585">
        <v>514156</v>
      </c>
      <c r="F7" s="1773">
        <f t="shared" si="1"/>
        <v>246917</v>
      </c>
    </row>
    <row r="8" spans="1:6" ht="13.7" customHeight="1" x14ac:dyDescent="0.2">
      <c r="A8" s="716" t="s">
        <v>1241</v>
      </c>
      <c r="B8" s="1770">
        <f>'Revenues 9-14'!G5</f>
        <v>54524</v>
      </c>
      <c r="C8" s="585">
        <v>28408</v>
      </c>
      <c r="D8" s="1773">
        <f t="shared" si="0"/>
        <v>26116</v>
      </c>
      <c r="E8" s="585">
        <v>54655</v>
      </c>
      <c r="F8" s="1773">
        <f t="shared" si="1"/>
        <v>26247</v>
      </c>
    </row>
    <row r="9" spans="1:6" ht="13.7" customHeight="1" x14ac:dyDescent="0.2">
      <c r="A9" s="716" t="s">
        <v>428</v>
      </c>
      <c r="B9" s="1770">
        <f>'Revenues 9-14'!H5</f>
        <v>0</v>
      </c>
      <c r="C9" s="585"/>
      <c r="D9" s="1773">
        <f t="shared" si="0"/>
        <v>0</v>
      </c>
      <c r="E9" s="585"/>
      <c r="F9" s="1773">
        <f t="shared" si="1"/>
        <v>0</v>
      </c>
    </row>
    <row r="10" spans="1:6" ht="13.7" customHeight="1" x14ac:dyDescent="0.2">
      <c r="A10" s="716" t="s">
        <v>427</v>
      </c>
      <c r="B10" s="1770">
        <f>'Revenues 9-14'!I5</f>
        <v>52558</v>
      </c>
      <c r="C10" s="585">
        <v>28408</v>
      </c>
      <c r="D10" s="1773">
        <f t="shared" si="0"/>
        <v>24150</v>
      </c>
      <c r="E10" s="585">
        <v>54655</v>
      </c>
      <c r="F10" s="1773">
        <f t="shared" si="1"/>
        <v>26247</v>
      </c>
    </row>
    <row r="11" spans="1:6" x14ac:dyDescent="0.2">
      <c r="A11" s="716" t="s">
        <v>429</v>
      </c>
      <c r="B11" s="1770">
        <f>'Revenues 9-14'!J5</f>
        <v>776146</v>
      </c>
      <c r="C11" s="585">
        <v>461054</v>
      </c>
      <c r="D11" s="1773">
        <f t="shared" si="0"/>
        <v>315092</v>
      </c>
      <c r="E11" s="585">
        <v>887046</v>
      </c>
      <c r="F11" s="1773">
        <f t="shared" si="1"/>
        <v>425992</v>
      </c>
    </row>
    <row r="12" spans="1:6" ht="13.7" customHeight="1" x14ac:dyDescent="0.2">
      <c r="A12" s="716" t="s">
        <v>159</v>
      </c>
      <c r="B12" s="1770">
        <f>'Revenues 9-14'!K5</f>
        <v>143610</v>
      </c>
      <c r="C12" s="585">
        <v>73310</v>
      </c>
      <c r="D12" s="1773">
        <f t="shared" si="0"/>
        <v>70300</v>
      </c>
      <c r="E12" s="585">
        <v>141045</v>
      </c>
      <c r="F12" s="1773">
        <f t="shared" si="1"/>
        <v>67735</v>
      </c>
    </row>
    <row r="13" spans="1:6" ht="13.7" customHeight="1" x14ac:dyDescent="0.2">
      <c r="A13" s="716" t="s">
        <v>993</v>
      </c>
      <c r="B13" s="1770">
        <f>SUM('Revenues 9-14'!C6:D6)</f>
        <v>0</v>
      </c>
      <c r="C13" s="585"/>
      <c r="D13" s="1773">
        <f t="shared" si="0"/>
        <v>0</v>
      </c>
      <c r="E13" s="585"/>
      <c r="F13" s="1773">
        <f t="shared" si="1"/>
        <v>0</v>
      </c>
    </row>
    <row r="14" spans="1:6" ht="13.7" customHeight="1" x14ac:dyDescent="0.2">
      <c r="A14" s="716" t="s">
        <v>430</v>
      </c>
      <c r="B14" s="1770">
        <f>SUM('Revenues 9-14'!C7:D7,'Revenues 9-14'!F7:H7)</f>
        <v>100213</v>
      </c>
      <c r="C14" s="585">
        <v>52004</v>
      </c>
      <c r="D14" s="1773">
        <f t="shared" si="0"/>
        <v>48209</v>
      </c>
      <c r="E14" s="585">
        <v>100054</v>
      </c>
      <c r="F14" s="1773">
        <f t="shared" si="1"/>
        <v>48050</v>
      </c>
    </row>
    <row r="15" spans="1:6" ht="13.7" customHeight="1" x14ac:dyDescent="0.2">
      <c r="A15" s="716" t="s">
        <v>1220</v>
      </c>
      <c r="B15" s="1770">
        <f>'Revenues 9-14'!E9</f>
        <v>0</v>
      </c>
      <c r="C15" s="585"/>
      <c r="D15" s="1773">
        <f t="shared" si="0"/>
        <v>0</v>
      </c>
      <c r="E15" s="585"/>
      <c r="F15" s="1773">
        <f t="shared" si="1"/>
        <v>0</v>
      </c>
    </row>
    <row r="16" spans="1:6" ht="13.7" customHeight="1" x14ac:dyDescent="0.2">
      <c r="A16" s="716" t="s">
        <v>1221</v>
      </c>
      <c r="B16" s="1770">
        <f>'Revenues 9-14'!G8</f>
        <v>272301</v>
      </c>
      <c r="C16" s="585">
        <v>141810</v>
      </c>
      <c r="D16" s="1773">
        <f t="shared" si="0"/>
        <v>130491</v>
      </c>
      <c r="E16" s="585">
        <v>272836</v>
      </c>
      <c r="F16" s="1773">
        <f t="shared" si="1"/>
        <v>131026</v>
      </c>
    </row>
    <row r="17" spans="1:6" ht="13.7" customHeight="1" x14ac:dyDescent="0.2">
      <c r="A17" s="716" t="s">
        <v>1222</v>
      </c>
      <c r="B17" s="1770">
        <f>'Revenues 9-14'!C10</f>
        <v>0</v>
      </c>
      <c r="C17" s="585"/>
      <c r="D17" s="1773">
        <f t="shared" si="0"/>
        <v>0</v>
      </c>
      <c r="E17" s="585"/>
      <c r="F17" s="1773">
        <f t="shared" si="1"/>
        <v>0</v>
      </c>
    </row>
    <row r="18" spans="1:6" ht="13.7" customHeight="1" x14ac:dyDescent="0.2">
      <c r="A18" s="716" t="s">
        <v>786</v>
      </c>
      <c r="B18" s="1770">
        <f>SUM('Revenues 9-14'!C11:K11)</f>
        <v>0</v>
      </c>
      <c r="C18" s="585"/>
      <c r="D18" s="1773">
        <f t="shared" si="0"/>
        <v>0</v>
      </c>
      <c r="E18" s="585"/>
      <c r="F18" s="1773">
        <f t="shared" si="1"/>
        <v>0</v>
      </c>
    </row>
    <row r="19" spans="1:6" ht="13.7" customHeight="1" thickBot="1" x14ac:dyDescent="0.25">
      <c r="A19" s="1774" t="s">
        <v>1223</v>
      </c>
      <c r="B19" s="1771">
        <f>SUM(B4:B18)</f>
        <v>10642017</v>
      </c>
      <c r="C19" s="1771">
        <f>SUM(C4:C18)</f>
        <v>5836196</v>
      </c>
      <c r="D19" s="1771">
        <f>SUM(D4:D18)</f>
        <v>4805821</v>
      </c>
      <c r="E19" s="1771">
        <f>SUM(E4:E18)</f>
        <v>11228570</v>
      </c>
      <c r="F19" s="1771">
        <f>SUM(F4:F18)</f>
        <v>5392374</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9" t="s">
        <v>650</v>
      </c>
      <c r="B1" s="2217"/>
      <c r="C1" s="722"/>
    </row>
    <row r="2" spans="1:7" ht="33.75" x14ac:dyDescent="0.2">
      <c r="A2" s="2224" t="s">
        <v>1905</v>
      </c>
      <c r="B2" s="2225"/>
      <c r="C2" s="1905" t="s">
        <v>2038</v>
      </c>
      <c r="D2" s="724" t="s">
        <v>2045</v>
      </c>
      <c r="E2" s="724" t="s">
        <v>2046</v>
      </c>
      <c r="F2" s="1905" t="s">
        <v>2039</v>
      </c>
    </row>
    <row r="3" spans="1:7" ht="15.75" customHeight="1" x14ac:dyDescent="0.2">
      <c r="A3" s="2226" t="s">
        <v>1176</v>
      </c>
      <c r="B3" s="2227"/>
      <c r="C3" s="2220"/>
      <c r="D3" s="2221"/>
      <c r="E3" s="2221"/>
      <c r="F3" s="2222"/>
    </row>
    <row r="4" spans="1:7" ht="12.75" customHeight="1" thickBot="1" x14ac:dyDescent="0.25">
      <c r="A4" s="2214" t="s">
        <v>651</v>
      </c>
      <c r="B4" s="2215"/>
      <c r="C4" s="581"/>
      <c r="D4" s="581"/>
      <c r="E4" s="581"/>
      <c r="F4" s="1775">
        <f>SUM(C4+D4)-E4</f>
        <v>0</v>
      </c>
    </row>
    <row r="5" spans="1:7" ht="15.75" customHeight="1" thickTop="1" x14ac:dyDescent="0.2">
      <c r="A5" s="2218" t="s">
        <v>1172</v>
      </c>
      <c r="B5" s="2213"/>
      <c r="C5" s="2207"/>
      <c r="D5" s="2208"/>
      <c r="E5" s="2208"/>
      <c r="F5" s="2209"/>
    </row>
    <row r="6" spans="1:7" ht="12.75" customHeight="1" thickBot="1" x14ac:dyDescent="0.25">
      <c r="A6" s="725" t="s">
        <v>66</v>
      </c>
      <c r="B6" s="726"/>
      <c r="C6" s="727"/>
      <c r="D6" s="585"/>
      <c r="E6" s="727"/>
      <c r="F6" s="1775">
        <f t="shared" ref="F6:F14" si="0">SUM(C6+D6)-E6</f>
        <v>0</v>
      </c>
    </row>
    <row r="7" spans="1:7" ht="12.75" customHeight="1" thickTop="1" thickBot="1" x14ac:dyDescent="0.25">
      <c r="A7" s="725" t="s">
        <v>6</v>
      </c>
      <c r="B7" s="726"/>
      <c r="C7" s="727"/>
      <c r="D7" s="585"/>
      <c r="E7" s="727"/>
      <c r="F7" s="1775">
        <f t="shared" si="0"/>
        <v>0</v>
      </c>
    </row>
    <row r="8" spans="1:7" ht="12.75" customHeight="1" thickTop="1" thickBot="1" x14ac:dyDescent="0.25">
      <c r="A8" s="725" t="s">
        <v>529</v>
      </c>
      <c r="B8" s="726"/>
      <c r="C8" s="727"/>
      <c r="D8" s="585"/>
      <c r="E8" s="727"/>
      <c r="F8" s="1775">
        <f t="shared" si="0"/>
        <v>0</v>
      </c>
    </row>
    <row r="9" spans="1:7" ht="12.75" customHeight="1" thickTop="1" thickBot="1" x14ac:dyDescent="0.25">
      <c r="A9" s="725" t="s">
        <v>530</v>
      </c>
      <c r="B9" s="726"/>
      <c r="C9" s="727"/>
      <c r="D9" s="585"/>
      <c r="E9" s="727"/>
      <c r="F9" s="1775">
        <f t="shared" si="0"/>
        <v>0</v>
      </c>
    </row>
    <row r="10" spans="1:7" ht="12.75" customHeight="1" thickTop="1" thickBot="1" x14ac:dyDescent="0.25">
      <c r="A10" s="725" t="s">
        <v>531</v>
      </c>
      <c r="B10" s="726"/>
      <c r="C10" s="727"/>
      <c r="D10" s="585"/>
      <c r="E10" s="727"/>
      <c r="F10" s="1775">
        <f t="shared" si="0"/>
        <v>0</v>
      </c>
    </row>
    <row r="11" spans="1:7" ht="12.75" customHeight="1" thickTop="1" thickBot="1" x14ac:dyDescent="0.25">
      <c r="A11" s="725" t="s">
        <v>359</v>
      </c>
      <c r="B11" s="726"/>
      <c r="C11" s="727"/>
      <c r="D11" s="585"/>
      <c r="E11" s="727"/>
      <c r="F11" s="1775">
        <f t="shared" si="0"/>
        <v>0</v>
      </c>
    </row>
    <row r="12" spans="1:7" ht="12.75" customHeight="1" thickTop="1" thickBot="1" x14ac:dyDescent="0.25">
      <c r="A12" s="725" t="s">
        <v>1219</v>
      </c>
      <c r="B12" s="726"/>
      <c r="C12" s="727"/>
      <c r="D12" s="585"/>
      <c r="E12" s="727"/>
      <c r="F12" s="1775">
        <f t="shared" si="0"/>
        <v>0</v>
      </c>
    </row>
    <row r="13" spans="1:7" ht="12.75" customHeight="1" thickTop="1" thickBot="1" x14ac:dyDescent="0.25">
      <c r="A13" s="725" t="s">
        <v>406</v>
      </c>
      <c r="B13" s="726"/>
      <c r="C13" s="727"/>
      <c r="D13" s="585"/>
      <c r="E13" s="727"/>
      <c r="F13" s="1775">
        <f t="shared" si="0"/>
        <v>0</v>
      </c>
    </row>
    <row r="14" spans="1:7" ht="12.75" customHeight="1" thickTop="1" thickBot="1" x14ac:dyDescent="0.25">
      <c r="A14" s="725" t="s">
        <v>468</v>
      </c>
      <c r="B14" s="726"/>
      <c r="C14" s="727"/>
      <c r="D14" s="585"/>
      <c r="E14" s="727"/>
      <c r="F14" s="1775">
        <f t="shared" si="0"/>
        <v>0</v>
      </c>
    </row>
    <row r="15" spans="1:7" ht="14.25" thickTop="1" thickBot="1" x14ac:dyDescent="0.25">
      <c r="A15" s="2210" t="s">
        <v>652</v>
      </c>
      <c r="B15" s="2211"/>
      <c r="C15" s="1775">
        <f>SUM(C6:C14)</f>
        <v>0</v>
      </c>
      <c r="D15" s="1775">
        <f>SUM(D6:D14)</f>
        <v>0</v>
      </c>
      <c r="E15" s="1775">
        <f>SUM(E6:E14)</f>
        <v>0</v>
      </c>
      <c r="F15" s="1775">
        <f>SUM(F6:F14)</f>
        <v>0</v>
      </c>
      <c r="G15" s="552"/>
    </row>
    <row r="16" spans="1:7" s="202" customFormat="1" ht="15.75" customHeight="1" thickTop="1" x14ac:dyDescent="0.2">
      <c r="A16" s="2223" t="s">
        <v>1173</v>
      </c>
      <c r="B16" s="2213"/>
      <c r="C16" s="2207"/>
      <c r="D16" s="2208"/>
      <c r="E16" s="2208"/>
      <c r="F16" s="2209"/>
    </row>
    <row r="17" spans="1:11" ht="12.75" customHeight="1" thickBot="1" x14ac:dyDescent="0.25">
      <c r="A17" s="2205" t="s">
        <v>66</v>
      </c>
      <c r="B17" s="2206"/>
      <c r="C17" s="727"/>
      <c r="D17" s="585"/>
      <c r="E17" s="727"/>
      <c r="F17" s="1775">
        <f>SUM(C17+D17)-E17</f>
        <v>0</v>
      </c>
    </row>
    <row r="18" spans="1:11" ht="12.75" customHeight="1" thickTop="1" thickBot="1" x14ac:dyDescent="0.25">
      <c r="A18" s="2205" t="s">
        <v>6</v>
      </c>
      <c r="B18" s="2206"/>
      <c r="C18" s="727"/>
      <c r="D18" s="585"/>
      <c r="E18" s="727"/>
      <c r="F18" s="1775">
        <f>SUM(C18+D18)-E18</f>
        <v>0</v>
      </c>
    </row>
    <row r="19" spans="1:11" ht="12.75" customHeight="1" thickTop="1" thickBot="1" x14ac:dyDescent="0.25">
      <c r="A19" s="2205" t="s">
        <v>406</v>
      </c>
      <c r="B19" s="2206"/>
      <c r="C19" s="727"/>
      <c r="D19" s="585"/>
      <c r="E19" s="727"/>
      <c r="F19" s="1775">
        <f>SUM(C19+D19)-E19</f>
        <v>0</v>
      </c>
    </row>
    <row r="20" spans="1:11" ht="12.75" customHeight="1" thickTop="1" thickBot="1" x14ac:dyDescent="0.25">
      <c r="A20" s="2205" t="s">
        <v>468</v>
      </c>
      <c r="B20" s="2206"/>
      <c r="C20" s="727"/>
      <c r="D20" s="585"/>
      <c r="E20" s="727"/>
      <c r="F20" s="1775">
        <f>SUM(C20+D20)-E20</f>
        <v>0</v>
      </c>
    </row>
    <row r="21" spans="1:11" ht="14.25" thickTop="1" thickBot="1" x14ac:dyDescent="0.25">
      <c r="A21" s="2210" t="s">
        <v>653</v>
      </c>
      <c r="B21" s="2211"/>
      <c r="C21" s="1775">
        <f>SUM(C17:C20)</f>
        <v>0</v>
      </c>
      <c r="D21" s="1775">
        <f>SUM(D17:D20)</f>
        <v>0</v>
      </c>
      <c r="E21" s="1775">
        <f>SUM(E17:E20)</f>
        <v>0</v>
      </c>
      <c r="F21" s="1775">
        <f>SUM(F17:F20)</f>
        <v>0</v>
      </c>
      <c r="G21" s="552"/>
    </row>
    <row r="22" spans="1:11" ht="15.75" customHeight="1" thickTop="1" x14ac:dyDescent="0.2">
      <c r="A22" s="2212" t="s">
        <v>1174</v>
      </c>
      <c r="B22" s="2213"/>
      <c r="C22" s="2207"/>
      <c r="D22" s="2208"/>
      <c r="E22" s="2208"/>
      <c r="F22" s="2209"/>
    </row>
    <row r="23" spans="1:11" ht="13.5" thickBot="1" x14ac:dyDescent="0.25">
      <c r="A23" s="2214" t="s">
        <v>654</v>
      </c>
      <c r="B23" s="2215"/>
      <c r="C23" s="581"/>
      <c r="D23" s="581"/>
      <c r="E23" s="581"/>
      <c r="F23" s="1775">
        <f>SUM(C23+D23)-E23</f>
        <v>0</v>
      </c>
      <c r="G23" s="552"/>
    </row>
    <row r="24" spans="1:11" ht="15.75" customHeight="1" thickTop="1" x14ac:dyDescent="0.2">
      <c r="A24" s="2212" t="s">
        <v>1175</v>
      </c>
      <c r="B24" s="2213"/>
      <c r="C24" s="2207"/>
      <c r="D24" s="2208"/>
      <c r="E24" s="2208"/>
      <c r="F24" s="2209"/>
    </row>
    <row r="25" spans="1:11" ht="13.5" thickBot="1" x14ac:dyDescent="0.25">
      <c r="A25" s="2214" t="s">
        <v>655</v>
      </c>
      <c r="B25" s="2215"/>
      <c r="C25" s="581"/>
      <c r="D25" s="581"/>
      <c r="E25" s="581"/>
      <c r="F25" s="1775">
        <f>SUM(C25+D25)-E25</f>
        <v>0</v>
      </c>
      <c r="G25" s="552"/>
    </row>
    <row r="26" spans="1:11" ht="15.75" customHeight="1" thickTop="1" x14ac:dyDescent="0.2">
      <c r="A26" s="2218" t="s">
        <v>678</v>
      </c>
      <c r="B26" s="2213"/>
      <c r="C26" s="728"/>
      <c r="D26" s="728"/>
      <c r="E26" s="728"/>
      <c r="F26" s="729"/>
    </row>
    <row r="27" spans="1:11" ht="13.5" thickBot="1" x14ac:dyDescent="0.25">
      <c r="A27" s="2210" t="s">
        <v>1130</v>
      </c>
      <c r="B27" s="2211"/>
      <c r="C27" s="585"/>
      <c r="D27" s="585"/>
      <c r="E27" s="585"/>
      <c r="F27" s="1775">
        <f>SUM(C27+D27)-E27</f>
        <v>0</v>
      </c>
      <c r="G27" s="552"/>
    </row>
    <row r="28" spans="1:11" ht="7.5" customHeight="1" thickTop="1" x14ac:dyDescent="0.2">
      <c r="A28" s="594"/>
    </row>
    <row r="29" spans="1:11" ht="23.25" customHeight="1" x14ac:dyDescent="0.2">
      <c r="A29" s="2216" t="s">
        <v>603</v>
      </c>
      <c r="B29" s="2217"/>
      <c r="C29" s="730"/>
      <c r="D29" s="730"/>
      <c r="E29" s="730"/>
      <c r="F29" s="730"/>
      <c r="G29" s="730"/>
      <c r="H29" s="730"/>
      <c r="I29" s="730"/>
      <c r="J29" s="730"/>
    </row>
    <row r="30" spans="1:11" ht="33.75" x14ac:dyDescent="0.2">
      <c r="A30" s="1551" t="s">
        <v>1131</v>
      </c>
      <c r="B30" s="731" t="s">
        <v>1186</v>
      </c>
      <c r="C30" s="1906" t="s">
        <v>604</v>
      </c>
      <c r="D30" s="1906" t="s">
        <v>1772</v>
      </c>
      <c r="E30" s="1906" t="s">
        <v>2040</v>
      </c>
      <c r="F30" s="1906" t="s">
        <v>2041</v>
      </c>
      <c r="G30" s="1906" t="s">
        <v>2044</v>
      </c>
      <c r="H30" s="1906" t="s">
        <v>2042</v>
      </c>
      <c r="I30" s="1906" t="s">
        <v>2043</v>
      </c>
      <c r="J30" s="1907" t="s">
        <v>2</v>
      </c>
      <c r="K30" s="732"/>
    </row>
    <row r="31" spans="1:11" ht="12" customHeight="1" x14ac:dyDescent="0.2">
      <c r="A31" s="733" t="s">
        <v>2095</v>
      </c>
      <c r="B31" s="734">
        <v>39892</v>
      </c>
      <c r="C31" s="735">
        <v>2870000</v>
      </c>
      <c r="D31" s="736">
        <v>3</v>
      </c>
      <c r="E31" s="735">
        <v>595000</v>
      </c>
      <c r="F31" s="735"/>
      <c r="G31" s="735"/>
      <c r="H31" s="735">
        <v>595000</v>
      </c>
      <c r="I31" s="1776">
        <f>((E31+F31)-H31)+G31</f>
        <v>0</v>
      </c>
      <c r="J31" s="735"/>
      <c r="K31" s="737"/>
    </row>
    <row r="32" spans="1:11" ht="12" customHeight="1" x14ac:dyDescent="0.2">
      <c r="A32" s="733" t="s">
        <v>2096</v>
      </c>
      <c r="B32" s="734">
        <v>40983</v>
      </c>
      <c r="C32" s="735">
        <v>3465000</v>
      </c>
      <c r="D32" s="736">
        <v>3</v>
      </c>
      <c r="E32" s="735">
        <v>3240000</v>
      </c>
      <c r="F32" s="735"/>
      <c r="G32" s="735"/>
      <c r="H32" s="735">
        <v>75000</v>
      </c>
      <c r="I32" s="1776">
        <f>((E32+F32)-H32)+G32</f>
        <v>3165000</v>
      </c>
      <c r="J32" s="735">
        <v>3165000</v>
      </c>
      <c r="K32" s="737"/>
    </row>
    <row r="33" spans="1:11" ht="12" customHeight="1" x14ac:dyDescent="0.2">
      <c r="A33" s="733" t="s">
        <v>2097</v>
      </c>
      <c r="B33" s="734">
        <v>40598</v>
      </c>
      <c r="C33" s="735">
        <v>2000000</v>
      </c>
      <c r="D33" s="736">
        <v>6</v>
      </c>
      <c r="E33" s="735">
        <v>1025000</v>
      </c>
      <c r="F33" s="735"/>
      <c r="G33" s="735"/>
      <c r="H33" s="735">
        <v>190000</v>
      </c>
      <c r="I33" s="1776">
        <f t="shared" ref="I33:I48" si="1">((E33+F33)-H33)+G33</f>
        <v>835000</v>
      </c>
      <c r="J33" s="735">
        <v>835000</v>
      </c>
      <c r="K33" s="737"/>
    </row>
    <row r="34" spans="1:11" ht="12" customHeight="1" x14ac:dyDescent="0.2">
      <c r="A34" s="733"/>
      <c r="B34" s="734"/>
      <c r="C34" s="735"/>
      <c r="D34" s="736"/>
      <c r="E34" s="735"/>
      <c r="F34" s="735"/>
      <c r="G34" s="735"/>
      <c r="H34" s="735"/>
      <c r="I34" s="1776">
        <f t="shared" si="1"/>
        <v>0</v>
      </c>
      <c r="J34" s="735"/>
      <c r="K34" s="738"/>
    </row>
    <row r="35" spans="1:11" ht="12" customHeight="1" x14ac:dyDescent="0.2">
      <c r="A35" s="733" t="s">
        <v>2098</v>
      </c>
      <c r="B35" s="734">
        <v>41765</v>
      </c>
      <c r="C35" s="739">
        <v>290832</v>
      </c>
      <c r="D35" s="736">
        <v>7</v>
      </c>
      <c r="E35" s="739">
        <v>60162</v>
      </c>
      <c r="F35" s="739"/>
      <c r="G35" s="739"/>
      <c r="H35" s="739">
        <v>60162</v>
      </c>
      <c r="I35" s="1776">
        <f t="shared" si="1"/>
        <v>0</v>
      </c>
      <c r="J35" s="739"/>
      <c r="K35" s="738"/>
    </row>
    <row r="36" spans="1:11" ht="12" customHeight="1" x14ac:dyDescent="0.2">
      <c r="A36" s="733"/>
      <c r="B36" s="734"/>
      <c r="C36" s="735"/>
      <c r="D36" s="736"/>
      <c r="E36" s="735"/>
      <c r="F36" s="735"/>
      <c r="G36" s="735"/>
      <c r="H36" s="735"/>
      <c r="I36" s="1776">
        <f t="shared" si="1"/>
        <v>0</v>
      </c>
      <c r="J36" s="735"/>
      <c r="K36" s="740"/>
    </row>
    <row r="37" spans="1:11" ht="12" customHeight="1" x14ac:dyDescent="0.2">
      <c r="A37" s="733"/>
      <c r="B37" s="734"/>
      <c r="C37" s="467"/>
      <c r="D37" s="741"/>
      <c r="E37" s="467"/>
      <c r="F37" s="467"/>
      <c r="G37" s="467"/>
      <c r="H37" s="467"/>
      <c r="I37" s="1776">
        <f t="shared" si="1"/>
        <v>0</v>
      </c>
      <c r="J37" s="467"/>
      <c r="K37" s="738"/>
    </row>
    <row r="38" spans="1:11" ht="12" customHeight="1" x14ac:dyDescent="0.2">
      <c r="A38" s="733"/>
      <c r="B38" s="734"/>
      <c r="C38" s="735"/>
      <c r="D38" s="742"/>
      <c r="E38" s="743"/>
      <c r="F38" s="743"/>
      <c r="G38" s="743"/>
      <c r="H38" s="743"/>
      <c r="I38" s="1776">
        <f t="shared" si="1"/>
        <v>0</v>
      </c>
      <c r="J38" s="744" t="s">
        <v>282</v>
      </c>
      <c r="K38" s="745"/>
    </row>
    <row r="39" spans="1:11" ht="12" customHeight="1" x14ac:dyDescent="0.2">
      <c r="A39" s="733"/>
      <c r="B39" s="734"/>
      <c r="C39" s="735"/>
      <c r="D39" s="742"/>
      <c r="E39" s="743"/>
      <c r="F39" s="743"/>
      <c r="G39" s="743"/>
      <c r="H39" s="743"/>
      <c r="I39" s="1776">
        <f t="shared" si="1"/>
        <v>0</v>
      </c>
      <c r="J39" s="744"/>
      <c r="K39" s="745"/>
    </row>
    <row r="40" spans="1:11" ht="12" customHeight="1" x14ac:dyDescent="0.2">
      <c r="A40" s="733"/>
      <c r="B40" s="734"/>
      <c r="C40" s="735"/>
      <c r="D40" s="742"/>
      <c r="E40" s="743"/>
      <c r="F40" s="743"/>
      <c r="G40" s="743"/>
      <c r="H40" s="743"/>
      <c r="I40" s="1776">
        <f t="shared" si="1"/>
        <v>0</v>
      </c>
      <c r="J40" s="744"/>
      <c r="K40" s="745"/>
    </row>
    <row r="41" spans="1:11" ht="12" customHeight="1" x14ac:dyDescent="0.2">
      <c r="A41" s="733"/>
      <c r="B41" s="734"/>
      <c r="C41" s="735"/>
      <c r="D41" s="742"/>
      <c r="E41" s="743"/>
      <c r="F41" s="743"/>
      <c r="G41" s="743"/>
      <c r="H41" s="743"/>
      <c r="I41" s="1776">
        <f t="shared" si="1"/>
        <v>0</v>
      </c>
      <c r="J41" s="744"/>
      <c r="K41" s="745"/>
    </row>
    <row r="42" spans="1:11" ht="12" customHeight="1" x14ac:dyDescent="0.2">
      <c r="A42" s="733"/>
      <c r="B42" s="734"/>
      <c r="C42" s="735"/>
      <c r="D42" s="742"/>
      <c r="E42" s="743"/>
      <c r="F42" s="743"/>
      <c r="G42" s="743"/>
      <c r="H42" s="743"/>
      <c r="I42" s="1776">
        <f t="shared" si="1"/>
        <v>0</v>
      </c>
      <c r="J42" s="744"/>
      <c r="K42" s="745"/>
    </row>
    <row r="43" spans="1:11" ht="12" customHeight="1" x14ac:dyDescent="0.2">
      <c r="A43" s="733"/>
      <c r="B43" s="734"/>
      <c r="C43" s="735"/>
      <c r="D43" s="742"/>
      <c r="E43" s="743"/>
      <c r="F43" s="743"/>
      <c r="G43" s="743"/>
      <c r="H43" s="743"/>
      <c r="I43" s="1776">
        <f t="shared" si="1"/>
        <v>0</v>
      </c>
      <c r="J43" s="744"/>
      <c r="K43" s="745"/>
    </row>
    <row r="44" spans="1:11" ht="12" customHeight="1" x14ac:dyDescent="0.2">
      <c r="A44" s="733"/>
      <c r="B44" s="734"/>
      <c r="C44" s="735"/>
      <c r="D44" s="736"/>
      <c r="E44" s="735"/>
      <c r="F44" s="735"/>
      <c r="G44" s="735"/>
      <c r="H44" s="735"/>
      <c r="I44" s="1776">
        <f t="shared" si="1"/>
        <v>0</v>
      </c>
      <c r="J44" s="735"/>
      <c r="K44" s="738"/>
    </row>
    <row r="45" spans="1:11" ht="12" customHeight="1" x14ac:dyDescent="0.2">
      <c r="A45" s="733"/>
      <c r="B45" s="734"/>
      <c r="C45" s="735"/>
      <c r="D45" s="736"/>
      <c r="E45" s="735"/>
      <c r="F45" s="735"/>
      <c r="G45" s="735"/>
      <c r="H45" s="735"/>
      <c r="I45" s="1776">
        <f t="shared" si="1"/>
        <v>0</v>
      </c>
      <c r="J45" s="735"/>
      <c r="K45" s="738"/>
    </row>
    <row r="46" spans="1:11" ht="12" customHeight="1" x14ac:dyDescent="0.2">
      <c r="A46" s="733"/>
      <c r="B46" s="734"/>
      <c r="C46" s="735"/>
      <c r="D46" s="736"/>
      <c r="E46" s="735"/>
      <c r="F46" s="735"/>
      <c r="G46" s="735"/>
      <c r="H46" s="735"/>
      <c r="I46" s="1776">
        <f t="shared" si="1"/>
        <v>0</v>
      </c>
      <c r="J46" s="735"/>
      <c r="K46" s="738"/>
    </row>
    <row r="47" spans="1:11" ht="12" customHeight="1" x14ac:dyDescent="0.2">
      <c r="A47" s="733"/>
      <c r="B47" s="734"/>
      <c r="C47" s="739"/>
      <c r="D47" s="736"/>
      <c r="E47" s="739"/>
      <c r="F47" s="739"/>
      <c r="G47" s="739"/>
      <c r="H47" s="739"/>
      <c r="I47" s="1776">
        <f t="shared" si="1"/>
        <v>0</v>
      </c>
      <c r="J47" s="739"/>
      <c r="K47" s="738"/>
    </row>
    <row r="48" spans="1:11" ht="12" customHeight="1" x14ac:dyDescent="0.2">
      <c r="A48" s="733"/>
      <c r="B48" s="734"/>
      <c r="C48" s="735"/>
      <c r="D48" s="736"/>
      <c r="E48" s="735"/>
      <c r="F48" s="735"/>
      <c r="G48" s="735"/>
      <c r="H48" s="735"/>
      <c r="I48" s="1776">
        <f t="shared" si="1"/>
        <v>0</v>
      </c>
      <c r="J48" s="735"/>
      <c r="K48" s="738"/>
    </row>
    <row r="49" spans="1:11" ht="12" customHeight="1" x14ac:dyDescent="0.2">
      <c r="A49" s="733"/>
      <c r="B49" s="734"/>
      <c r="C49" s="1776">
        <f>SUM(C31:C48)</f>
        <v>8625832</v>
      </c>
      <c r="D49" s="746"/>
      <c r="E49" s="1776">
        <f t="shared" ref="E49:J49" si="2">SUM(E31:E48)</f>
        <v>4920162</v>
      </c>
      <c r="F49" s="1776">
        <f t="shared" si="2"/>
        <v>0</v>
      </c>
      <c r="G49" s="1776">
        <f t="shared" si="2"/>
        <v>0</v>
      </c>
      <c r="H49" s="1776">
        <f t="shared" si="2"/>
        <v>920162</v>
      </c>
      <c r="I49" s="1776">
        <f t="shared" si="2"/>
        <v>4000000</v>
      </c>
      <c r="J49" s="1776">
        <f t="shared" si="2"/>
        <v>4000000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199" t="s">
        <v>605</v>
      </c>
      <c r="C52" s="2200"/>
      <c r="D52" s="2200"/>
      <c r="E52" s="750" t="s">
        <v>900</v>
      </c>
      <c r="F52" s="2201" t="s">
        <v>2099</v>
      </c>
      <c r="G52" s="2202"/>
      <c r="H52" s="737"/>
      <c r="I52" s="737"/>
      <c r="J52" s="747"/>
    </row>
    <row r="53" spans="1:11" ht="11.25" customHeight="1" x14ac:dyDescent="0.2">
      <c r="A53" s="751" t="s">
        <v>969</v>
      </c>
      <c r="B53" s="752" t="s">
        <v>1008</v>
      </c>
      <c r="C53" s="747"/>
      <c r="D53" s="738"/>
      <c r="E53" s="750" t="s">
        <v>518</v>
      </c>
      <c r="F53" s="2203"/>
      <c r="G53" s="2204"/>
      <c r="H53" s="737"/>
      <c r="I53" s="737"/>
      <c r="J53" s="747"/>
    </row>
    <row r="54" spans="1:11" ht="11.25" customHeight="1" x14ac:dyDescent="0.2">
      <c r="A54" s="753" t="s">
        <v>970</v>
      </c>
      <c r="B54" s="748" t="s">
        <v>1009</v>
      </c>
      <c r="C54" s="747"/>
      <c r="D54" s="738"/>
      <c r="E54" s="750" t="s">
        <v>519</v>
      </c>
      <c r="F54" s="2203"/>
      <c r="G54" s="2204"/>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8" t="s">
        <v>911</v>
      </c>
      <c r="B1" s="2229"/>
      <c r="C1" s="2229"/>
      <c r="D1" s="2229"/>
      <c r="E1" s="2229"/>
      <c r="F1" s="2229"/>
      <c r="G1" s="2230"/>
      <c r="H1" s="1552"/>
      <c r="I1" s="761"/>
      <c r="J1" s="433"/>
    </row>
    <row r="2" spans="1:11" ht="26.25" x14ac:dyDescent="0.2">
      <c r="A2" s="2247" t="s">
        <v>1776</v>
      </c>
      <c r="B2" s="2248"/>
      <c r="C2" s="2248"/>
      <c r="D2" s="2248"/>
      <c r="E2" s="2249"/>
      <c r="F2" s="762" t="s">
        <v>960</v>
      </c>
      <c r="G2" s="763" t="s">
        <v>1773</v>
      </c>
      <c r="H2" s="763" t="s">
        <v>430</v>
      </c>
      <c r="I2" s="763" t="s">
        <v>1220</v>
      </c>
      <c r="J2" s="763" t="s">
        <v>1919</v>
      </c>
      <c r="K2" s="763" t="s">
        <v>140</v>
      </c>
    </row>
    <row r="3" spans="1:11" x14ac:dyDescent="0.2">
      <c r="A3" s="2250" t="s">
        <v>1698</v>
      </c>
      <c r="B3" s="2251"/>
      <c r="C3" s="2251"/>
      <c r="D3" s="2251"/>
      <c r="E3" s="2252"/>
      <c r="F3" s="764"/>
      <c r="G3" s="765"/>
      <c r="H3" s="765"/>
      <c r="I3" s="765"/>
      <c r="J3" s="766"/>
      <c r="K3" s="766"/>
    </row>
    <row r="4" spans="1:11" x14ac:dyDescent="0.2">
      <c r="A4" s="2253" t="s">
        <v>387</v>
      </c>
      <c r="B4" s="2254"/>
      <c r="C4" s="2254"/>
      <c r="D4" s="2254"/>
      <c r="E4" s="2200"/>
      <c r="F4" s="767"/>
      <c r="G4" s="768"/>
      <c r="H4" s="769"/>
      <c r="I4" s="768"/>
      <c r="J4" s="770"/>
      <c r="K4" s="770"/>
    </row>
    <row r="5" spans="1:11" x14ac:dyDescent="0.2">
      <c r="A5" s="2231" t="s">
        <v>1129</v>
      </c>
      <c r="B5" s="2232"/>
      <c r="C5" s="2232"/>
      <c r="D5" s="2232"/>
      <c r="E5" s="2233"/>
      <c r="F5" s="771" t="s">
        <v>903</v>
      </c>
      <c r="G5" s="772"/>
      <c r="H5" s="765">
        <v>100213</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29249</v>
      </c>
    </row>
    <row r="10" spans="1:11" x14ac:dyDescent="0.2">
      <c r="A10" s="2231" t="s">
        <v>1920</v>
      </c>
      <c r="B10" s="2232"/>
      <c r="C10" s="2232"/>
      <c r="D10" s="2232"/>
      <c r="E10" s="2234"/>
      <c r="F10" s="784" t="s">
        <v>917</v>
      </c>
      <c r="G10" s="783"/>
      <c r="H10" s="785"/>
      <c r="I10" s="765"/>
      <c r="J10" s="766"/>
      <c r="K10" s="766"/>
    </row>
    <row r="11" spans="1:11" x14ac:dyDescent="0.2">
      <c r="A11" s="2231" t="s">
        <v>162</v>
      </c>
      <c r="B11" s="2232"/>
      <c r="C11" s="2232"/>
      <c r="D11" s="2232"/>
      <c r="E11" s="2233"/>
      <c r="F11" s="771" t="s">
        <v>907</v>
      </c>
      <c r="G11" s="772"/>
      <c r="H11" s="765"/>
      <c r="I11" s="765"/>
      <c r="J11" s="766"/>
      <c r="K11" s="774"/>
    </row>
    <row r="12" spans="1:11" ht="13.5" thickBot="1" x14ac:dyDescent="0.25">
      <c r="A12" s="2258" t="s">
        <v>961</v>
      </c>
      <c r="B12" s="2259"/>
      <c r="C12" s="2259"/>
      <c r="D12" s="2259"/>
      <c r="E12" s="2260"/>
      <c r="F12" s="1777"/>
      <c r="G12" s="1778">
        <f>SUM(G5:G11)</f>
        <v>0</v>
      </c>
      <c r="H12" s="1778">
        <f>SUM(H5:H11)</f>
        <v>100213</v>
      </c>
      <c r="I12" s="1778">
        <f>SUM(I5:I11)</f>
        <v>0</v>
      </c>
      <c r="J12" s="1778">
        <f>SUM(J5:J11)</f>
        <v>0</v>
      </c>
      <c r="K12" s="1778">
        <f>SUM(K5:K11)</f>
        <v>29249</v>
      </c>
    </row>
    <row r="13" spans="1:11" ht="13.5" thickTop="1" x14ac:dyDescent="0.2">
      <c r="A13" s="2255" t="s">
        <v>388</v>
      </c>
      <c r="B13" s="2256"/>
      <c r="C13" s="2256"/>
      <c r="D13" s="2256"/>
      <c r="E13" s="2257"/>
      <c r="F13" s="786"/>
      <c r="G13" s="787"/>
      <c r="H13" s="788"/>
      <c r="I13" s="789"/>
      <c r="J13" s="789"/>
      <c r="K13" s="789"/>
    </row>
    <row r="14" spans="1:11" x14ac:dyDescent="0.2">
      <c r="A14" s="2238" t="s">
        <v>476</v>
      </c>
      <c r="B14" s="2238"/>
      <c r="C14" s="2238"/>
      <c r="D14" s="2238"/>
      <c r="E14" s="2239"/>
      <c r="F14" s="790" t="s">
        <v>909</v>
      </c>
      <c r="G14" s="783"/>
      <c r="H14" s="765">
        <v>100213</v>
      </c>
      <c r="I14" s="772"/>
      <c r="J14" s="774"/>
      <c r="K14" s="766">
        <v>29249</v>
      </c>
    </row>
    <row r="15" spans="1:11" x14ac:dyDescent="0.2">
      <c r="A15" s="2232" t="s">
        <v>4</v>
      </c>
      <c r="B15" s="2232"/>
      <c r="C15" s="2232"/>
      <c r="D15" s="2232"/>
      <c r="E15" s="2233"/>
      <c r="F15" s="790" t="s">
        <v>910</v>
      </c>
      <c r="G15" s="772"/>
      <c r="H15" s="765"/>
      <c r="I15" s="765"/>
      <c r="J15" s="766"/>
      <c r="K15" s="766"/>
    </row>
    <row r="16" spans="1:11" x14ac:dyDescent="0.2">
      <c r="A16" s="2232" t="s">
        <v>316</v>
      </c>
      <c r="B16" s="2232"/>
      <c r="C16" s="2232"/>
      <c r="D16" s="2232"/>
      <c r="E16" s="2233"/>
      <c r="F16" s="790" t="s">
        <v>980</v>
      </c>
      <c r="G16" s="773"/>
      <c r="H16" s="768"/>
      <c r="I16" s="768"/>
      <c r="J16" s="770"/>
      <c r="K16" s="770"/>
    </row>
    <row r="17" spans="1:11" x14ac:dyDescent="0.2">
      <c r="A17" s="2263" t="s">
        <v>992</v>
      </c>
      <c r="B17" s="2263"/>
      <c r="C17" s="2263"/>
      <c r="D17" s="2263"/>
      <c r="E17" s="2264"/>
      <c r="F17" s="791"/>
      <c r="G17" s="792"/>
      <c r="H17" s="793"/>
      <c r="I17" s="793"/>
      <c r="J17" s="794"/>
      <c r="K17" s="795"/>
    </row>
    <row r="18" spans="1:11" x14ac:dyDescent="0.2">
      <c r="A18" s="2242" t="s">
        <v>386</v>
      </c>
      <c r="B18" s="2243"/>
      <c r="C18" s="2243"/>
      <c r="D18" s="2243"/>
      <c r="E18" s="2244"/>
      <c r="F18" s="790" t="s">
        <v>989</v>
      </c>
      <c r="G18" s="783"/>
      <c r="H18" s="783"/>
      <c r="I18" s="783"/>
      <c r="J18" s="766"/>
      <c r="K18" s="796"/>
    </row>
    <row r="19" spans="1:11" ht="21.75" customHeight="1" x14ac:dyDescent="0.2">
      <c r="A19" s="2240" t="s">
        <v>1916</v>
      </c>
      <c r="B19" s="2240"/>
      <c r="C19" s="2240"/>
      <c r="D19" s="2240"/>
      <c r="E19" s="2241"/>
      <c r="F19" s="790" t="s">
        <v>990</v>
      </c>
      <c r="G19" s="783"/>
      <c r="H19" s="783"/>
      <c r="I19" s="783"/>
      <c r="J19" s="766"/>
      <c r="K19" s="796"/>
    </row>
    <row r="20" spans="1:11" x14ac:dyDescent="0.2">
      <c r="A20" s="2242" t="s">
        <v>1921</v>
      </c>
      <c r="B20" s="2243"/>
      <c r="C20" s="2243"/>
      <c r="D20" s="2243"/>
      <c r="E20" s="2244"/>
      <c r="F20" s="790" t="s">
        <v>991</v>
      </c>
      <c r="G20" s="783"/>
      <c r="H20" s="783"/>
      <c r="I20" s="783"/>
      <c r="J20" s="766"/>
      <c r="K20" s="796"/>
    </row>
    <row r="21" spans="1:11" ht="13.5" thickBot="1" x14ac:dyDescent="0.25">
      <c r="A21" s="2261" t="s">
        <v>659</v>
      </c>
      <c r="B21" s="2261"/>
      <c r="C21" s="2261"/>
      <c r="D21" s="2261"/>
      <c r="E21" s="2261"/>
      <c r="F21" s="1779"/>
      <c r="G21" s="793"/>
      <c r="H21" s="797"/>
      <c r="I21" s="797"/>
      <c r="J21" s="1780">
        <f>SUM(J18:J20)</f>
        <v>0</v>
      </c>
      <c r="K21" s="794"/>
    </row>
    <row r="22" spans="1:11" ht="13.5" thickTop="1" x14ac:dyDescent="0.2">
      <c r="A22" s="2232" t="s">
        <v>1922</v>
      </c>
      <c r="B22" s="2232"/>
      <c r="C22" s="2232"/>
      <c r="D22" s="2232"/>
      <c r="E22" s="2233"/>
      <c r="F22" s="790" t="s">
        <v>917</v>
      </c>
      <c r="G22" s="783"/>
      <c r="H22" s="765"/>
      <c r="I22" s="765"/>
      <c r="J22" s="798"/>
      <c r="K22" s="766"/>
    </row>
    <row r="23" spans="1:11" ht="13.5" thickBot="1" x14ac:dyDescent="0.25">
      <c r="A23" s="2262" t="s">
        <v>962</v>
      </c>
      <c r="B23" s="2261"/>
      <c r="C23" s="2261"/>
      <c r="D23" s="2261"/>
      <c r="E23" s="2261"/>
      <c r="F23" s="1781"/>
      <c r="G23" s="1778">
        <f>SUM(G14:G16,G21,G22)</f>
        <v>0</v>
      </c>
      <c r="H23" s="1778">
        <f>SUM(H14:H16,H21,H22)</f>
        <v>100213</v>
      </c>
      <c r="I23" s="1778">
        <f>SUM(I14:I16,I21,I22)</f>
        <v>0</v>
      </c>
      <c r="J23" s="1778">
        <f>SUM(J14:J16,J21,J22)</f>
        <v>0</v>
      </c>
      <c r="K23" s="1778">
        <f>SUM(K14:K16,K21,K22)</f>
        <v>29249</v>
      </c>
    </row>
    <row r="24" spans="1:11" ht="14.25" thickTop="1" thickBot="1" x14ac:dyDescent="0.25">
      <c r="A24" s="2262" t="s">
        <v>2026</v>
      </c>
      <c r="B24" s="2261"/>
      <c r="C24" s="2261"/>
      <c r="D24" s="2261"/>
      <c r="E24" s="2261"/>
      <c r="F24" s="1782"/>
      <c r="G24" s="1783">
        <f>SUM(G3,G12)-G23</f>
        <v>0</v>
      </c>
      <c r="H24" s="1783">
        <f>SUM(H3,H12)-H23</f>
        <v>0</v>
      </c>
      <c r="I24" s="1783">
        <f>SUM(I3,I12)-I23</f>
        <v>0</v>
      </c>
      <c r="J24" s="1783">
        <f>SUM(J3,J12)-J23</f>
        <v>0</v>
      </c>
      <c r="K24" s="1783">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2036</v>
      </c>
      <c r="B28" s="1902"/>
      <c r="C28" s="1902"/>
      <c r="D28" s="1902"/>
      <c r="E28" s="1903"/>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5"/>
      <c r="I31" s="2236"/>
      <c r="J31" s="2236"/>
      <c r="K31" s="2236"/>
    </row>
    <row r="32" spans="1:11" x14ac:dyDescent="0.2">
      <c r="A32" s="810"/>
      <c r="B32" s="237"/>
      <c r="C32" s="237"/>
      <c r="D32" s="237"/>
      <c r="E32" s="806"/>
      <c r="F32" s="812" t="s">
        <v>561</v>
      </c>
      <c r="G32" s="765"/>
      <c r="H32" s="2237"/>
      <c r="I32" s="2236"/>
      <c r="J32" s="2236"/>
      <c r="K32" s="2236"/>
    </row>
    <row r="33" spans="1:11" ht="1.5" customHeight="1" x14ac:dyDescent="0.2">
      <c r="A33" s="813" t="s">
        <v>1231</v>
      </c>
      <c r="B33" s="364"/>
      <c r="C33" s="364"/>
      <c r="D33" s="364"/>
      <c r="E33" s="364"/>
      <c r="F33" s="364"/>
      <c r="G33" s="814"/>
      <c r="H33" s="2237"/>
      <c r="I33" s="2236"/>
      <c r="J33" s="2236"/>
      <c r="K33" s="2236"/>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2" t="s">
        <v>562</v>
      </c>
      <c r="B41" s="2245"/>
      <c r="C41" s="2245"/>
      <c r="D41" s="2245"/>
      <c r="E41" s="2245"/>
      <c r="F41" s="224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7" t="s">
        <v>2035</v>
      </c>
      <c r="B1" s="2268"/>
      <c r="C1" s="2269"/>
      <c r="D1" s="827"/>
      <c r="E1" s="828"/>
      <c r="F1" s="828"/>
      <c r="G1" s="829"/>
      <c r="H1" s="830"/>
      <c r="I1" s="831"/>
      <c r="J1" s="2265"/>
      <c r="K1" s="2266"/>
      <c r="L1" s="2266"/>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0">
        <f>(C3+D3)-E3</f>
        <v>0</v>
      </c>
      <c r="G3" s="837"/>
      <c r="H3" s="836"/>
      <c r="I3" s="836"/>
      <c r="J3" s="836"/>
      <c r="K3" s="1789">
        <f>(H3+I3)-J3</f>
        <v>0</v>
      </c>
      <c r="L3" s="1789">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715365</v>
      </c>
      <c r="D5" s="842">
        <v>52609</v>
      </c>
      <c r="E5" s="842"/>
      <c r="F5" s="1780">
        <f>(C5+D5)-E5</f>
        <v>767974</v>
      </c>
      <c r="G5" s="838"/>
      <c r="H5" s="843"/>
      <c r="I5" s="843"/>
      <c r="J5" s="843"/>
      <c r="K5" s="794"/>
      <c r="L5" s="1789">
        <f>F5-K5</f>
        <v>767974</v>
      </c>
    </row>
    <row r="6" spans="1:14" ht="14.25" thickTop="1" thickBot="1" x14ac:dyDescent="0.25">
      <c r="A6" s="779" t="s">
        <v>1179</v>
      </c>
      <c r="B6" s="841">
        <v>222</v>
      </c>
      <c r="C6" s="766"/>
      <c r="D6" s="766"/>
      <c r="E6" s="766"/>
      <c r="F6" s="1780">
        <f>(C6+D6)-E6</f>
        <v>0</v>
      </c>
      <c r="G6" s="838">
        <v>50</v>
      </c>
      <c r="H6" s="766"/>
      <c r="I6" s="766"/>
      <c r="J6" s="766"/>
      <c r="K6" s="1789">
        <f>(H6+I6)-J6</f>
        <v>0</v>
      </c>
      <c r="L6" s="1789">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37267460</v>
      </c>
      <c r="D8" s="845">
        <v>725622</v>
      </c>
      <c r="E8" s="845">
        <v>6300</v>
      </c>
      <c r="F8" s="1780">
        <f>(C8+D8)-E8</f>
        <v>37986782</v>
      </c>
      <c r="G8" s="844">
        <v>50</v>
      </c>
      <c r="H8" s="766">
        <v>10327594</v>
      </c>
      <c r="I8" s="766">
        <v>758284</v>
      </c>
      <c r="J8" s="766"/>
      <c r="K8" s="1789">
        <f>(H8+I8)-J8</f>
        <v>11085878</v>
      </c>
      <c r="L8" s="1789">
        <f>F8-K8</f>
        <v>26900904</v>
      </c>
    </row>
    <row r="9" spans="1:14" ht="14.25" thickTop="1" thickBot="1" x14ac:dyDescent="0.25">
      <c r="A9" s="779" t="s">
        <v>1181</v>
      </c>
      <c r="B9" s="841">
        <v>232</v>
      </c>
      <c r="C9" s="766"/>
      <c r="D9" s="766"/>
      <c r="E9" s="766"/>
      <c r="F9" s="1780">
        <f>(C9+D9)-E9</f>
        <v>0</v>
      </c>
      <c r="G9" s="844">
        <v>20</v>
      </c>
      <c r="H9" s="766"/>
      <c r="I9" s="766"/>
      <c r="J9" s="766"/>
      <c r="K9" s="1789">
        <f>(H9+I9)-J9</f>
        <v>0</v>
      </c>
      <c r="L9" s="1789">
        <f>F9-K9</f>
        <v>0</v>
      </c>
    </row>
    <row r="10" spans="1:14" ht="24" thickTop="1" thickBot="1" x14ac:dyDescent="0.25">
      <c r="A10" s="846" t="s">
        <v>1182</v>
      </c>
      <c r="B10" s="841">
        <v>240</v>
      </c>
      <c r="C10" s="847">
        <v>835659</v>
      </c>
      <c r="D10" s="847"/>
      <c r="E10" s="847"/>
      <c r="F10" s="1784">
        <f>(C10+D10)-E10</f>
        <v>835659</v>
      </c>
      <c r="G10" s="844">
        <v>20</v>
      </c>
      <c r="H10" s="848">
        <v>489110</v>
      </c>
      <c r="I10" s="848">
        <v>38391</v>
      </c>
      <c r="J10" s="848"/>
      <c r="K10" s="1789">
        <f>(H10+I10)-J10</f>
        <v>527501</v>
      </c>
      <c r="L10" s="1789">
        <f>F10-K10</f>
        <v>308158</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1090915</v>
      </c>
      <c r="D12" s="845">
        <v>198188</v>
      </c>
      <c r="E12" s="845"/>
      <c r="F12" s="1780">
        <f>(C12+D12)-E12</f>
        <v>1289103</v>
      </c>
      <c r="G12" s="844">
        <v>10</v>
      </c>
      <c r="H12" s="766">
        <v>718730</v>
      </c>
      <c r="I12" s="766">
        <v>110517</v>
      </c>
      <c r="J12" s="766"/>
      <c r="K12" s="1789">
        <f>(H12+I12)-J12</f>
        <v>829247</v>
      </c>
      <c r="L12" s="1789">
        <f>F12-K12</f>
        <v>459856</v>
      </c>
    </row>
    <row r="13" spans="1:14" ht="14.25" thickTop="1" thickBot="1" x14ac:dyDescent="0.25">
      <c r="A13" s="849" t="s">
        <v>1184</v>
      </c>
      <c r="B13" s="841">
        <v>252</v>
      </c>
      <c r="C13" s="845">
        <v>1889770</v>
      </c>
      <c r="D13" s="845">
        <v>138900</v>
      </c>
      <c r="E13" s="845">
        <v>109696</v>
      </c>
      <c r="F13" s="1780">
        <f>(C13+D13)-E13</f>
        <v>1918974</v>
      </c>
      <c r="G13" s="844">
        <v>5</v>
      </c>
      <c r="H13" s="766">
        <v>1421206</v>
      </c>
      <c r="I13" s="766">
        <v>186749</v>
      </c>
      <c r="J13" s="766">
        <v>109696</v>
      </c>
      <c r="K13" s="1789">
        <f>(H13+I13)-J13</f>
        <v>1498259</v>
      </c>
      <c r="L13" s="1789">
        <f>F13-K13</f>
        <v>420715</v>
      </c>
    </row>
    <row r="14" spans="1:14" ht="14.25" thickTop="1" thickBot="1" x14ac:dyDescent="0.25">
      <c r="A14" s="849" t="s">
        <v>1185</v>
      </c>
      <c r="B14" s="841">
        <v>253</v>
      </c>
      <c r="C14" s="766"/>
      <c r="D14" s="766"/>
      <c r="E14" s="766"/>
      <c r="F14" s="1780">
        <f>(C14+D14)-E14</f>
        <v>0</v>
      </c>
      <c r="G14" s="844">
        <v>3</v>
      </c>
      <c r="H14" s="766"/>
      <c r="I14" s="766"/>
      <c r="J14" s="766"/>
      <c r="K14" s="1789">
        <f>(H14+I14)-J14</f>
        <v>0</v>
      </c>
      <c r="L14" s="1789">
        <f>F14-K14</f>
        <v>0</v>
      </c>
    </row>
    <row r="15" spans="1:14" ht="15" customHeight="1" thickTop="1" thickBot="1" x14ac:dyDescent="0.25">
      <c r="A15" s="1653" t="s">
        <v>549</v>
      </c>
      <c r="B15" s="1652">
        <v>260</v>
      </c>
      <c r="C15" s="845"/>
      <c r="D15" s="845"/>
      <c r="E15" s="845"/>
      <c r="F15" s="1780">
        <f>(C15+D15)-E15</f>
        <v>0</v>
      </c>
      <c r="G15" s="850" t="s">
        <v>917</v>
      </c>
      <c r="H15" s="782"/>
      <c r="I15" s="782"/>
      <c r="J15" s="782"/>
      <c r="K15" s="782"/>
      <c r="L15" s="1789">
        <f>F15-K15</f>
        <v>0</v>
      </c>
    </row>
    <row r="16" spans="1:14" ht="15" customHeight="1" thickTop="1" thickBot="1" x14ac:dyDescent="0.25">
      <c r="A16" s="1785" t="s">
        <v>664</v>
      </c>
      <c r="B16" s="1786">
        <v>200</v>
      </c>
      <c r="C16" s="1780">
        <f>SUM(C3,C5:C6,C8:C10,C12:C15)</f>
        <v>41799169</v>
      </c>
      <c r="D16" s="1780">
        <f>SUM(D3,D5:D6,D8:D10,D12:D15)</f>
        <v>1115319</v>
      </c>
      <c r="E16" s="1780">
        <f>SUM(E3,E5:E6,E8:E10,E12:E15)</f>
        <v>115996</v>
      </c>
      <c r="F16" s="1780">
        <f>SUM(F3,F5:F6,F8:F10,F12:F15)</f>
        <v>42798492</v>
      </c>
      <c r="G16" s="844"/>
      <c r="H16" s="1780">
        <f>SUM(H3,H6,H8:H10,H12:H14,)</f>
        <v>12956640</v>
      </c>
      <c r="I16" s="1780">
        <f>SUM(I3,I6,I8:I10,I12:I14,)</f>
        <v>1093941</v>
      </c>
      <c r="J16" s="1780">
        <f>SUM(J3,J6,J8:J10,J12:J14,)</f>
        <v>109696</v>
      </c>
      <c r="K16" s="1780">
        <f>(H16+I16)-J16</f>
        <v>13940885</v>
      </c>
      <c r="L16" s="1780">
        <f>F16-K16</f>
        <v>28857607</v>
      </c>
    </row>
    <row r="17" spans="1:12" ht="15" customHeight="1" thickTop="1" thickBot="1" x14ac:dyDescent="0.25">
      <c r="A17" s="1655" t="s">
        <v>309</v>
      </c>
      <c r="B17" s="1652">
        <v>700</v>
      </c>
      <c r="C17" s="770"/>
      <c r="D17" s="770"/>
      <c r="E17" s="770"/>
      <c r="F17" s="1780">
        <f>SUM('Expenditures 15-22'!I114,'Expenditures 15-22'!I151,'Expenditures 15-22'!I210,'Expenditures 15-22'!I312,'Expenditures 15-22'!I342,'Expenditures 15-22'!I367)</f>
        <v>0</v>
      </c>
      <c r="G17" s="838">
        <v>10</v>
      </c>
      <c r="H17" s="770"/>
      <c r="I17" s="1789">
        <f>F17/G17</f>
        <v>0</v>
      </c>
      <c r="J17" s="770"/>
      <c r="K17" s="796"/>
      <c r="L17" s="796"/>
    </row>
    <row r="18" spans="1:12" ht="14.25" thickTop="1" thickBot="1" x14ac:dyDescent="0.25">
      <c r="A18" s="1787" t="s">
        <v>706</v>
      </c>
      <c r="B18" s="1788"/>
      <c r="C18" s="772"/>
      <c r="D18" s="772"/>
      <c r="E18" s="772"/>
      <c r="F18" s="851"/>
      <c r="G18" s="852"/>
      <c r="H18" s="774"/>
      <c r="I18" s="1780">
        <f>SUM(I16,I17)</f>
        <v>1093941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T14" sqref="T14"/>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3" t="s">
        <v>1699</v>
      </c>
      <c r="B1" s="2274"/>
      <c r="C1" s="2274"/>
      <c r="D1" s="2274"/>
      <c r="E1" s="2274"/>
      <c r="F1" s="2275"/>
      <c r="G1" s="856"/>
    </row>
    <row r="2" spans="1:7" ht="15" customHeight="1" thickBot="1" x14ac:dyDescent="0.25">
      <c r="A2" s="2276" t="s">
        <v>498</v>
      </c>
      <c r="B2" s="2277"/>
      <c r="C2" s="2277"/>
      <c r="D2" s="2277"/>
      <c r="E2" s="2277"/>
      <c r="F2" s="2278"/>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0">
        <f>'Expenditures 15-22'!K114</f>
        <v>10630187</v>
      </c>
      <c r="G8" s="866"/>
    </row>
    <row r="9" spans="1:7" x14ac:dyDescent="0.2">
      <c r="A9" s="870" t="s">
        <v>480</v>
      </c>
      <c r="B9" s="871" t="s">
        <v>1989</v>
      </c>
      <c r="C9" s="872"/>
      <c r="D9" s="870" t="s">
        <v>522</v>
      </c>
      <c r="E9" s="869"/>
      <c r="F9" s="1931">
        <f>'Expenditures 15-22'!K151</f>
        <v>1553014</v>
      </c>
      <c r="G9" s="873"/>
    </row>
    <row r="10" spans="1:7" x14ac:dyDescent="0.2">
      <c r="A10" s="870" t="s">
        <v>520</v>
      </c>
      <c r="B10" s="871" t="s">
        <v>1990</v>
      </c>
      <c r="C10" s="872"/>
      <c r="D10" s="870" t="s">
        <v>522</v>
      </c>
      <c r="E10" s="869"/>
      <c r="F10" s="1931">
        <f>'Expenditures 15-22'!K174</f>
        <v>975778</v>
      </c>
      <c r="G10" s="873"/>
    </row>
    <row r="11" spans="1:7" x14ac:dyDescent="0.2">
      <c r="A11" s="870" t="s">
        <v>481</v>
      </c>
      <c r="B11" s="871" t="s">
        <v>1991</v>
      </c>
      <c r="C11" s="872"/>
      <c r="D11" s="870" t="s">
        <v>522</v>
      </c>
      <c r="E11" s="869"/>
      <c r="F11" s="1931">
        <f>'Expenditures 15-22'!K210</f>
        <v>882342</v>
      </c>
      <c r="G11" s="873"/>
    </row>
    <row r="12" spans="1:7" x14ac:dyDescent="0.2">
      <c r="A12" s="870" t="s">
        <v>482</v>
      </c>
      <c r="B12" s="871" t="s">
        <v>1992</v>
      </c>
      <c r="C12" s="872"/>
      <c r="D12" s="870" t="s">
        <v>522</v>
      </c>
      <c r="E12" s="869"/>
      <c r="F12" s="1931">
        <f>'Expenditures 15-22'!K295</f>
        <v>425355</v>
      </c>
      <c r="G12" s="873"/>
    </row>
    <row r="13" spans="1:7" x14ac:dyDescent="0.2">
      <c r="A13" s="870" t="s">
        <v>108</v>
      </c>
      <c r="B13" s="871" t="s">
        <v>1993</v>
      </c>
      <c r="C13" s="872"/>
      <c r="D13" s="870" t="s">
        <v>522</v>
      </c>
      <c r="E13" s="869"/>
      <c r="F13" s="1931">
        <f>'Expenditures 15-22'!K342</f>
        <v>786157</v>
      </c>
      <c r="G13" s="874"/>
    </row>
    <row r="14" spans="1:7" ht="12" customHeight="1" thickBot="1" x14ac:dyDescent="0.25">
      <c r="A14" s="1790"/>
      <c r="B14" s="1791"/>
      <c r="C14" s="1792"/>
      <c r="D14" s="1793" t="s">
        <v>522</v>
      </c>
      <c r="E14" s="1794" t="s">
        <v>1015</v>
      </c>
      <c r="F14" s="1795">
        <f>SUM(F8:F13)</f>
        <v>15252833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2">
        <f>'Revenues 9-14'!F43</f>
        <v>0</v>
      </c>
      <c r="G18" s="866"/>
    </row>
    <row r="19" spans="1:7" x14ac:dyDescent="0.2">
      <c r="A19" s="870" t="s">
        <v>481</v>
      </c>
      <c r="B19" s="871" t="s">
        <v>1069</v>
      </c>
      <c r="C19" s="878">
        <f>'Revenues 9-14'!B47</f>
        <v>1421</v>
      </c>
      <c r="D19" s="879" t="str">
        <f>'Revenues 9-14'!A47</f>
        <v>Summer Sch - Transp. Fees from Pupils or Parents (In State)</v>
      </c>
      <c r="E19" s="880"/>
      <c r="F19" s="1933">
        <f>'Revenues 9-14'!F47</f>
        <v>0</v>
      </c>
      <c r="G19" s="866"/>
    </row>
    <row r="20" spans="1:7" x14ac:dyDescent="0.2">
      <c r="A20" s="870" t="s">
        <v>481</v>
      </c>
      <c r="B20" s="871" t="s">
        <v>1070</v>
      </c>
      <c r="C20" s="876">
        <f>'Revenues 9-14'!B48</f>
        <v>1422</v>
      </c>
      <c r="D20" s="877" t="str">
        <f>'Revenues 9-14'!A48</f>
        <v>Summer Sch - Transp. Fees from Other Districts (In State)</v>
      </c>
      <c r="E20" s="869"/>
      <c r="F20" s="1934">
        <f>'Revenues 9-14'!F48</f>
        <v>0</v>
      </c>
      <c r="G20" s="866"/>
    </row>
    <row r="21" spans="1:7" x14ac:dyDescent="0.2">
      <c r="A21" s="870" t="s">
        <v>481</v>
      </c>
      <c r="B21" s="871" t="s">
        <v>1071</v>
      </c>
      <c r="C21" s="878">
        <f>'Revenues 9-14'!B49</f>
        <v>1423</v>
      </c>
      <c r="D21" s="877" t="str">
        <f>'Revenues 9-14'!A49</f>
        <v>Summer Sch - Transp. Fees from Other Sources (In State)</v>
      </c>
      <c r="E21" s="869"/>
      <c r="F21" s="1935">
        <f>'Revenues 9-14'!F49</f>
        <v>0</v>
      </c>
      <c r="G21" s="866"/>
    </row>
    <row r="22" spans="1:7" x14ac:dyDescent="0.2">
      <c r="A22" s="870" t="s">
        <v>481</v>
      </c>
      <c r="B22" s="871" t="s">
        <v>1072</v>
      </c>
      <c r="C22" s="878">
        <f>'Revenues 9-14'!B50</f>
        <v>1424</v>
      </c>
      <c r="D22" s="877" t="str">
        <f>'Revenues 9-14'!A50</f>
        <v>Summer Sch - Transp. Fees from Other Sources (Out of State)</v>
      </c>
      <c r="E22" s="869"/>
      <c r="F22" s="1935">
        <f>'Revenues 9-14'!F50</f>
        <v>0</v>
      </c>
      <c r="G22" s="866"/>
    </row>
    <row r="23" spans="1:7" x14ac:dyDescent="0.2">
      <c r="A23" s="870" t="s">
        <v>481</v>
      </c>
      <c r="B23" s="871" t="s">
        <v>1073</v>
      </c>
      <c r="C23" s="876">
        <f>'Revenues 9-14'!B52</f>
        <v>1432</v>
      </c>
      <c r="D23" s="877" t="str">
        <f>'Revenues 9-14'!A52</f>
        <v>CTE - Transp Fees from Other Districts (In State)</v>
      </c>
      <c r="E23" s="869"/>
      <c r="F23" s="1935">
        <f>'Revenues 9-14'!F52</f>
        <v>0</v>
      </c>
      <c r="G23" s="866"/>
    </row>
    <row r="24" spans="1:7" x14ac:dyDescent="0.2">
      <c r="A24" s="870" t="s">
        <v>481</v>
      </c>
      <c r="B24" s="871" t="s">
        <v>1074</v>
      </c>
      <c r="C24" s="876">
        <f>'Revenues 9-14'!B56</f>
        <v>1442</v>
      </c>
      <c r="D24" s="877" t="str">
        <f>'Revenues 9-14'!A56</f>
        <v>Special Ed - Transp Fees from Other Districts (In State)</v>
      </c>
      <c r="E24" s="869"/>
      <c r="F24" s="1935">
        <f>'Revenues 9-14'!F56</f>
        <v>0</v>
      </c>
      <c r="G24" s="866"/>
    </row>
    <row r="25" spans="1:7" x14ac:dyDescent="0.2">
      <c r="A25" s="870" t="s">
        <v>481</v>
      </c>
      <c r="B25" s="871" t="s">
        <v>1075</v>
      </c>
      <c r="C25" s="876">
        <f>'Revenues 9-14'!B59</f>
        <v>1451</v>
      </c>
      <c r="D25" s="877" t="str">
        <f>'Revenues 9-14'!A59</f>
        <v>Adult - Transp Fees from Pupils or Parents (In State)</v>
      </c>
      <c r="E25" s="869"/>
      <c r="F25" s="1935">
        <f>'Revenues 9-14'!F59</f>
        <v>0</v>
      </c>
      <c r="G25" s="866"/>
    </row>
    <row r="26" spans="1:7" x14ac:dyDescent="0.2">
      <c r="A26" s="870" t="s">
        <v>481</v>
      </c>
      <c r="B26" s="871" t="s">
        <v>1076</v>
      </c>
      <c r="C26" s="876">
        <f>'Revenues 9-14'!B60</f>
        <v>1452</v>
      </c>
      <c r="D26" s="877" t="str">
        <f>'Revenues 9-14'!A60</f>
        <v>Adult - Transp Fees from Other Districts (In State)</v>
      </c>
      <c r="E26" s="869"/>
      <c r="F26" s="1935">
        <f>'Revenues 9-14'!F60</f>
        <v>0</v>
      </c>
      <c r="G26" s="866"/>
    </row>
    <row r="27" spans="1:7" x14ac:dyDescent="0.2">
      <c r="A27" s="870" t="s">
        <v>481</v>
      </c>
      <c r="B27" s="871" t="s">
        <v>1077</v>
      </c>
      <c r="C27" s="876">
        <f>'Revenues 9-14'!B61</f>
        <v>1453</v>
      </c>
      <c r="D27" s="877" t="str">
        <f>'Revenues 9-14'!A61</f>
        <v>Adult - Transp Fees from Other Sources (In State)</v>
      </c>
      <c r="E27" s="869"/>
      <c r="F27" s="1935">
        <f>'Revenues 9-14'!F61</f>
        <v>0</v>
      </c>
      <c r="G27" s="866"/>
    </row>
    <row r="28" spans="1:7" x14ac:dyDescent="0.2">
      <c r="A28" s="870" t="s">
        <v>481</v>
      </c>
      <c r="B28" s="871" t="s">
        <v>1078</v>
      </c>
      <c r="C28" s="876">
        <f>'Revenues 9-14'!B62</f>
        <v>1454</v>
      </c>
      <c r="D28" s="877" t="str">
        <f>'Revenues 9-14'!A62</f>
        <v>Adult - Transp Fees from Other Sources (Out of State)</v>
      </c>
      <c r="E28" s="869"/>
      <c r="F28" s="1935">
        <f>'Revenues 9-14'!F62</f>
        <v>0</v>
      </c>
      <c r="G28" s="866"/>
    </row>
    <row r="29" spans="1:7" x14ac:dyDescent="0.2">
      <c r="A29" s="870" t="s">
        <v>1159</v>
      </c>
      <c r="B29" s="871" t="s">
        <v>1683</v>
      </c>
      <c r="C29" s="881">
        <f>'Revenues 9-14'!B148</f>
        <v>3410</v>
      </c>
      <c r="D29" s="882" t="str">
        <f>'Revenues 9-14'!A148</f>
        <v>Adult Ed (from ICCB)</v>
      </c>
      <c r="E29" s="869"/>
      <c r="F29" s="1935">
        <f>SUM('Revenues 9-14'!D148,F149)</f>
        <v>0</v>
      </c>
      <c r="G29" s="866"/>
    </row>
    <row r="30" spans="1:7" x14ac:dyDescent="0.2">
      <c r="A30" s="870" t="s">
        <v>1159</v>
      </c>
      <c r="B30" s="871" t="s">
        <v>861</v>
      </c>
      <c r="C30" s="881">
        <f>'Revenues 9-14'!B149</f>
        <v>3499</v>
      </c>
      <c r="D30" s="882" t="str">
        <f>'Revenues 9-14'!A149</f>
        <v>Adult Ed - Other (Describe &amp; Itemize)</v>
      </c>
      <c r="E30" s="869"/>
      <c r="F30" s="1936">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5">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5">
        <f>SUM('Revenues 9-14'!D219,'Revenues 9-14'!F219)</f>
        <v>0</v>
      </c>
      <c r="G32" s="866"/>
    </row>
    <row r="33" spans="1:7" x14ac:dyDescent="0.2">
      <c r="A33" s="870" t="s">
        <v>480</v>
      </c>
      <c r="B33" s="871" t="s">
        <v>801</v>
      </c>
      <c r="C33" s="876">
        <f>'Revenues 9-14'!B229</f>
        <v>4810</v>
      </c>
      <c r="D33" s="884" t="str">
        <f>'Revenues 9-14'!A229</f>
        <v>Federal - Adult Education</v>
      </c>
      <c r="E33" s="869"/>
      <c r="F33" s="1935">
        <f>'Revenues 9-14'!D229</f>
        <v>0</v>
      </c>
      <c r="G33" s="866"/>
    </row>
    <row r="34" spans="1:7" x14ac:dyDescent="0.2">
      <c r="A34" s="870" t="s">
        <v>479</v>
      </c>
      <c r="B34" s="870" t="s">
        <v>1545</v>
      </c>
      <c r="C34" s="887" t="str">
        <f>'Expenditures 15-22'!B7</f>
        <v>1125</v>
      </c>
      <c r="D34" s="888" t="str">
        <f>'Expenditures 15-22'!A7</f>
        <v>Pre-K Programs</v>
      </c>
      <c r="E34" s="869"/>
      <c r="F34" s="1935">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5">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5">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5">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5">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5">
        <f>'Expenditures 15-22'!K20</f>
        <v>0</v>
      </c>
      <c r="G39" s="866"/>
    </row>
    <row r="40" spans="1:7" x14ac:dyDescent="0.2">
      <c r="A40" s="870" t="s">
        <v>479</v>
      </c>
      <c r="B40" s="870" t="s">
        <v>120</v>
      </c>
      <c r="C40" s="887" t="str">
        <f>'Expenditures 15-22'!B21</f>
        <v>1911</v>
      </c>
      <c r="D40" s="889" t="str">
        <f>'Expenditures 15-22'!A21</f>
        <v>Regular K-12 Programs - Private Tuition</v>
      </c>
      <c r="E40" s="869"/>
      <c r="F40" s="1935">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5">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5">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5">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5">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5">
        <f>'Expenditures 15-22'!K26</f>
        <v>0</v>
      </c>
      <c r="G45" s="866"/>
    </row>
    <row r="46" spans="1:7" x14ac:dyDescent="0.2">
      <c r="A46" s="870" t="s">
        <v>479</v>
      </c>
      <c r="B46" s="870" t="s">
        <v>126</v>
      </c>
      <c r="C46" s="887" t="str">
        <f>'Expenditures 15-22'!B27</f>
        <v>1917</v>
      </c>
      <c r="D46" s="889" t="str">
        <f>'Expenditures 15-22'!A27</f>
        <v>CTE Programs - Private Tuition</v>
      </c>
      <c r="E46" s="869"/>
      <c r="F46" s="1935">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5">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5">
        <f>'Expenditures 15-22'!K29</f>
        <v>0</v>
      </c>
      <c r="G48" s="866"/>
    </row>
    <row r="49" spans="1:7" x14ac:dyDescent="0.2">
      <c r="A49" s="870" t="s">
        <v>479</v>
      </c>
      <c r="B49" s="870" t="s">
        <v>129</v>
      </c>
      <c r="C49" s="887" t="str">
        <f>'Expenditures 15-22'!B30</f>
        <v>1920</v>
      </c>
      <c r="D49" s="889" t="str">
        <f>'Expenditures 15-22'!A30</f>
        <v>Gifted Programs - Private Tuition</v>
      </c>
      <c r="E49" s="869"/>
      <c r="F49" s="1935">
        <f>'Expenditures 15-22'!K30</f>
        <v>0</v>
      </c>
      <c r="G49" s="866"/>
    </row>
    <row r="50" spans="1:7" x14ac:dyDescent="0.2">
      <c r="A50" s="870" t="s">
        <v>479</v>
      </c>
      <c r="B50" s="870" t="s">
        <v>130</v>
      </c>
      <c r="C50" s="887" t="str">
        <f>'Expenditures 15-22'!B31</f>
        <v>1921</v>
      </c>
      <c r="D50" s="889" t="str">
        <f>'Expenditures 15-22'!A31</f>
        <v>Bilingual Programs - Private Tuition</v>
      </c>
      <c r="E50" s="869"/>
      <c r="F50" s="1935">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5">
        <f>'Expenditures 15-22'!K32</f>
        <v>0</v>
      </c>
      <c r="G51" s="866"/>
    </row>
    <row r="52" spans="1:7" x14ac:dyDescent="0.2">
      <c r="A52" s="870" t="s">
        <v>479</v>
      </c>
      <c r="B52" s="870" t="s">
        <v>1550</v>
      </c>
      <c r="C52" s="890" t="str">
        <f>'Expenditures 15-22'!B75</f>
        <v>3000</v>
      </c>
      <c r="D52" s="889" t="s">
        <v>469</v>
      </c>
      <c r="E52" s="869"/>
      <c r="F52" s="1935">
        <f>'Expenditures 15-22'!K75-SUM('Expenditures 15-22'!G75,'Expenditures 15-22'!I75)</f>
        <v>326397</v>
      </c>
      <c r="G52" s="866"/>
    </row>
    <row r="53" spans="1:7" x14ac:dyDescent="0.2">
      <c r="A53" s="870" t="s">
        <v>479</v>
      </c>
      <c r="B53" s="870" t="s">
        <v>1551</v>
      </c>
      <c r="C53" s="890">
        <f>'Expenditures 15-22'!B102</f>
        <v>4000</v>
      </c>
      <c r="D53" s="889" t="str">
        <f>'Expenditures 15-22'!A102</f>
        <v>Total Payments to Other Govt Units</v>
      </c>
      <c r="E53" s="869"/>
      <c r="F53" s="1935">
        <f>'Expenditures 15-22'!K102</f>
        <v>567019</v>
      </c>
      <c r="G53" s="866"/>
    </row>
    <row r="54" spans="1:7" x14ac:dyDescent="0.2">
      <c r="A54" s="870" t="s">
        <v>479</v>
      </c>
      <c r="B54" s="870" t="s">
        <v>1552</v>
      </c>
      <c r="C54" s="890" t="s">
        <v>1039</v>
      </c>
      <c r="D54" s="886" t="s">
        <v>1157</v>
      </c>
      <c r="E54" s="869"/>
      <c r="F54" s="1935">
        <f>'Expenditures 15-22'!G114</f>
        <v>62555</v>
      </c>
      <c r="G54" s="866"/>
    </row>
    <row r="55" spans="1:7" x14ac:dyDescent="0.2">
      <c r="A55" s="870" t="s">
        <v>479</v>
      </c>
      <c r="B55" s="870" t="s">
        <v>1553</v>
      </c>
      <c r="C55" s="890" t="s">
        <v>1039</v>
      </c>
      <c r="D55" s="886" t="s">
        <v>309</v>
      </c>
      <c r="E55" s="869"/>
      <c r="F55" s="1935">
        <f>'Expenditures 15-22'!I114</f>
        <v>0</v>
      </c>
      <c r="G55" s="866"/>
    </row>
    <row r="56" spans="1:7" x14ac:dyDescent="0.2">
      <c r="A56" s="870" t="s">
        <v>480</v>
      </c>
      <c r="B56" s="870" t="s">
        <v>1554</v>
      </c>
      <c r="C56" s="887" t="str">
        <f>'Expenditures 15-22'!B130</f>
        <v>3000</v>
      </c>
      <c r="D56" s="893" t="s">
        <v>469</v>
      </c>
      <c r="E56" s="869"/>
      <c r="F56" s="1935">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5">
        <f>'Expenditures 15-22'!K139</f>
        <v>4844</v>
      </c>
      <c r="G57" s="866"/>
    </row>
    <row r="58" spans="1:7" x14ac:dyDescent="0.2">
      <c r="A58" s="870" t="s">
        <v>480</v>
      </c>
      <c r="B58" s="870" t="s">
        <v>1995</v>
      </c>
      <c r="C58" s="887" t="s">
        <v>1039</v>
      </c>
      <c r="D58" s="886" t="s">
        <v>1157</v>
      </c>
      <c r="E58" s="869"/>
      <c r="F58" s="1937">
        <f>'Expenditures 15-22'!G151</f>
        <v>455476</v>
      </c>
      <c r="G58" s="866"/>
    </row>
    <row r="59" spans="1:7" x14ac:dyDescent="0.2">
      <c r="A59" s="894" t="s">
        <v>480</v>
      </c>
      <c r="B59" s="857" t="s">
        <v>1996</v>
      </c>
      <c r="C59" s="895" t="s">
        <v>1039</v>
      </c>
      <c r="D59" s="857" t="s">
        <v>309</v>
      </c>
      <c r="F59" s="1938">
        <f>'Expenditures 15-22'!I151</f>
        <v>0</v>
      </c>
      <c r="G59" s="866"/>
    </row>
    <row r="60" spans="1:7" x14ac:dyDescent="0.2">
      <c r="A60" s="894" t="s">
        <v>520</v>
      </c>
      <c r="B60" s="857" t="s">
        <v>1997</v>
      </c>
      <c r="C60" s="895">
        <v>4000</v>
      </c>
      <c r="D60" s="857" t="s">
        <v>330</v>
      </c>
      <c r="F60" s="1936">
        <f>'Expenditures 15-22'!K160</f>
        <v>0</v>
      </c>
      <c r="G60" s="866"/>
    </row>
    <row r="61" spans="1:7" x14ac:dyDescent="0.2">
      <c r="A61" s="896" t="s">
        <v>520</v>
      </c>
      <c r="B61" s="896" t="s">
        <v>1998</v>
      </c>
      <c r="C61" s="897" t="str">
        <f>'Expenditures 15-22'!B170</f>
        <v>5300</v>
      </c>
      <c r="D61" s="898" t="s">
        <v>329</v>
      </c>
      <c r="E61" s="880"/>
      <c r="F61" s="1935">
        <f>'Expenditures 15-22'!K170</f>
        <v>860000</v>
      </c>
      <c r="G61" s="866"/>
    </row>
    <row r="62" spans="1:7" x14ac:dyDescent="0.2">
      <c r="A62" s="870" t="s">
        <v>481</v>
      </c>
      <c r="B62" s="870" t="s">
        <v>1999</v>
      </c>
      <c r="C62" s="887">
        <f>'Expenditures 15-22'!B185</f>
        <v>3000</v>
      </c>
      <c r="D62" s="877" t="s">
        <v>469</v>
      </c>
      <c r="E62" s="869"/>
      <c r="F62" s="1935">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5">
        <f>'Expenditures 15-22'!K196</f>
        <v>0</v>
      </c>
      <c r="G63" s="866"/>
    </row>
    <row r="64" spans="1:7" x14ac:dyDescent="0.2">
      <c r="A64" s="896" t="s">
        <v>481</v>
      </c>
      <c r="B64" s="896" t="s">
        <v>2001</v>
      </c>
      <c r="C64" s="897" t="str">
        <f>'Expenditures 15-22'!B206</f>
        <v>5300</v>
      </c>
      <c r="D64" s="893" t="s">
        <v>329</v>
      </c>
      <c r="E64" s="869"/>
      <c r="F64" s="1935">
        <f>'Expenditures 15-22'!K206</f>
        <v>60162</v>
      </c>
      <c r="G64" s="866"/>
    </row>
    <row r="65" spans="1:8" x14ac:dyDescent="0.2">
      <c r="A65" s="870" t="s">
        <v>481</v>
      </c>
      <c r="B65" s="870" t="s">
        <v>2002</v>
      </c>
      <c r="C65" s="887" t="s">
        <v>1039</v>
      </c>
      <c r="D65" s="886" t="s">
        <v>1157</v>
      </c>
      <c r="E65" s="869"/>
      <c r="F65" s="1935">
        <f>'Expenditures 15-22'!G210</f>
        <v>138900</v>
      </c>
      <c r="G65" s="866"/>
    </row>
    <row r="66" spans="1:8" x14ac:dyDescent="0.2">
      <c r="A66" s="870" t="s">
        <v>481</v>
      </c>
      <c r="B66" s="870" t="s">
        <v>2003</v>
      </c>
      <c r="C66" s="887" t="s">
        <v>1039</v>
      </c>
      <c r="D66" s="886" t="s">
        <v>309</v>
      </c>
      <c r="E66" s="869"/>
      <c r="F66" s="1935">
        <f>'Expenditures 15-22'!I210</f>
        <v>0</v>
      </c>
      <c r="G66" s="866"/>
    </row>
    <row r="67" spans="1:8" x14ac:dyDescent="0.2">
      <c r="A67" s="870" t="s">
        <v>482</v>
      </c>
      <c r="B67" s="870" t="s">
        <v>2004</v>
      </c>
      <c r="C67" s="887" t="str">
        <f>'Expenditures 15-22'!B216</f>
        <v>1125</v>
      </c>
      <c r="D67" s="893" t="str">
        <f>'Expenditures 15-22'!A216</f>
        <v>Pre-K Programs</v>
      </c>
      <c r="E67" s="869"/>
      <c r="F67" s="1935">
        <f>'Expenditures 15-22'!K216</f>
        <v>644</v>
      </c>
      <c r="G67" s="866"/>
    </row>
    <row r="68" spans="1:8" x14ac:dyDescent="0.2">
      <c r="A68" s="870" t="s">
        <v>482</v>
      </c>
      <c r="B68" s="870" t="s">
        <v>1555</v>
      </c>
      <c r="C68" s="887" t="str">
        <f>'Expenditures 15-22'!B218</f>
        <v>1225</v>
      </c>
      <c r="D68" s="893" t="str">
        <f>'Expenditures 15-22'!A218</f>
        <v>Special Education Programs - Pre-K</v>
      </c>
      <c r="E68" s="869"/>
      <c r="F68" s="1935">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5">
        <f>'Expenditures 15-22'!K220</f>
        <v>0</v>
      </c>
      <c r="G69" s="866"/>
    </row>
    <row r="70" spans="1:8" x14ac:dyDescent="0.2">
      <c r="A70" s="870" t="s">
        <v>482</v>
      </c>
      <c r="B70" s="870" t="s">
        <v>2006</v>
      </c>
      <c r="C70" s="887">
        <f>'Expenditures 15-22'!B221</f>
        <v>1300</v>
      </c>
      <c r="D70" s="888" t="str">
        <f>'Expenditures 15-22'!A221</f>
        <v>Adult/Continuing Education Programs</v>
      </c>
      <c r="E70" s="869"/>
      <c r="F70" s="1935">
        <f>'Expenditures 15-22'!K221</f>
        <v>0</v>
      </c>
      <c r="G70" s="866"/>
    </row>
    <row r="71" spans="1:8" x14ac:dyDescent="0.2">
      <c r="A71" s="870" t="s">
        <v>482</v>
      </c>
      <c r="B71" s="870" t="s">
        <v>2007</v>
      </c>
      <c r="C71" s="887">
        <f>'Expenditures 15-22'!B224</f>
        <v>1600</v>
      </c>
      <c r="D71" s="888" t="str">
        <f>'Expenditures 15-22'!A224</f>
        <v>Summer School Programs</v>
      </c>
      <c r="E71" s="869"/>
      <c r="F71" s="1935">
        <f>'Expenditures 15-22'!K224</f>
        <v>0</v>
      </c>
      <c r="G71" s="866"/>
    </row>
    <row r="72" spans="1:8" x14ac:dyDescent="0.2">
      <c r="A72" s="870" t="s">
        <v>482</v>
      </c>
      <c r="B72" s="870" t="s">
        <v>2008</v>
      </c>
      <c r="C72" s="887">
        <f>'Expenditures 15-22'!B280</f>
        <v>3000</v>
      </c>
      <c r="D72" s="877" t="s">
        <v>469</v>
      </c>
      <c r="E72" s="869"/>
      <c r="F72" s="1935">
        <f>'Expenditures 15-22'!K280</f>
        <v>19468</v>
      </c>
      <c r="G72" s="866"/>
    </row>
    <row r="73" spans="1:8" x14ac:dyDescent="0.2">
      <c r="A73" s="870" t="s">
        <v>482</v>
      </c>
      <c r="B73" s="870" t="s">
        <v>2009</v>
      </c>
      <c r="C73" s="887" t="str">
        <f>'Expenditures 15-22'!B285</f>
        <v>4000</v>
      </c>
      <c r="D73" s="888" t="str">
        <f>'Expenditures 15-22'!A285</f>
        <v>Total Payments to Other Govt Units</v>
      </c>
      <c r="E73" s="869"/>
      <c r="F73" s="1935">
        <f>'Expenditures 15-22'!K285</f>
        <v>0</v>
      </c>
      <c r="G73" s="866"/>
    </row>
    <row r="74" spans="1:8" x14ac:dyDescent="0.2">
      <c r="A74" s="870" t="s">
        <v>456</v>
      </c>
      <c r="B74" s="870" t="s">
        <v>2010</v>
      </c>
      <c r="C74" s="887" t="s">
        <v>915</v>
      </c>
      <c r="D74" s="888" t="s">
        <v>1567</v>
      </c>
      <c r="E74" s="869"/>
      <c r="F74" s="1939">
        <f>'Expenditures 15-22'!K334</f>
        <v>0</v>
      </c>
      <c r="G74" s="866"/>
    </row>
    <row r="75" spans="1:8" ht="5.25" customHeight="1" x14ac:dyDescent="0.2">
      <c r="A75" s="866"/>
      <c r="B75" s="876"/>
      <c r="C75" s="876"/>
      <c r="D75" s="866"/>
      <c r="E75" s="869"/>
      <c r="F75" s="883"/>
      <c r="G75" s="868"/>
    </row>
    <row r="76" spans="1:8" ht="12" thickBot="1" x14ac:dyDescent="0.25">
      <c r="A76" s="1790"/>
      <c r="B76" s="1796"/>
      <c r="C76" s="1792"/>
      <c r="D76" s="1797" t="s">
        <v>2011</v>
      </c>
      <c r="E76" s="1794" t="s">
        <v>1015</v>
      </c>
      <c r="F76" s="1798">
        <f>SUM(F18:F74)</f>
        <v>2495465</v>
      </c>
      <c r="G76" s="866"/>
    </row>
    <row r="77" spans="1:8" s="894" customFormat="1" ht="12" customHeight="1" thickTop="1" thickBot="1" x14ac:dyDescent="0.25">
      <c r="A77" s="1799"/>
      <c r="B77" s="1796"/>
      <c r="C77" s="1792"/>
      <c r="D77" s="1797" t="s">
        <v>2012</v>
      </c>
      <c r="E77" s="1794"/>
      <c r="F77" s="1800">
        <f>(F14-F76)</f>
        <v>12757368</v>
      </c>
      <c r="G77" s="870"/>
    </row>
    <row r="78" spans="1:8" s="894" customFormat="1" ht="12" customHeight="1" thickTop="1" x14ac:dyDescent="0.2">
      <c r="A78" s="1801"/>
      <c r="B78" s="1796"/>
      <c r="C78" s="1792"/>
      <c r="D78" s="1797" t="s">
        <v>2059</v>
      </c>
      <c r="E78" s="1794"/>
      <c r="F78" s="899">
        <v>1165.5899999999999</v>
      </c>
      <c r="G78" s="900"/>
      <c r="H78" s="870"/>
    </row>
    <row r="79" spans="1:8" s="894" customFormat="1" ht="12" customHeight="1" thickBot="1" x14ac:dyDescent="0.25">
      <c r="A79" s="1802"/>
      <c r="B79" s="1796"/>
      <c r="C79" s="1792"/>
      <c r="D79" s="1797" t="s">
        <v>2013</v>
      </c>
      <c r="E79" s="1794" t="s">
        <v>1015</v>
      </c>
      <c r="F79" s="1803">
        <f>IF(F78&gt;0,F77/F78," Complete Line 78")</f>
        <v>10944.987517051452</v>
      </c>
      <c r="G79" s="870"/>
    </row>
    <row r="80" spans="1:8" s="894" customFormat="1" ht="8.25" customHeight="1" thickTop="1" x14ac:dyDescent="0.2">
      <c r="A80" s="901"/>
      <c r="B80" s="870"/>
      <c r="C80" s="872"/>
      <c r="D80" s="902"/>
      <c r="E80" s="869"/>
      <c r="F80" s="903"/>
      <c r="G80" s="870"/>
    </row>
    <row r="81" spans="1:7" s="894" customFormat="1" ht="12" thickBot="1" x14ac:dyDescent="0.25">
      <c r="A81" s="2270" t="s">
        <v>1167</v>
      </c>
      <c r="B81" s="2271"/>
      <c r="C81" s="2271"/>
      <c r="D81" s="2271"/>
      <c r="E81" s="2271"/>
      <c r="F81" s="2272"/>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9">
        <f>'Revenues 9-14'!F42</f>
        <v>0</v>
      </c>
      <c r="G84" s="913"/>
    </row>
    <row r="85" spans="1:7" x14ac:dyDescent="0.2">
      <c r="A85" s="909" t="s">
        <v>481</v>
      </c>
      <c r="B85" s="909" t="s">
        <v>192</v>
      </c>
      <c r="C85" s="914">
        <f>'Revenues 9-14'!B44</f>
        <v>1413</v>
      </c>
      <c r="D85" s="912" t="str">
        <f>'Revenues 9-14'!A44</f>
        <v>Regular - Transp Fees from Other Sources (In State)</v>
      </c>
      <c r="E85" s="907"/>
      <c r="F85" s="1809">
        <f>'Revenues 9-14'!F44</f>
        <v>45000</v>
      </c>
      <c r="G85" s="915"/>
    </row>
    <row r="86" spans="1:7" x14ac:dyDescent="0.2">
      <c r="A86" s="909" t="s">
        <v>481</v>
      </c>
      <c r="B86" s="909" t="s">
        <v>168</v>
      </c>
      <c r="C86" s="911">
        <f>'Revenues 9-14'!B45</f>
        <v>1415</v>
      </c>
      <c r="D86" s="912" t="str">
        <f>'Revenues 9-14'!A45</f>
        <v>Regular - Transp Fees from Co-curricular Activities (In State)</v>
      </c>
      <c r="E86" s="907"/>
      <c r="F86" s="1809">
        <f>'Revenues 9-14'!F45</f>
        <v>0</v>
      </c>
      <c r="G86" s="915"/>
    </row>
    <row r="87" spans="1:7" x14ac:dyDescent="0.2">
      <c r="A87" s="909" t="s">
        <v>481</v>
      </c>
      <c r="B87" s="909" t="s">
        <v>169</v>
      </c>
      <c r="C87" s="911">
        <v>1416</v>
      </c>
      <c r="D87" s="912" t="str">
        <f>'Revenues 9-14'!A46</f>
        <v>Regular Transp Fees from Other Sources (Out of State)</v>
      </c>
      <c r="E87" s="907"/>
      <c r="F87" s="1809">
        <f>'Revenues 9-14'!F46</f>
        <v>0</v>
      </c>
      <c r="G87" s="915"/>
    </row>
    <row r="88" spans="1:7" x14ac:dyDescent="0.2">
      <c r="A88" s="909" t="s">
        <v>481</v>
      </c>
      <c r="B88" s="909" t="s">
        <v>170</v>
      </c>
      <c r="C88" s="911">
        <f>'Revenues 9-14'!B51</f>
        <v>1431</v>
      </c>
      <c r="D88" s="912" t="str">
        <f>'Revenues 9-14'!A51</f>
        <v>CTE - Transp Fees from Pupils or Parents (In State)</v>
      </c>
      <c r="E88" s="907"/>
      <c r="F88" s="1809">
        <f>'Revenues 9-14'!F51</f>
        <v>0</v>
      </c>
      <c r="G88" s="915"/>
    </row>
    <row r="89" spans="1:7" x14ac:dyDescent="0.2">
      <c r="A89" s="909" t="s">
        <v>481</v>
      </c>
      <c r="B89" s="909" t="s">
        <v>171</v>
      </c>
      <c r="C89" s="911">
        <f>'Revenues 9-14'!B53</f>
        <v>1433</v>
      </c>
      <c r="D89" s="912" t="str">
        <f>'Revenues 9-14'!A53</f>
        <v>CTE - Transp Fees from Other Sources (In State)</v>
      </c>
      <c r="E89" s="907"/>
      <c r="F89" s="1809">
        <f>'Revenues 9-14'!F53</f>
        <v>0</v>
      </c>
      <c r="G89" s="915"/>
    </row>
    <row r="90" spans="1:7" x14ac:dyDescent="0.2">
      <c r="A90" s="909" t="s">
        <v>481</v>
      </c>
      <c r="B90" s="909" t="s">
        <v>172</v>
      </c>
      <c r="C90" s="911">
        <f>'Revenues 9-14'!B54</f>
        <v>1434</v>
      </c>
      <c r="D90" s="912" t="str">
        <f>'Revenues 9-14'!A54</f>
        <v>CTE - Transp Fees from Other Sources (Out of State)</v>
      </c>
      <c r="E90" s="907"/>
      <c r="F90" s="1809">
        <f>'Revenues 9-14'!F54</f>
        <v>0</v>
      </c>
      <c r="G90" s="915"/>
    </row>
    <row r="91" spans="1:7" x14ac:dyDescent="0.2">
      <c r="A91" s="909" t="s">
        <v>481</v>
      </c>
      <c r="B91" s="909" t="s">
        <v>173</v>
      </c>
      <c r="C91" s="916">
        <f>'Revenues 9-14'!B55</f>
        <v>1441</v>
      </c>
      <c r="D91" s="912" t="str">
        <f>'Revenues 9-14'!A55</f>
        <v>Special Ed - Transp Fees from Pupils or Parents (In State)</v>
      </c>
      <c r="E91" s="907"/>
      <c r="F91" s="1809">
        <f>'Revenues 9-14'!F55</f>
        <v>0</v>
      </c>
      <c r="G91" s="915"/>
    </row>
    <row r="92" spans="1:7" x14ac:dyDescent="0.2">
      <c r="A92" s="909" t="s">
        <v>481</v>
      </c>
      <c r="B92" s="909" t="s">
        <v>174</v>
      </c>
      <c r="C92" s="911">
        <f>'Revenues 9-14'!B57</f>
        <v>1443</v>
      </c>
      <c r="D92" s="912" t="str">
        <f>'Revenues 9-14'!A57</f>
        <v>Special Ed - Transp Fees from Other Sources (In State)</v>
      </c>
      <c r="E92" s="907"/>
      <c r="F92" s="1809">
        <f>'Revenues 9-14'!F57</f>
        <v>0</v>
      </c>
      <c r="G92" s="917"/>
    </row>
    <row r="93" spans="1:7" x14ac:dyDescent="0.2">
      <c r="A93" s="909" t="s">
        <v>481</v>
      </c>
      <c r="B93" s="909" t="s">
        <v>175</v>
      </c>
      <c r="C93" s="911">
        <f>'Revenues 9-14'!B58</f>
        <v>1444</v>
      </c>
      <c r="D93" s="912" t="str">
        <f>'Revenues 9-14'!A58</f>
        <v>Special Ed - Transp Fees from Other Sources (Out of State)</v>
      </c>
      <c r="E93" s="907"/>
      <c r="F93" s="1809">
        <f>'Revenues 9-14'!F58</f>
        <v>0</v>
      </c>
      <c r="G93" s="917"/>
    </row>
    <row r="94" spans="1:7" x14ac:dyDescent="0.2">
      <c r="A94" s="909" t="s">
        <v>479</v>
      </c>
      <c r="B94" s="909" t="s">
        <v>176</v>
      </c>
      <c r="C94" s="911">
        <v>1600</v>
      </c>
      <c r="D94" s="918" t="str">
        <f>'Revenues 9-14'!A75</f>
        <v>Total Food Service</v>
      </c>
      <c r="E94" s="907"/>
      <c r="F94" s="1809">
        <f>'Revenues 9-14'!C75</f>
        <v>393875</v>
      </c>
      <c r="G94" s="913"/>
    </row>
    <row r="95" spans="1:7" x14ac:dyDescent="0.2">
      <c r="A95" s="909" t="s">
        <v>142</v>
      </c>
      <c r="B95" s="909" t="s">
        <v>177</v>
      </c>
      <c r="C95" s="911">
        <v>1700</v>
      </c>
      <c r="D95" s="919" t="str">
        <f>'Revenues 9-14'!A82</f>
        <v>Total District/School Activity Income</v>
      </c>
      <c r="E95" s="907"/>
      <c r="F95" s="1809">
        <f>SUM('Revenues 9-14'!C82,'Revenues 9-14'!D82)</f>
        <v>58185</v>
      </c>
      <c r="G95" s="913"/>
    </row>
    <row r="96" spans="1:7" x14ac:dyDescent="0.2">
      <c r="A96" s="909" t="s">
        <v>479</v>
      </c>
      <c r="B96" s="909" t="s">
        <v>178</v>
      </c>
      <c r="C96" s="911">
        <f>'Revenues 9-14'!B84</f>
        <v>1811</v>
      </c>
      <c r="D96" s="912" t="str">
        <f>'Revenues 9-14'!A84</f>
        <v>Rentals - Regular Textbooks</v>
      </c>
      <c r="E96" s="907"/>
      <c r="F96" s="1809">
        <f>'Revenues 9-14'!C84</f>
        <v>102541</v>
      </c>
      <c r="G96" s="913"/>
    </row>
    <row r="97" spans="1:7" x14ac:dyDescent="0.2">
      <c r="A97" s="909" t="s">
        <v>479</v>
      </c>
      <c r="B97" s="909" t="s">
        <v>179</v>
      </c>
      <c r="C97" s="911">
        <f>'Revenues 9-14'!B87</f>
        <v>1819</v>
      </c>
      <c r="D97" s="912" t="str">
        <f>'Revenues 9-14'!A87</f>
        <v>Rentals - Other (Describe &amp; Itemize)</v>
      </c>
      <c r="E97" s="907"/>
      <c r="F97" s="1809">
        <f>'Revenues 9-14'!C87</f>
        <v>0</v>
      </c>
      <c r="G97" s="913"/>
    </row>
    <row r="98" spans="1:7" x14ac:dyDescent="0.2">
      <c r="A98" s="909" t="s">
        <v>479</v>
      </c>
      <c r="B98" s="909" t="s">
        <v>180</v>
      </c>
      <c r="C98" s="911">
        <f>'Revenues 9-14'!B88</f>
        <v>1821</v>
      </c>
      <c r="D98" s="912" t="str">
        <f>'Revenues 9-14'!A88</f>
        <v>Sales - Regular Textbooks</v>
      </c>
      <c r="E98" s="907"/>
      <c r="F98" s="1809">
        <f>'Revenues 9-14'!C88</f>
        <v>0</v>
      </c>
      <c r="G98" s="913"/>
    </row>
    <row r="99" spans="1:7" x14ac:dyDescent="0.2">
      <c r="A99" s="909" t="s">
        <v>479</v>
      </c>
      <c r="B99" s="909" t="s">
        <v>181</v>
      </c>
      <c r="C99" s="911">
        <f>'Revenues 9-14'!B91</f>
        <v>1829</v>
      </c>
      <c r="D99" s="912" t="str">
        <f>'Revenues 9-14'!A91</f>
        <v>Sales - Other (Describe &amp; Itemize)</v>
      </c>
      <c r="E99" s="907"/>
      <c r="F99" s="1809">
        <f>'Revenues 9-14'!C91</f>
        <v>6736</v>
      </c>
      <c r="G99" s="913"/>
    </row>
    <row r="100" spans="1:7" x14ac:dyDescent="0.2">
      <c r="A100" s="909" t="s">
        <v>479</v>
      </c>
      <c r="B100" s="909" t="s">
        <v>182</v>
      </c>
      <c r="C100" s="911">
        <f>'Revenues 9-14'!B92</f>
        <v>1890</v>
      </c>
      <c r="D100" s="912" t="str">
        <f>'Revenues 9-14'!A92</f>
        <v>Other (Describe &amp; Itemize)</v>
      </c>
      <c r="E100" s="907"/>
      <c r="F100" s="1809">
        <f>'Revenues 9-14'!C92</f>
        <v>0</v>
      </c>
      <c r="G100" s="913"/>
    </row>
    <row r="101" spans="1:7" x14ac:dyDescent="0.2">
      <c r="A101" s="909" t="s">
        <v>142</v>
      </c>
      <c r="B101" s="909" t="s">
        <v>183</v>
      </c>
      <c r="C101" s="911">
        <f>'Revenues 9-14'!B95</f>
        <v>1910</v>
      </c>
      <c r="D101" s="912" t="str">
        <f>'Revenues 9-14'!A95</f>
        <v>Rentals</v>
      </c>
      <c r="E101" s="907"/>
      <c r="F101" s="1809">
        <f>SUM('Revenues 9-14'!C95:D95)</f>
        <v>63046</v>
      </c>
      <c r="G101" s="913"/>
    </row>
    <row r="102" spans="1:7" x14ac:dyDescent="0.2">
      <c r="A102" s="909" t="s">
        <v>524</v>
      </c>
      <c r="B102" s="909" t="s">
        <v>184</v>
      </c>
      <c r="C102" s="911">
        <f>'Revenues 9-14'!B98</f>
        <v>1940</v>
      </c>
      <c r="D102" s="912" t="str">
        <f>'Revenues 9-14'!A98</f>
        <v>Services Provided Other Districts</v>
      </c>
      <c r="E102" s="907"/>
      <c r="F102" s="1809">
        <f>SUM('Revenues 9-14'!C98,'Revenues 9-14'!D98,'Revenues 9-14'!F98)</f>
        <v>1550</v>
      </c>
      <c r="G102" s="913"/>
    </row>
    <row r="103" spans="1:7" x14ac:dyDescent="0.2">
      <c r="A103" s="909" t="s">
        <v>1066</v>
      </c>
      <c r="B103" s="909" t="s">
        <v>834</v>
      </c>
      <c r="C103" s="911">
        <f>'Revenues 9-14'!B104</f>
        <v>1991</v>
      </c>
      <c r="D103" s="920" t="str">
        <f>'Revenues 9-14'!A104</f>
        <v>Payment from Other Districts</v>
      </c>
      <c r="E103" s="907"/>
      <c r="F103" s="1809">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9">
        <f>('Revenues 9-14'!C106)</f>
        <v>292256</v>
      </c>
      <c r="G104" s="913"/>
    </row>
    <row r="105" spans="1:7" x14ac:dyDescent="0.2">
      <c r="A105" s="909" t="s">
        <v>524</v>
      </c>
      <c r="B105" s="909" t="s">
        <v>842</v>
      </c>
      <c r="C105" s="914">
        <v>3100</v>
      </c>
      <c r="D105" s="920" t="str">
        <f>'Revenues 9-14'!A131</f>
        <v>Total Special Education</v>
      </c>
      <c r="E105" s="907"/>
      <c r="F105" s="1809">
        <f>SUM('Revenues 9-14'!C131:D131,'Revenues 9-14'!F131)</f>
        <v>118647</v>
      </c>
      <c r="G105" s="913"/>
    </row>
    <row r="106" spans="1:7" x14ac:dyDescent="0.2">
      <c r="A106" s="909" t="s">
        <v>694</v>
      </c>
      <c r="B106" s="909" t="s">
        <v>1483</v>
      </c>
      <c r="C106" s="921">
        <v>3200</v>
      </c>
      <c r="D106" s="912" t="str">
        <f>'Revenues 9-14'!A140</f>
        <v>Total Career and Technical Education</v>
      </c>
      <c r="E106" s="907"/>
      <c r="F106" s="1809">
        <f>SUM('Revenues 9-14'!C140,'Revenues 9-14'!D140,'Revenues 9-14'!G140)</f>
        <v>4041</v>
      </c>
      <c r="G106" s="913"/>
    </row>
    <row r="107" spans="1:7" x14ac:dyDescent="0.2">
      <c r="A107" s="922" t="s">
        <v>685</v>
      </c>
      <c r="B107" s="909" t="s">
        <v>843</v>
      </c>
      <c r="C107" s="921">
        <v>3300</v>
      </c>
      <c r="D107" s="912" t="str">
        <f>'Revenues 9-14'!A144</f>
        <v>Total Bilingual Ed</v>
      </c>
      <c r="E107" s="907"/>
      <c r="F107" s="1809">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9">
        <f>'Revenues 9-14'!C145</f>
        <v>912</v>
      </c>
      <c r="G108" s="913"/>
    </row>
    <row r="109" spans="1:7" x14ac:dyDescent="0.2">
      <c r="A109" s="909" t="s">
        <v>694</v>
      </c>
      <c r="B109" s="909" t="s">
        <v>845</v>
      </c>
      <c r="C109" s="921">
        <f>'Revenues 9-14'!B146</f>
        <v>3365</v>
      </c>
      <c r="D109" s="912" t="str">
        <f>'Revenues 9-14'!A146</f>
        <v>School Breakfast Initiative</v>
      </c>
      <c r="E109" s="907"/>
      <c r="F109" s="1809">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9">
        <f>SUM('Revenues 9-14'!C147,'Revenues 9-14'!D147)</f>
        <v>29249</v>
      </c>
      <c r="G110" s="913"/>
    </row>
    <row r="111" spans="1:7" x14ac:dyDescent="0.2">
      <c r="A111" s="909" t="s">
        <v>689</v>
      </c>
      <c r="B111" s="909" t="s">
        <v>802</v>
      </c>
      <c r="C111" s="923">
        <v>3500</v>
      </c>
      <c r="D111" s="912" t="str">
        <f>'Revenues 9-14'!A154</f>
        <v>Total Transportation</v>
      </c>
      <c r="E111" s="907"/>
      <c r="F111" s="1809">
        <f>SUM('Revenues 9-14'!C154,'Revenues 9-14'!D154,'Revenues 9-14'!F154,'Revenues 9-14'!G154)</f>
        <v>567472</v>
      </c>
      <c r="G111" s="913"/>
    </row>
    <row r="112" spans="1:7" x14ac:dyDescent="0.2">
      <c r="A112" s="909" t="s">
        <v>479</v>
      </c>
      <c r="B112" s="909" t="s">
        <v>847</v>
      </c>
      <c r="C112" s="921">
        <f>'Revenues 9-14'!B155</f>
        <v>3610</v>
      </c>
      <c r="D112" s="912" t="str">
        <f>'Revenues 9-14'!A155</f>
        <v>Learning Improvement - Change Grants</v>
      </c>
      <c r="E112" s="907"/>
      <c r="F112" s="1809">
        <f>'Revenues 9-14'!C155</f>
        <v>0</v>
      </c>
      <c r="G112" s="913"/>
    </row>
    <row r="113" spans="1:7" x14ac:dyDescent="0.2">
      <c r="A113" s="909" t="s">
        <v>689</v>
      </c>
      <c r="B113" s="909" t="s">
        <v>848</v>
      </c>
      <c r="C113" s="921">
        <f>'Revenues 9-14'!B156</f>
        <v>3660</v>
      </c>
      <c r="D113" s="912" t="str">
        <f>'Revenues 9-14'!A156</f>
        <v>Scientific Literacy</v>
      </c>
      <c r="E113" s="907"/>
      <c r="F113" s="1809">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9">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9">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9">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9">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8">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9">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9">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9">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9">
        <f>SUM('Revenues 9-14'!C166:G166)</f>
        <v>0</v>
      </c>
      <c r="G122" s="913"/>
    </row>
    <row r="123" spans="1:7" x14ac:dyDescent="0.2">
      <c r="A123" s="924" t="s">
        <v>525</v>
      </c>
      <c r="B123" s="924" t="s">
        <v>853</v>
      </c>
      <c r="C123" s="925">
        <f>'Revenues 9-14'!B167</f>
        <v>3815</v>
      </c>
      <c r="D123" s="926" t="str">
        <f>'Revenues 9-14'!A167</f>
        <v>State Charter Schools</v>
      </c>
      <c r="E123" s="907"/>
      <c r="F123" s="1929">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9">
        <f>'Revenues 9-14'!D170</f>
        <v>0</v>
      </c>
      <c r="G124" s="931"/>
    </row>
    <row r="125" spans="1:7" x14ac:dyDescent="0.2">
      <c r="A125" s="928" t="s">
        <v>521</v>
      </c>
      <c r="B125" s="928" t="s">
        <v>855</v>
      </c>
      <c r="C125" s="929">
        <f>'Revenues 9-14'!B171</f>
        <v>3999</v>
      </c>
      <c r="D125" s="930" t="s">
        <v>564</v>
      </c>
      <c r="E125" s="932"/>
      <c r="F125" s="1809">
        <f>SUM('Revenues 9-14'!C171:G171,'Revenues 9-14'!J171)</f>
        <v>12274</v>
      </c>
      <c r="G125" s="931"/>
    </row>
    <row r="126" spans="1:7" x14ac:dyDescent="0.2">
      <c r="A126" s="928" t="s">
        <v>479</v>
      </c>
      <c r="B126" s="928" t="s">
        <v>856</v>
      </c>
      <c r="C126" s="933">
        <f>'Revenues 9-14'!B180</f>
        <v>4045</v>
      </c>
      <c r="D126" s="930" t="str">
        <f>'Revenues 9-14'!A180 &amp; " (Subtract)"</f>
        <v>Head Start (Subtract)</v>
      </c>
      <c r="E126" s="907"/>
      <c r="F126" s="1809">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09">
        <f>SUM('Revenues 9-14'!C184,'Revenues 9-14'!D184,'Revenues 9-14'!F184,'Revenues 9-14'!G184)</f>
        <v>0</v>
      </c>
      <c r="G127" s="931"/>
    </row>
    <row r="128" spans="1:7" x14ac:dyDescent="0.2">
      <c r="A128" s="928" t="s">
        <v>689</v>
      </c>
      <c r="B128" s="928" t="s">
        <v>858</v>
      </c>
      <c r="C128" s="933">
        <v>4100</v>
      </c>
      <c r="D128" s="934" t="str">
        <f>'Revenues 9-14'!A191</f>
        <v>Total Title V</v>
      </c>
      <c r="E128" s="907"/>
      <c r="F128" s="1809">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9">
        <f>SUM('Revenues 9-14'!C201,'Revenues 9-14'!G201)</f>
        <v>109599</v>
      </c>
      <c r="G129" s="931"/>
    </row>
    <row r="130" spans="1:7" x14ac:dyDescent="0.2">
      <c r="A130" s="928" t="s">
        <v>689</v>
      </c>
      <c r="B130" s="928" t="s">
        <v>804</v>
      </c>
      <c r="C130" s="933">
        <v>4300</v>
      </c>
      <c r="D130" s="934" t="str">
        <f>'Revenues 9-14'!A211</f>
        <v>Total Title I</v>
      </c>
      <c r="E130" s="907"/>
      <c r="F130" s="1809">
        <f>SUM('Revenues 9-14'!C211,'Revenues 9-14'!D211,'Revenues 9-14'!F211,'Revenues 9-14'!G211)</f>
        <v>114217</v>
      </c>
      <c r="G130" s="931"/>
    </row>
    <row r="131" spans="1:7" x14ac:dyDescent="0.2">
      <c r="A131" s="928" t="s">
        <v>689</v>
      </c>
      <c r="B131" s="928" t="s">
        <v>805</v>
      </c>
      <c r="C131" s="933">
        <v>4400</v>
      </c>
      <c r="D131" s="934" t="str">
        <f>'Revenues 9-14'!A216</f>
        <v>Total Title IV</v>
      </c>
      <c r="E131" s="907"/>
      <c r="F131" s="1809">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09">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09">
        <f>SUM('Revenues 9-14'!C221,'Revenues 9-14'!D221,'Revenues 9-14'!F221,'Revenues 9-14'!G221)</f>
        <v>61192</v>
      </c>
      <c r="G133" s="931"/>
    </row>
    <row r="134" spans="1:7" x14ac:dyDescent="0.2">
      <c r="A134" s="928" t="s">
        <v>689</v>
      </c>
      <c r="B134" s="928" t="s">
        <v>859</v>
      </c>
      <c r="C134" s="933">
        <f>'Revenues 9-14'!B222</f>
        <v>4630</v>
      </c>
      <c r="D134" s="934" t="str">
        <f>'Revenues 9-14'!A222</f>
        <v>Fed - Spec Education - IDEA - Discretionary</v>
      </c>
      <c r="E134" s="907"/>
      <c r="F134" s="1809">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9">
        <f>SUM('Revenues 9-14'!C223:D223,'Revenues 9-14'!F223:G223)</f>
        <v>0</v>
      </c>
      <c r="G135" s="931"/>
    </row>
    <row r="136" spans="1:7" x14ac:dyDescent="0.2">
      <c r="A136" s="928" t="s">
        <v>694</v>
      </c>
      <c r="B136" s="928" t="s">
        <v>807</v>
      </c>
      <c r="C136" s="933">
        <v>4700</v>
      </c>
      <c r="D136" s="930" t="str">
        <f>'Revenues 9-14'!A228</f>
        <v>Total CTE - Perkins</v>
      </c>
      <c r="E136" s="907"/>
      <c r="F136" s="1809">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9">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9">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9">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9">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9">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9">
        <v>0</v>
      </c>
      <c r="G142" s="906"/>
    </row>
    <row r="143" spans="1:7" s="868" customFormat="1" hidden="1" x14ac:dyDescent="0.2">
      <c r="A143" s="935" t="s">
        <v>215</v>
      </c>
      <c r="B143" s="935" t="s">
        <v>228</v>
      </c>
      <c r="C143" s="936" t="s">
        <v>225</v>
      </c>
      <c r="D143" s="937" t="str">
        <f>'Revenues 9-14'!A237</f>
        <v>ARRA - IDEA - Part B - Flow-Through</v>
      </c>
      <c r="E143" s="938"/>
      <c r="F143" s="1809">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9">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9">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9">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9">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9">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9">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9">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09">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9">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9">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9">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9">
        <v>0</v>
      </c>
      <c r="G155" s="906"/>
    </row>
    <row r="156" spans="1:7" s="868" customFormat="1" hidden="1" x14ac:dyDescent="0.2">
      <c r="A156" s="935" t="s">
        <v>215</v>
      </c>
      <c r="B156" s="935" t="s">
        <v>250</v>
      </c>
      <c r="C156" s="936" t="s">
        <v>247</v>
      </c>
      <c r="D156" s="937" t="str">
        <f>'Revenues 9-14'!A254</f>
        <v>Other ARRA Funds VII</v>
      </c>
      <c r="E156" s="938"/>
      <c r="F156" s="1809">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9">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9">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9">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9">
        <f>SUM('Revenues 9-14'!C258:G258,'Revenues 9-14'!J258)</f>
        <v>0</v>
      </c>
      <c r="G160" s="906"/>
    </row>
    <row r="161" spans="1:7" s="868" customFormat="1" x14ac:dyDescent="0.2">
      <c r="A161" s="939" t="s">
        <v>521</v>
      </c>
      <c r="B161" s="940" t="s">
        <v>1564</v>
      </c>
      <c r="C161" s="941" t="s">
        <v>896</v>
      </c>
      <c r="D161" s="942" t="s">
        <v>808</v>
      </c>
      <c r="E161" s="943"/>
      <c r="F161" s="1809">
        <f>SUM(F137:F160)</f>
        <v>0</v>
      </c>
      <c r="G161" s="906"/>
    </row>
    <row r="162" spans="1:7" s="868" customFormat="1" x14ac:dyDescent="0.2">
      <c r="A162" s="939" t="s">
        <v>479</v>
      </c>
      <c r="B162" s="940" t="s">
        <v>1501</v>
      </c>
      <c r="C162" s="941" t="s">
        <v>1499</v>
      </c>
      <c r="D162" s="942" t="s">
        <v>1500</v>
      </c>
      <c r="E162" s="943"/>
      <c r="F162" s="1809">
        <f>SUM('Revenues 9-14'!C260)</f>
        <v>0</v>
      </c>
      <c r="G162" s="906"/>
    </row>
    <row r="163" spans="1:7" s="868" customFormat="1" x14ac:dyDescent="0.2">
      <c r="A163" s="939" t="s">
        <v>521</v>
      </c>
      <c r="B163" s="940" t="s">
        <v>1541</v>
      </c>
      <c r="C163" s="941" t="s">
        <v>1542</v>
      </c>
      <c r="D163" s="942" t="s">
        <v>1543</v>
      </c>
      <c r="E163" s="943"/>
      <c r="F163" s="1809">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9">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9">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9">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9">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9">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9">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29">
        <f>SUM('Revenues 9-14'!C268,'Revenues 9-14'!D268,'Revenues 9-14'!F268,'Revenues 9-14'!G268)</f>
        <v>32379</v>
      </c>
      <c r="G170" s="931"/>
    </row>
    <row r="171" spans="1:7" x14ac:dyDescent="0.2">
      <c r="A171" s="928" t="s">
        <v>689</v>
      </c>
      <c r="B171" s="928" t="s">
        <v>864</v>
      </c>
      <c r="C171" s="933">
        <f>'Revenues 9-14'!B269</f>
        <v>4960</v>
      </c>
      <c r="D171" s="930" t="str">
        <f>'Revenues 9-14'!A269</f>
        <v>Federal Charter Schools</v>
      </c>
      <c r="E171" s="907"/>
      <c r="F171" s="1809">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9">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09">
        <f>SUM('Revenues 9-14'!C271:D271,'Revenues 9-14'!F271:G271)</f>
        <v>36968</v>
      </c>
      <c r="G173" s="948"/>
    </row>
    <row r="174" spans="1:7" x14ac:dyDescent="0.2">
      <c r="A174" s="949" t="s">
        <v>689</v>
      </c>
      <c r="B174" s="945" t="s">
        <v>1558</v>
      </c>
      <c r="C174" s="946">
        <f>'Revenues 9-14'!B272</f>
        <v>4999</v>
      </c>
      <c r="D174" s="947" t="str">
        <f>'Revenues 9-14'!A272</f>
        <v>Other Restricted Revenue from Federal Sources (Describe &amp; Itemize)</v>
      </c>
      <c r="E174" s="907"/>
      <c r="F174" s="1809">
        <f>SUM('Revenues 9-14'!C272:D272,'Revenues 9-14'!F272:G272)</f>
        <v>0</v>
      </c>
      <c r="G174" s="928"/>
    </row>
    <row r="175" spans="1:7" x14ac:dyDescent="0.2">
      <c r="A175" s="1940" t="s">
        <v>5</v>
      </c>
      <c r="B175" s="1941" t="s">
        <v>2058</v>
      </c>
      <c r="C175" s="1942">
        <v>3100</v>
      </c>
      <c r="D175" s="1943" t="s">
        <v>2061</v>
      </c>
      <c r="E175" s="907"/>
      <c r="F175" s="1927"/>
      <c r="G175" s="928"/>
    </row>
    <row r="176" spans="1:7" x14ac:dyDescent="0.2">
      <c r="A176" s="1940" t="s">
        <v>685</v>
      </c>
      <c r="B176" s="1941" t="s">
        <v>2058</v>
      </c>
      <c r="C176" s="1942">
        <v>3300</v>
      </c>
      <c r="D176" s="1943" t="s">
        <v>2062</v>
      </c>
      <c r="E176" s="907"/>
      <c r="F176" s="1927"/>
      <c r="G176" s="928"/>
    </row>
    <row r="177" spans="1:7" ht="6" customHeight="1" x14ac:dyDescent="0.2">
      <c r="A177" s="928"/>
      <c r="B177" s="928"/>
      <c r="C177" s="950"/>
      <c r="D177" s="928"/>
      <c r="E177" s="907"/>
      <c r="F177" s="951"/>
      <c r="G177" s="948"/>
    </row>
    <row r="178" spans="1:7" x14ac:dyDescent="0.2">
      <c r="A178" s="1790"/>
      <c r="B178" s="1804"/>
      <c r="C178" s="1805"/>
      <c r="D178" s="1806" t="s">
        <v>2014</v>
      </c>
      <c r="E178" s="1807" t="s">
        <v>1015</v>
      </c>
      <c r="F178" s="1808">
        <f>SUM(F84:F136,F161:F176)</f>
        <v>2050139</v>
      </c>
    </row>
    <row r="179" spans="1:7" ht="12" customHeight="1" x14ac:dyDescent="0.2">
      <c r="A179" s="1790"/>
      <c r="B179" s="1804"/>
      <c r="C179" s="1805"/>
      <c r="D179" s="1806" t="s">
        <v>2015</v>
      </c>
      <c r="E179" s="1807"/>
      <c r="F179" s="1809">
        <f>'PCTC-OEPP 27-28'!F77-F178</f>
        <v>10707229</v>
      </c>
    </row>
    <row r="180" spans="1:7" ht="12" customHeight="1" x14ac:dyDescent="0.2">
      <c r="A180" s="1790"/>
      <c r="B180" s="1804"/>
      <c r="C180" s="1805"/>
      <c r="D180" s="1806" t="s">
        <v>1924</v>
      </c>
      <c r="E180" s="1807"/>
      <c r="F180" s="1809">
        <f>'Cap Outlay Deprec 26'!I18</f>
        <v>1093941</v>
      </c>
    </row>
    <row r="181" spans="1:7" ht="12" customHeight="1" x14ac:dyDescent="0.2">
      <c r="A181" s="1790"/>
      <c r="B181" s="1804"/>
      <c r="C181" s="1805"/>
      <c r="D181" s="1806" t="s">
        <v>2016</v>
      </c>
      <c r="E181" s="1807"/>
      <c r="F181" s="1809">
        <f>F179+F180</f>
        <v>11801170</v>
      </c>
    </row>
    <row r="182" spans="1:7" ht="12" customHeight="1" x14ac:dyDescent="0.2">
      <c r="A182" s="1790"/>
      <c r="B182" s="1810"/>
      <c r="C182" s="1805"/>
      <c r="D182" s="1806" t="str">
        <f>D78</f>
        <v>9 Month ADA from District Average Daily Attendance/Prior General State Aid Inquiry 2017-2018</v>
      </c>
      <c r="E182" s="1807"/>
      <c r="F182" s="1811">
        <f>'PCTC-OEPP 27-28'!F78</f>
        <v>1165.5899999999999</v>
      </c>
      <c r="G182" s="931"/>
    </row>
    <row r="183" spans="1:7" ht="12" customHeight="1" thickBot="1" x14ac:dyDescent="0.25">
      <c r="A183" s="1790"/>
      <c r="B183" s="1810"/>
      <c r="C183" s="1805"/>
      <c r="D183" s="1806" t="s">
        <v>2017</v>
      </c>
      <c r="E183" s="1807" t="s">
        <v>1626</v>
      </c>
      <c r="F183" s="1812">
        <f>F181/F182</f>
        <v>10124.632160536725</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4" customFormat="1" ht="12.2" customHeight="1" x14ac:dyDescent="0.2">
      <c r="A186" s="1944" t="s">
        <v>2065</v>
      </c>
      <c r="B186" s="1945"/>
      <c r="C186" s="1946"/>
      <c r="D186" s="1945"/>
      <c r="E186" s="1946"/>
      <c r="F186" s="1945"/>
      <c r="G186" s="1945"/>
    </row>
    <row r="187" spans="1:7" s="1944" customFormat="1" ht="12.2" customHeight="1" x14ac:dyDescent="0.2">
      <c r="A187" s="1947" t="s">
        <v>2066</v>
      </c>
      <c r="C187" s="1946"/>
      <c r="D187" s="1945"/>
      <c r="E187" s="1946"/>
      <c r="F187" s="1945"/>
      <c r="G187" s="1945"/>
    </row>
    <row r="188" spans="1:7" ht="12" customHeight="1" x14ac:dyDescent="0.2">
      <c r="C188" s="950"/>
      <c r="D188" s="931"/>
      <c r="E188" s="950"/>
      <c r="F188" s="931"/>
      <c r="G188" s="931"/>
    </row>
    <row r="189" spans="1:7" x14ac:dyDescent="0.2">
      <c r="A189" s="1948" t="s">
        <v>2064</v>
      </c>
      <c r="B189" s="1949"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workbookViewId="0">
      <pane ySplit="16" topLeftCell="A17" activePane="bottomLeft" state="frozen"/>
      <selection activeCell="T14" sqref="T14"/>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79" t="s">
        <v>1940</v>
      </c>
      <c r="B1" s="1680"/>
      <c r="C1" s="1680"/>
      <c r="D1" s="1680"/>
      <c r="E1" s="1680"/>
      <c r="F1" s="1680"/>
      <c r="G1" s="1680"/>
    </row>
    <row r="2" spans="1:7" x14ac:dyDescent="0.25">
      <c r="A2" s="1677"/>
      <c r="B2" s="1677"/>
      <c r="C2" s="1678" t="s">
        <v>1036</v>
      </c>
      <c r="D2" s="1677"/>
      <c r="E2" s="1677"/>
      <c r="F2" s="1677"/>
      <c r="G2" s="1677"/>
    </row>
    <row r="3" spans="1:7" ht="5.25" customHeight="1" x14ac:dyDescent="0.25">
      <c r="A3" s="1567"/>
      <c r="B3" s="1567"/>
      <c r="C3" s="1567"/>
      <c r="D3" s="1567"/>
      <c r="E3" s="1567"/>
      <c r="F3" s="1567"/>
      <c r="G3" s="1567"/>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6" t="s">
        <v>1926</v>
      </c>
      <c r="B6" s="1557"/>
      <c r="C6" s="1557"/>
      <c r="D6" s="1557"/>
      <c r="E6" s="1557"/>
      <c r="F6" s="1557"/>
      <c r="G6" s="1558"/>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9" t="s">
        <v>1927</v>
      </c>
      <c r="B10" s="1560"/>
      <c r="C10" s="1560"/>
      <c r="D10" s="1560"/>
      <c r="E10" s="1560"/>
      <c r="F10" s="1560"/>
      <c r="G10" s="1561"/>
    </row>
    <row r="11" spans="1:7" ht="17.25" customHeight="1" x14ac:dyDescent="0.25">
      <c r="A11" s="2290" t="s">
        <v>1941</v>
      </c>
      <c r="B11" s="2291"/>
      <c r="C11" s="2291"/>
      <c r="D11" s="2291"/>
      <c r="E11" s="2291"/>
      <c r="F11" s="2291"/>
      <c r="G11" s="2292"/>
    </row>
    <row r="12" spans="1:7" ht="15" customHeight="1" x14ac:dyDescent="0.25">
      <c r="A12" s="1559" t="s">
        <v>1932</v>
      </c>
      <c r="B12" s="1560"/>
      <c r="C12" s="1560"/>
      <c r="D12" s="1560"/>
      <c r="E12" s="1560"/>
      <c r="F12" s="1560"/>
      <c r="G12" s="1561"/>
    </row>
    <row r="13" spans="1:7" ht="32.25" customHeight="1" x14ac:dyDescent="0.25">
      <c r="A13" s="2281" t="s">
        <v>1933</v>
      </c>
      <c r="B13" s="2282"/>
      <c r="C13" s="2282"/>
      <c r="D13" s="2282"/>
      <c r="E13" s="2282"/>
      <c r="F13" s="2282"/>
      <c r="G13" s="2283"/>
    </row>
    <row r="14" spans="1:7" x14ac:dyDescent="0.25">
      <c r="A14" s="1681" t="s">
        <v>1942</v>
      </c>
      <c r="B14" s="1682"/>
      <c r="C14" s="1682"/>
      <c r="D14" s="1682"/>
      <c r="E14" s="1682"/>
      <c r="F14" s="1682"/>
      <c r="G14" s="1683"/>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2" t="s">
        <v>2100</v>
      </c>
      <c r="B17" s="1953" t="s">
        <v>2101</v>
      </c>
      <c r="C17" s="1954" t="s">
        <v>2102</v>
      </c>
      <c r="D17" s="1865">
        <v>207358</v>
      </c>
      <c r="E17" s="1562">
        <f t="shared" ref="E17:E37" si="1">IF(D17&lt;=25000,D17,IF(D17&gt;25000,25000,0))</f>
        <v>25000</v>
      </c>
      <c r="F17" s="1813">
        <f t="shared" si="0"/>
        <v>25000</v>
      </c>
      <c r="G17" s="1814">
        <f>IF(F17=0,0,D17-F17)</f>
        <v>182358</v>
      </c>
      <c r="H17" s="1669"/>
    </row>
    <row r="18" spans="1:8" x14ac:dyDescent="0.25">
      <c r="A18" s="1952" t="s">
        <v>2100</v>
      </c>
      <c r="B18" s="1953" t="s">
        <v>2101</v>
      </c>
      <c r="C18" s="1954" t="s">
        <v>2103</v>
      </c>
      <c r="D18" s="1865">
        <v>32867</v>
      </c>
      <c r="E18" s="1562">
        <f t="shared" ref="E18:E36" si="2">IF(D18&lt;=25000,D18,IF(D18&gt;25000,25000,0))</f>
        <v>25000</v>
      </c>
      <c r="F18" s="1813">
        <f t="shared" ref="F18:F36"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4">
        <f t="shared" ref="G18:G36" si="4">IF(F18=0,0,D18-F18)</f>
        <v>7867</v>
      </c>
    </row>
    <row r="19" spans="1:8" x14ac:dyDescent="0.25">
      <c r="A19" s="1952" t="s">
        <v>2100</v>
      </c>
      <c r="B19" s="1953" t="s">
        <v>2101</v>
      </c>
      <c r="C19" s="1954" t="s">
        <v>2104</v>
      </c>
      <c r="D19" s="1865">
        <v>43348</v>
      </c>
      <c r="E19" s="1562">
        <f t="shared" si="2"/>
        <v>25000</v>
      </c>
      <c r="F19" s="1813">
        <f t="shared" si="3"/>
        <v>25000</v>
      </c>
      <c r="G19" s="1814">
        <f t="shared" si="4"/>
        <v>18348</v>
      </c>
    </row>
    <row r="20" spans="1:8" x14ac:dyDescent="0.25">
      <c r="A20" s="1675"/>
      <c r="B20" s="1687"/>
      <c r="C20" s="1676"/>
      <c r="D20" s="1865"/>
      <c r="E20" s="1562">
        <f t="shared" ref="E20:E21" si="5">IF(D20&lt;=25000,D20,IF(D20&gt;25000,25000,0))</f>
        <v>0</v>
      </c>
      <c r="F20" s="1813">
        <f t="shared" ref="F20:F21" si="6">IF(OR(B20="10-1000-100",B20="10-1000-200",B20="10-1000-300",B20="10-1000-400",B20="10-1000-600",B20="10-1000-800",B20="50-1000-200",B20="10-2100-100",B20="10-2100-200",B20="10-2100-300",B20="10-2100-400",B20="10-2100-600",B20="10-2100-800",B20="20-2100-200",B20="20-2190-100",B20="20-2190-200",B20="20-2190-300",B20="20-2190-400",B20="20-2190-600",B20="20-2190-800",B20="40-2190-100",B20="40-2190-200",B20="40-2190-300",B20="40-2190-400",B20="40-2190-600",B20="40-2190-800",B20="50-2190-200",B20="10-2200-100",B20="10-2200-200",B20="10-2200-300",B20="10-2200-400",B20="10-2200-600",B20="10-2200-800",B20="50-2200-200",B20="10-2300-100",B20="10-2300-200",B20="10-2300-300",B20="10-2300-400",B20="10-2300-600",B20="10-2300-800",B20="50-2300-200",B20="80-2300-100",B20="80-2300-200",B20="80-2300-300",B20="80-2300-400",B20="80-2300-600",B20="80-2300-800",B20="10-2400-100",B20="10-2400-200",B20="10-2400-300",B20="10-2400-400",B20="10-2400-600",B20="10-2400-800",B20="50-2400-200",B20="10-2510-100",B20="10-2510-200",B20="10-2510-300",B20="10-2510-400",B20="10-2510-600",B20="10-2510-800",B20="20-2510-100",B20="20-2510-200",B20="20-2510-300",B20="20-2510-400",B20="20-2510-600",B20="20-2510-800",B20="50-2510-200",B20="10-2520-100",B20="10-2520-200",B20="10-2520-300",B20="10-2520-400",B20="10-2520-600",B20="10-2520-800",B20="50-2520-200",B20="10-2540-100",B20="10-2540-200",B20="10-2540-300",B20="10-2540-400",B20="10-2540-600",B20="20-2540-800",B20="20-2540-100",B20="20-2540-200",B20="20-2540-300",B20="20-2540-400",B20="20-2540-600",B20="50-2540-200",B20="90-2540-100",B20="90-2540-200",B20="90-2540-300",B20="90-2540-400",B20="90-2540-600",B20="90-2540-800",B20="90-2540-800",B20="10-2550-100",B20="10-2550-200",B20="10-2550-300",B20="10-2550-400",B20="10-2550-600",B20="10-2550-800",B20="20-2550-100",B20="20-2550-200",B20="20-2550-300",B20="20-2550-400",B20="20-2550-600",B20="20-2550-800",B20="40-2550-100",B20="40-2550-200",B20="40-2550-300",B20="40-2550-400",B20="40-2550-600",B20="40-2550-800",B20="50-2550-200",B20="10-2560-100",B20="10-2560-200",B20="10-2560-300",B20="10-2560-400",B20="10-2560-600",B20="10-2560-800",B20="20-2560-100",B20="20-2560-200",B20="20-2560-300",B20="20-2560-400",B20="20-2560-600",B20="20-2560-800",B20="50-2560-200",B20="10-2570-100",B20="10-2570-200",B20="10-2570-300",B20="10-2570-400",B20="10-2570-600",B20="10-2570-800",B20="50-2570-200",B20="10-2610-100",B20="10-2610-200",B20="10-2610-300",B20="10-2610-400",B20="10-2610-600",B20="10-2610-800",B20="50-2610-200",B20="10-2620-100",B20="10-2620-200",B20="10-2620-300",B20="10-2620-400",B20="10-2620-600",B20="10-2620-800",B20="50-2620-200",B20="10-2630-100",B20="10-2630-200",B20="10-2630-300",B20="10-2630-400",B20="10-2630-600",B20="10-2630-800",B20="50-2630-200",B20="10-2640-100",B20="10-2640-200",B20="10-2640-300",B20="10-2640-400",B20="10-2640-600",B20="10-2640-800",B20="50-2640-200",B20="10-2660-100",B20="10-2660-200",B20="10-2660-300",B20="10-2660-400",B20="10-2660-600",B20="10-2660-800",B20="50-2660-200",B20="10-2900-100",B20="10-2900-200",B20="10-2900-300",B20="10-2900-400",B20="10-2900-600",B20="10-2900-800",B20="20-2900-100",B20="20-2900-200",B20="20-2900-300",B20="20-2900-400",B20="20-2900-600",B20="20-2900-800",B20="40-2900-100",B20="40-2900-200",B20="40-2900-300",B20="40-2900-400",B20="40-2900-600",B20="40-2900-800",B20="50-2900-200",B20="60-2900-100",B20="60-2900-200",B20="60-2900-300",B20="60-2900-400",B20="60-2900-600",B20="60-2900-800",B20="90-2900-100",B20="90-2900-200",B20="90-2900-300",B20="90-2900-400",B20="90-2900-600",B20="90-2900-800",B20="10-3000-100",B20="10-3000-200",B20="10-3000-300",B20="10-3000-400",B20="10-3000-600",B20="10-3000-800",B20="20-3000-100",B20="20-3000-200",B20="20-3000-300",B20="20-3000-400",B20="20-3000-600",B20="20-3000-800",B20="40-3000-100",B20="40-3000-200",B20="40-3000-300",B20="40-3000-400",B20="40-3000-600",B20="40-3000-800",B20="50-3000-200"),E20,0)</f>
        <v>0</v>
      </c>
      <c r="G20" s="1814">
        <f t="shared" ref="G20:G21" si="7">IF(F20=0,0,D20-F20)</f>
        <v>0</v>
      </c>
    </row>
    <row r="21" spans="1:8" x14ac:dyDescent="0.25">
      <c r="A21" s="1675"/>
      <c r="B21" s="1687"/>
      <c r="C21" s="1676"/>
      <c r="D21" s="1865"/>
      <c r="E21" s="1562">
        <f t="shared" si="5"/>
        <v>0</v>
      </c>
      <c r="F21" s="1813">
        <f t="shared" si="6"/>
        <v>0</v>
      </c>
      <c r="G21" s="1814">
        <f t="shared" si="7"/>
        <v>0</v>
      </c>
    </row>
    <row r="22" spans="1:8" x14ac:dyDescent="0.25">
      <c r="A22" s="1675"/>
      <c r="B22" s="1687"/>
      <c r="C22" s="1676"/>
      <c r="D22" s="1865"/>
      <c r="E22" s="1562">
        <f t="shared" ref="E22:E30" si="8">IF(D22&lt;=25000,D22,IF(D22&gt;25000,25000,0))</f>
        <v>0</v>
      </c>
      <c r="F22" s="1813">
        <f t="shared" ref="F22:F30" si="9">IF(OR(B22="10-1000-100",B22="10-1000-200",B22="10-1000-300",B22="10-1000-400",B22="10-1000-600",B22="10-1000-800",B22="50-1000-200",B22="10-2100-100",B22="10-2100-200",B22="10-2100-300",B22="10-2100-400",B22="10-2100-600",B22="10-2100-800",B22="20-2100-200",B22="20-2190-100",B22="20-2190-200",B22="20-2190-300",B22="20-2190-400",B22="20-2190-600",B22="20-2190-800",B22="40-2190-100",B22="40-2190-200",B22="40-2190-300",B22="40-2190-400",B22="40-2190-600",B22="40-2190-800",B22="50-2190-200",B22="10-2200-100",B22="10-2200-200",B22="10-2200-300",B22="10-2200-400",B22="10-2200-600",B22="10-2200-800",B22="50-2200-200",B22="10-2300-100",B22="10-2300-200",B22="10-2300-300",B22="10-2300-400",B22="10-2300-600",B22="10-2300-800",B22="50-2300-200",B22="80-2300-100",B22="80-2300-200",B22="80-2300-300",B22="80-2300-400",B22="80-2300-600",B22="80-2300-800",B22="10-2400-100",B22="10-2400-200",B22="10-2400-300",B22="10-2400-400",B22="10-2400-600",B22="10-2400-800",B22="50-2400-200",B22="10-2510-100",B22="10-2510-200",B22="10-2510-300",B22="10-2510-400",B22="10-2510-600",B22="10-2510-800",B22="20-2510-100",B22="20-2510-200",B22="20-2510-300",B22="20-2510-400",B22="20-2510-600",B22="20-2510-800",B22="50-2510-200",B22="10-2520-100",B22="10-2520-200",B22="10-2520-300",B22="10-2520-400",B22="10-2520-600",B22="10-2520-800",B22="50-2520-200",B22="10-2540-100",B22="10-2540-200",B22="10-2540-300",B22="10-2540-400",B22="10-2540-600",B22="20-2540-800",B22="20-2540-100",B22="20-2540-200",B22="20-2540-300",B22="20-2540-400",B22="20-2540-600",B22="50-2540-200",B22="90-2540-100",B22="90-2540-200",B22="90-2540-300",B22="90-2540-400",B22="90-2540-600",B22="90-2540-800",B22="90-2540-800",B22="10-2550-100",B22="10-2550-200",B22="10-2550-300",B22="10-2550-400",B22="10-2550-600",B22="10-2550-800",B22="20-2550-100",B22="20-2550-200",B22="20-2550-300",B22="20-2550-400",B22="20-2550-600",B22="20-2550-800",B22="40-2550-100",B22="40-2550-200",B22="40-2550-300",B22="40-2550-400",B22="40-2550-600",B22="40-2550-800",B22="50-2550-200",B22="10-2560-100",B22="10-2560-200",B22="10-2560-300",B22="10-2560-400",B22="10-2560-600",B22="10-2560-800",B22="20-2560-100",B22="20-2560-200",B22="20-2560-300",B22="20-2560-400",B22="20-2560-600",B22="20-2560-800",B22="50-2560-200",B22="10-2570-100",B22="10-2570-200",B22="10-2570-300",B22="10-2570-400",B22="10-2570-600",B22="10-2570-800",B22="50-2570-200",B22="10-2610-100",B22="10-2610-200",B22="10-2610-300",B22="10-2610-400",B22="10-2610-600",B22="10-2610-800",B22="50-2610-200",B22="10-2620-100",B22="10-2620-200",B22="10-2620-300",B22="10-2620-400",B22="10-2620-600",B22="10-2620-800",B22="50-2620-200",B22="10-2630-100",B22="10-2630-200",B22="10-2630-300",B22="10-2630-400",B22="10-2630-600",B22="10-2630-800",B22="50-2630-200",B22="10-2640-100",B22="10-2640-200",B22="10-2640-300",B22="10-2640-400",B22="10-2640-600",B22="10-2640-800",B22="50-2640-200",B22="10-2660-100",B22="10-2660-200",B22="10-2660-300",B22="10-2660-400",B22="10-2660-600",B22="10-2660-800",B22="50-2660-200",B22="10-2900-100",B22="10-2900-200",B22="10-2900-300",B22="10-2900-400",B22="10-2900-600",B22="10-2900-800",B22="20-2900-100",B22="20-2900-200",B22="20-2900-300",B22="20-2900-400",B22="20-2900-600",B22="20-2900-800",B22="40-2900-100",B22="40-2900-200",B22="40-2900-300",B22="40-2900-400",B22="40-2900-600",B22="40-2900-800",B22="50-2900-200",B22="60-2900-100",B22="60-2900-200",B22="60-2900-300",B22="60-2900-400",B22="60-2900-600",B22="60-2900-800",B22="90-2900-100",B22="90-2900-200",B22="90-2900-300",B22="90-2900-400",B22="90-2900-600",B22="90-2900-800",B22="10-3000-100",B22="10-3000-200",B22="10-3000-300",B22="10-3000-400",B22="10-3000-600",B22="10-3000-800",B22="20-3000-100",B22="20-3000-200",B22="20-3000-300",B22="20-3000-400",B22="20-3000-600",B22="20-3000-800",B22="40-3000-100",B22="40-3000-200",B22="40-3000-300",B22="40-3000-400",B22="40-3000-600",B22="40-3000-800",B22="50-3000-200"),E22,0)</f>
        <v>0</v>
      </c>
      <c r="G22" s="1814">
        <f t="shared" ref="G22:G30" si="10">IF(F22=0,0,D22-F22)</f>
        <v>0</v>
      </c>
    </row>
    <row r="23" spans="1:8" x14ac:dyDescent="0.25">
      <c r="A23" s="1675"/>
      <c r="B23" s="1687"/>
      <c r="C23" s="1676"/>
      <c r="D23" s="1865"/>
      <c r="E23" s="1562">
        <f t="shared" si="8"/>
        <v>0</v>
      </c>
      <c r="F23" s="1813">
        <f t="shared" si="9"/>
        <v>0</v>
      </c>
      <c r="G23" s="1814">
        <f t="shared" si="10"/>
        <v>0</v>
      </c>
    </row>
    <row r="24" spans="1:8" x14ac:dyDescent="0.25">
      <c r="A24" s="1675"/>
      <c r="B24" s="1687"/>
      <c r="C24" s="1676"/>
      <c r="D24" s="1865"/>
      <c r="E24" s="1562">
        <f t="shared" si="8"/>
        <v>0</v>
      </c>
      <c r="F24" s="1813">
        <f t="shared" si="9"/>
        <v>0</v>
      </c>
      <c r="G24" s="1814">
        <f t="shared" si="10"/>
        <v>0</v>
      </c>
    </row>
    <row r="25" spans="1:8" x14ac:dyDescent="0.25">
      <c r="A25" s="1675"/>
      <c r="B25" s="1687"/>
      <c r="C25" s="1676"/>
      <c r="D25" s="1865"/>
      <c r="E25" s="1562">
        <f t="shared" si="8"/>
        <v>0</v>
      </c>
      <c r="F25" s="1813">
        <f t="shared" si="9"/>
        <v>0</v>
      </c>
      <c r="G25" s="1814">
        <f t="shared" si="10"/>
        <v>0</v>
      </c>
    </row>
    <row r="26" spans="1:8" x14ac:dyDescent="0.25">
      <c r="A26" s="1675"/>
      <c r="B26" s="1687"/>
      <c r="C26" s="1676"/>
      <c r="D26" s="1865"/>
      <c r="E26" s="1562">
        <f t="shared" si="8"/>
        <v>0</v>
      </c>
      <c r="F26" s="1813">
        <f t="shared" si="9"/>
        <v>0</v>
      </c>
      <c r="G26" s="1814">
        <f t="shared" si="10"/>
        <v>0</v>
      </c>
    </row>
    <row r="27" spans="1:8" x14ac:dyDescent="0.25">
      <c r="A27" s="1675"/>
      <c r="B27" s="1858"/>
      <c r="C27" s="1676"/>
      <c r="D27" s="1865"/>
      <c r="E27" s="1562">
        <f t="shared" si="8"/>
        <v>0</v>
      </c>
      <c r="F27" s="1813">
        <f t="shared" si="9"/>
        <v>0</v>
      </c>
      <c r="G27" s="1814">
        <f t="shared" si="10"/>
        <v>0</v>
      </c>
    </row>
    <row r="28" spans="1:8" x14ac:dyDescent="0.25">
      <c r="A28" s="1675"/>
      <c r="B28" s="1858"/>
      <c r="C28" s="1676"/>
      <c r="D28" s="1865"/>
      <c r="E28" s="1562">
        <f t="shared" si="8"/>
        <v>0</v>
      </c>
      <c r="F28" s="1813">
        <f t="shared" si="9"/>
        <v>0</v>
      </c>
      <c r="G28" s="1814">
        <f t="shared" si="10"/>
        <v>0</v>
      </c>
    </row>
    <row r="29" spans="1:8" x14ac:dyDescent="0.25">
      <c r="A29" s="1675"/>
      <c r="B29" s="1687"/>
      <c r="C29" s="1676"/>
      <c r="D29" s="1865"/>
      <c r="E29" s="1562">
        <f t="shared" si="8"/>
        <v>0</v>
      </c>
      <c r="F29" s="1813">
        <f t="shared" si="9"/>
        <v>0</v>
      </c>
      <c r="G29" s="1814">
        <f t="shared" si="10"/>
        <v>0</v>
      </c>
    </row>
    <row r="30" spans="1:8" x14ac:dyDescent="0.25">
      <c r="A30" s="1675"/>
      <c r="B30" s="1687"/>
      <c r="C30" s="1676"/>
      <c r="D30" s="1865"/>
      <c r="E30" s="1562">
        <f t="shared" si="8"/>
        <v>0</v>
      </c>
      <c r="F30" s="1813">
        <f t="shared" si="9"/>
        <v>0</v>
      </c>
      <c r="G30" s="1814">
        <f t="shared" si="10"/>
        <v>0</v>
      </c>
    </row>
    <row r="31" spans="1:8" x14ac:dyDescent="0.25">
      <c r="A31" s="1675"/>
      <c r="B31" s="1687"/>
      <c r="C31" s="1676"/>
      <c r="D31" s="1865"/>
      <c r="E31" s="1562">
        <f t="shared" ref="E31:E35" si="11">IF(D31&lt;=25000,D31,IF(D31&gt;25000,25000,0))</f>
        <v>0</v>
      </c>
      <c r="F31" s="1813">
        <f t="shared" ref="F31:F35" si="12">IF(OR(B31="10-1000-100",B31="10-1000-200",B31="10-1000-300",B31="10-1000-400",B31="10-1000-600",B31="10-1000-800",B31="50-1000-200",B31="10-2100-100",B31="10-2100-200",B31="10-2100-300",B31="10-2100-400",B31="10-2100-600",B31="10-2100-800",B31="20-2100-200",B31="20-2190-100",B31="20-2190-200",B31="20-2190-300",B31="20-2190-400",B31="20-2190-600",B31="20-2190-800",B31="40-2190-100",B31="40-2190-200",B31="40-2190-300",B31="40-2190-400",B31="40-2190-600",B31="40-2190-800",B31="50-2190-200",B31="10-2200-100",B31="10-2200-200",B31="10-2200-300",B31="10-2200-400",B31="10-2200-600",B31="10-2200-800",B31="50-2200-200",B31="10-2300-100",B31="10-2300-200",B31="10-2300-300",B31="10-2300-400",B31="10-2300-600",B31="10-2300-800",B31="50-2300-200",B31="80-2300-100",B31="80-2300-200",B31="80-2300-300",B31="80-2300-400",B31="80-2300-600",B31="80-2300-800",B31="10-2400-100",B31="10-2400-200",B31="10-2400-300",B31="10-2400-400",B31="10-2400-600",B31="10-2400-800",B31="50-2400-200",B31="10-2510-100",B31="10-2510-200",B31="10-2510-300",B31="10-2510-400",B31="10-2510-600",B31="10-2510-800",B31="20-2510-100",B31="20-2510-200",B31="20-2510-300",B31="20-2510-400",B31="20-2510-600",B31="20-2510-800",B31="50-2510-200",B31="10-2520-100",B31="10-2520-200",B31="10-2520-300",B31="10-2520-400",B31="10-2520-600",B31="10-2520-800",B31="50-2520-200",B31="10-2540-100",B31="10-2540-200",B31="10-2540-300",B31="10-2540-400",B31="10-2540-600",B31="20-2540-800",B31="20-2540-100",B31="20-2540-200",B31="20-2540-300",B31="20-2540-400",B31="20-2540-600",B31="50-2540-200",B31="90-2540-100",B31="90-2540-200",B31="90-2540-300",B31="90-2540-400",B31="90-2540-600",B31="90-2540-800",B31="90-2540-800",B31="10-2550-100",B31="10-2550-200",B31="10-2550-300",B31="10-2550-400",B31="10-2550-600",B31="10-2550-800",B31="20-2550-100",B31="20-2550-200",B31="20-2550-300",B31="20-2550-400",B31="20-2550-600",B31="20-2550-800",B31="40-2550-100",B31="40-2550-200",B31="40-2550-300",B31="40-2550-400",B31="40-2550-600",B31="40-2550-800",B31="50-2550-200",B31="10-2560-100",B31="10-2560-200",B31="10-2560-300",B31="10-2560-400",B31="10-2560-600",B31="10-2560-800",B31="20-2560-100",B31="20-2560-200",B31="20-2560-300",B31="20-2560-400",B31="20-2560-600",B31="20-2560-800",B31="50-2560-200",B31="10-2570-100",B31="10-2570-200",B31="10-2570-300",B31="10-2570-400",B31="10-2570-600",B31="10-2570-800",B31="50-2570-200",B31="10-2610-100",B31="10-2610-200",B31="10-2610-300",B31="10-2610-400",B31="10-2610-600",B31="10-2610-800",B31="50-2610-200",B31="10-2620-100",B31="10-2620-200",B31="10-2620-300",B31="10-2620-400",B31="10-2620-600",B31="10-2620-800",B31="50-2620-200",B31="10-2630-100",B31="10-2630-200",B31="10-2630-300",B31="10-2630-400",B31="10-2630-600",B31="10-2630-800",B31="50-2630-200",B31="10-2640-100",B31="10-2640-200",B31="10-2640-300",B31="10-2640-400",B31="10-2640-600",B31="10-2640-800",B31="50-2640-200",B31="10-2660-100",B31="10-2660-200",B31="10-2660-300",B31="10-2660-400",B31="10-2660-600",B31="10-2660-800",B31="50-2660-200",B31="10-2900-100",B31="10-2900-200",B31="10-2900-300",B31="10-2900-400",B31="10-2900-600",B31="10-2900-800",B31="20-2900-100",B31="20-2900-200",B31="20-2900-300",B31="20-2900-400",B31="20-2900-600",B31="20-2900-800",B31="40-2900-100",B31="40-2900-200",B31="40-2900-300",B31="40-2900-400",B31="40-2900-600",B31="40-2900-800",B31="50-2900-200",B31="60-2900-100",B31="60-2900-200",B31="60-2900-300",B31="60-2900-400",B31="60-2900-600",B31="60-2900-800",B31="90-2900-100",B31="90-2900-200",B31="90-2900-300",B31="90-2900-400",B31="90-2900-600",B31="90-2900-800",B31="10-3000-100",B31="10-3000-200",B31="10-3000-300",B31="10-3000-400",B31="10-3000-600",B31="10-3000-800",B31="20-3000-100",B31="20-3000-200",B31="20-3000-300",B31="20-3000-400",B31="20-3000-600",B31="20-3000-800",B31="40-3000-100",B31="40-3000-200",B31="40-3000-300",B31="40-3000-400",B31="40-3000-600",B31="40-3000-800",B31="50-3000-200"),E31,0)</f>
        <v>0</v>
      </c>
      <c r="G31" s="1814">
        <f t="shared" ref="G31:G35" si="13">IF(F31=0,0,D31-F31)</f>
        <v>0</v>
      </c>
    </row>
    <row r="32" spans="1:8" x14ac:dyDescent="0.25">
      <c r="A32" s="1675"/>
      <c r="B32" s="1687"/>
      <c r="C32" s="1676"/>
      <c r="D32" s="1865"/>
      <c r="E32" s="1562">
        <f t="shared" si="11"/>
        <v>0</v>
      </c>
      <c r="F32" s="1813">
        <f t="shared" si="12"/>
        <v>0</v>
      </c>
      <c r="G32" s="1814">
        <f t="shared" si="13"/>
        <v>0</v>
      </c>
    </row>
    <row r="33" spans="1:7" x14ac:dyDescent="0.25">
      <c r="A33" s="1675"/>
      <c r="B33" s="1687"/>
      <c r="C33" s="1676"/>
      <c r="D33" s="1865"/>
      <c r="E33" s="1562">
        <f t="shared" si="11"/>
        <v>0</v>
      </c>
      <c r="F33" s="1813">
        <f t="shared" si="12"/>
        <v>0</v>
      </c>
      <c r="G33" s="1814">
        <f t="shared" si="13"/>
        <v>0</v>
      </c>
    </row>
    <row r="34" spans="1:7" x14ac:dyDescent="0.25">
      <c r="A34" s="1675"/>
      <c r="B34" s="1687"/>
      <c r="C34" s="1676"/>
      <c r="D34" s="1865"/>
      <c r="E34" s="1562">
        <f t="shared" si="11"/>
        <v>0</v>
      </c>
      <c r="F34" s="1813">
        <f t="shared" si="12"/>
        <v>0</v>
      </c>
      <c r="G34" s="1814">
        <f t="shared" si="13"/>
        <v>0</v>
      </c>
    </row>
    <row r="35" spans="1:7" x14ac:dyDescent="0.25">
      <c r="A35" s="1675"/>
      <c r="B35" s="1687"/>
      <c r="C35" s="1676"/>
      <c r="D35" s="1865"/>
      <c r="E35" s="1562">
        <f t="shared" si="11"/>
        <v>0</v>
      </c>
      <c r="F35" s="1813">
        <f t="shared" si="12"/>
        <v>0</v>
      </c>
      <c r="G35" s="1814">
        <f t="shared" si="13"/>
        <v>0</v>
      </c>
    </row>
    <row r="36" spans="1:7" x14ac:dyDescent="0.25">
      <c r="A36" s="1675"/>
      <c r="B36" s="1686"/>
      <c r="C36" s="1676"/>
      <c r="D36" s="1865"/>
      <c r="E36" s="1562">
        <f t="shared" si="2"/>
        <v>0</v>
      </c>
      <c r="F36" s="1813">
        <f t="shared" si="3"/>
        <v>0</v>
      </c>
      <c r="G36" s="1814">
        <f t="shared" si="4"/>
        <v>0</v>
      </c>
    </row>
    <row r="37" spans="1:7" x14ac:dyDescent="0.25">
      <c r="A37" s="1817" t="s">
        <v>158</v>
      </c>
      <c r="B37" s="1818"/>
      <c r="C37" s="1819"/>
      <c r="D37" s="1815">
        <f>SUM(D17:D36)</f>
        <v>283573</v>
      </c>
      <c r="E37" s="1563">
        <f t="shared" si="1"/>
        <v>25000</v>
      </c>
      <c r="F37" s="1815">
        <f>SUM(F17:F36)</f>
        <v>75000</v>
      </c>
      <c r="G37" s="1816">
        <f>SUM(G17:G36)</f>
        <v>208573</v>
      </c>
    </row>
  </sheetData>
  <sheetProtection sheet="1" selectLockedCells="1"/>
  <mergeCells count="6">
    <mergeCell ref="A13:G13"/>
    <mergeCell ref="A4:G5"/>
    <mergeCell ref="A11:G11"/>
    <mergeCell ref="A7:G7"/>
    <mergeCell ref="A8:G8"/>
    <mergeCell ref="A9:G9"/>
  </mergeCells>
  <pageMargins left="0.2" right="0.2" top="0.5" bottom="0.4" header="0.3" footer="0.3"/>
  <pageSetup scale="83" firstPageNumber="30" fitToHeight="0" orientation="landscape" r:id="rId1"/>
  <headerFooter>
    <oddFooter>&amp;C29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T14" sqref="T1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6" t="s">
        <v>1778</v>
      </c>
      <c r="B5" s="2297"/>
      <c r="C5" s="2297"/>
      <c r="D5" s="2297"/>
      <c r="E5" s="2297"/>
      <c r="F5" s="2297"/>
      <c r="G5" s="2298"/>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283352</v>
      </c>
      <c r="F10" s="975"/>
      <c r="G10" s="976"/>
      <c r="H10" s="162"/>
      <c r="I10" s="162"/>
    </row>
    <row r="11" spans="1:9" s="669" customFormat="1" ht="22.5" customHeight="1" x14ac:dyDescent="0.2">
      <c r="A11" s="2301" t="s">
        <v>1945</v>
      </c>
      <c r="B11" s="2302"/>
      <c r="C11" s="2302"/>
      <c r="D11" s="2303"/>
      <c r="E11" s="978">
        <v>33944</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0"/>
      <c r="E19" s="1821">
        <f>'Expenditures 15-22'!K33-SUM('Expenditures 15-22'!G33,'Expenditures 15-22'!I33)+'Expenditures 15-22'!D229</f>
        <v>7416064</v>
      </c>
      <c r="F19" s="1820"/>
      <c r="G19" s="1822">
        <f>'Expenditures 15-22'!K33-SUM('Expenditures 15-22'!G33,'Expenditures 15-22'!I33)+'Expenditures 15-22'!D229</f>
        <v>7416064</v>
      </c>
      <c r="H19" s="988"/>
      <c r="I19" s="162"/>
    </row>
    <row r="20" spans="1:9" s="669" customFormat="1" ht="12" customHeight="1" x14ac:dyDescent="0.2">
      <c r="A20" s="991" t="s">
        <v>56</v>
      </c>
      <c r="B20" s="992"/>
      <c r="C20" s="994"/>
      <c r="D20" s="1823"/>
      <c r="E20" s="1823"/>
      <c r="F20" s="1823"/>
      <c r="G20" s="1824"/>
      <c r="H20" s="988"/>
      <c r="I20" s="162"/>
    </row>
    <row r="21" spans="1:9" s="669" customFormat="1" ht="12" customHeight="1" x14ac:dyDescent="0.2">
      <c r="A21" s="995" t="s">
        <v>421</v>
      </c>
      <c r="B21" s="996"/>
      <c r="C21" s="994">
        <v>2100</v>
      </c>
      <c r="D21" s="1823"/>
      <c r="E21" s="1825">
        <f>'Expenditures 15-22'!K42-SUM('Expenditures 15-22'!G42,'Expenditures 15-22'!I42)+'Expenditures 15-22'!K120-SUM('Expenditures 15-22'!G120,'Expenditures 15-22'!I120)+'Expenditures 15-22'!K180-SUM('Expenditures 15-22'!G180,'Expenditures 15-22'!I180)+'Expenditures 15-22'!D238</f>
        <v>308087</v>
      </c>
      <c r="F21" s="1823"/>
      <c r="G21" s="1826">
        <f>'Expenditures 15-22'!K42-SUM('Expenditures 15-22'!G42,'Expenditures 15-22'!I42)+'Expenditures 15-22'!K120-SUM('Expenditures 15-22'!G120,'Expenditures 15-22'!I120)+'Expenditures 15-22'!K180-SUM('Expenditures 15-22'!G180,'Expenditures 15-22'!I180)+'Expenditures 15-22'!D238</f>
        <v>308087</v>
      </c>
      <c r="H21" s="988"/>
      <c r="I21" s="162"/>
    </row>
    <row r="22" spans="1:9" s="669" customFormat="1" ht="12" customHeight="1" x14ac:dyDescent="0.2">
      <c r="A22" s="995" t="s">
        <v>585</v>
      </c>
      <c r="B22" s="996"/>
      <c r="C22" s="994">
        <v>2200</v>
      </c>
      <c r="D22" s="1823"/>
      <c r="E22" s="1825">
        <f>'Expenditures 15-22'!K47-SUM('Expenditures 15-22'!G47,'Expenditures 15-22'!I47)+'Expenditures 15-22'!D243</f>
        <v>181904</v>
      </c>
      <c r="F22" s="1823"/>
      <c r="G22" s="1826">
        <f>'Expenditures 15-22'!K47-SUM('Expenditures 15-22'!G47,'Expenditures 15-22'!I47)+'Expenditures 15-22'!D243</f>
        <v>181904</v>
      </c>
      <c r="H22" s="988"/>
      <c r="I22" s="162"/>
    </row>
    <row r="23" spans="1:9" s="669" customFormat="1" ht="12" customHeight="1" x14ac:dyDescent="0.2">
      <c r="A23" s="995" t="s">
        <v>586</v>
      </c>
      <c r="B23" s="996"/>
      <c r="C23" s="994">
        <v>2300</v>
      </c>
      <c r="D23" s="1823"/>
      <c r="E23" s="1825">
        <f>'Expenditures 15-22'!K53-SUM('Expenditures 15-22'!G53,'Expenditures 15-22'!I53)+'Expenditures 15-22'!D257+'Expenditures 15-22'!K330-SUM('Expenditures 15-22'!G330,'Expenditures 15-22'!I330)</f>
        <v>892278</v>
      </c>
      <c r="F23" s="1823"/>
      <c r="G23" s="1825">
        <f>'Expenditures 15-22'!K53-SUM('Expenditures 15-22'!G53,'Expenditures 15-22'!I53)+'Expenditures 15-22'!D257+'Expenditures 15-22'!K330-SUM('Expenditures 15-22'!G330,'Expenditures 15-22'!I330)</f>
        <v>892278</v>
      </c>
      <c r="H23" s="988"/>
      <c r="I23" s="162"/>
    </row>
    <row r="24" spans="1:9" s="669" customFormat="1" ht="12" customHeight="1" x14ac:dyDescent="0.2">
      <c r="A24" s="995" t="s">
        <v>587</v>
      </c>
      <c r="B24" s="996"/>
      <c r="C24" s="994">
        <v>2400</v>
      </c>
      <c r="D24" s="1823"/>
      <c r="E24" s="1825">
        <f>'Expenditures 15-22'!K57-SUM('Expenditures 15-22'!G57,'Expenditures 15-22'!I57)+'Expenditures 15-22'!D261</f>
        <v>682887</v>
      </c>
      <c r="F24" s="1823"/>
      <c r="G24" s="1826">
        <f>'Expenditures 15-22'!K57-SUM('Expenditures 15-22'!G57,'Expenditures 15-22'!I57)+'Expenditures 15-22'!D261</f>
        <v>682887</v>
      </c>
      <c r="H24" s="988"/>
      <c r="I24" s="162"/>
    </row>
    <row r="25" spans="1:9" s="669" customFormat="1" ht="12" customHeight="1" x14ac:dyDescent="0.2">
      <c r="A25" s="991" t="s">
        <v>588</v>
      </c>
      <c r="B25" s="997"/>
      <c r="C25" s="994"/>
      <c r="D25" s="1823"/>
      <c r="E25" s="1825"/>
      <c r="F25" s="1823"/>
      <c r="G25" s="1826"/>
      <c r="H25" s="988"/>
      <c r="I25" s="162"/>
    </row>
    <row r="26" spans="1:9" s="669" customFormat="1" ht="12" customHeight="1" x14ac:dyDescent="0.2">
      <c r="A26" s="995" t="s">
        <v>536</v>
      </c>
      <c r="B26" s="998"/>
      <c r="C26" s="994">
        <v>2510</v>
      </c>
      <c r="D26" s="1825">
        <f>'Expenditures 15-22'!K59-SUM('Expenditures 15-22'!G59,'Expenditures 15-22'!I59)+'Expenditures 15-22'!D263-E7</f>
        <v>65930</v>
      </c>
      <c r="E26" s="1825">
        <f>'Expenditures 15-22'!K122-SUM('Expenditures 15-22'!G122,'Expenditures 15-22'!I122)+E7</f>
        <v>0</v>
      </c>
      <c r="F26" s="1825">
        <f>'Expenditures 15-22'!K59-SUM('Expenditures 15-22'!G59,'Expenditures 15-22'!I59)+'Expenditures 15-22'!D263-E7</f>
        <v>65930</v>
      </c>
      <c r="G26" s="1826">
        <f>'Expenditures 15-22'!K122-SUM('Expenditures 15-22'!G122,'Expenditures 15-22'!I122)+E7</f>
        <v>0</v>
      </c>
      <c r="H26" s="988"/>
      <c r="I26" s="162"/>
    </row>
    <row r="27" spans="1:9" s="669" customFormat="1" ht="12" customHeight="1" x14ac:dyDescent="0.2">
      <c r="A27" s="995" t="s">
        <v>483</v>
      </c>
      <c r="B27" s="998"/>
      <c r="C27" s="994">
        <v>2520</v>
      </c>
      <c r="D27" s="1825">
        <f>'Expenditures 15-22'!K60-SUM('Expenditures 15-22'!G60,'Expenditures 15-22'!I60)+'Expenditures 15-22'!D264-E8</f>
        <v>177297</v>
      </c>
      <c r="E27" s="1825">
        <f>E8</f>
        <v>0</v>
      </c>
      <c r="F27" s="1825">
        <f>'Expenditures 15-22'!K60-SUM('Expenditures 15-22'!G60,'Expenditures 15-22'!I60)+'Expenditures 15-22'!D264-E8</f>
        <v>177297</v>
      </c>
      <c r="G27" s="1826">
        <f>E8</f>
        <v>0</v>
      </c>
      <c r="H27" s="988"/>
      <c r="I27" s="162"/>
    </row>
    <row r="28" spans="1:9" s="669" customFormat="1" ht="12" customHeight="1" x14ac:dyDescent="0.2">
      <c r="A28" s="995" t="s">
        <v>537</v>
      </c>
      <c r="B28" s="998"/>
      <c r="C28" s="994">
        <v>2540</v>
      </c>
      <c r="D28" s="1827"/>
      <c r="E28" s="1825">
        <f>'Expenditures 15-22'!K61-SUM('Expenditures 15-22'!G61,'Expenditures 15-22'!I61)+'Expenditures 15-22'!K124-SUM('Expenditures 15-22'!G124,'Expenditures 15-22'!I124)+'Expenditures 15-22'!D266</f>
        <v>1160399</v>
      </c>
      <c r="F28" s="1827">
        <f>'Expenditures 15-22'!K61-SUM('Expenditures 15-22'!G61,'Expenditures 15-22'!I61)+'Expenditures 15-22'!K124-SUM('Expenditures 15-22'!G124,'Expenditures 15-22'!I124)+'Expenditures 15-22'!D266-E9</f>
        <v>1160399</v>
      </c>
      <c r="G28" s="1826">
        <f>E9</f>
        <v>0</v>
      </c>
      <c r="H28" s="988"/>
      <c r="I28" s="162"/>
    </row>
    <row r="29" spans="1:9" ht="12" customHeight="1" x14ac:dyDescent="0.2">
      <c r="A29" s="995" t="s">
        <v>538</v>
      </c>
      <c r="B29" s="998"/>
      <c r="C29" s="994">
        <v>2550</v>
      </c>
      <c r="D29" s="1823"/>
      <c r="E29" s="1825">
        <f>'Expenditures 15-22'!K62-SUM('Expenditures 15-22'!G62,'Expenditures 15-22'!I62)+'Expenditures 15-22'!K125-SUM('Expenditures 15-22'!G125,'Expenditures 15-22'!I125)+'Expenditures 15-22'!K182-SUM('Expenditures 15-22'!G182,'Expenditures 15-22'!I182)+'Expenditures 15-22'!D267</f>
        <v>755160</v>
      </c>
      <c r="F29" s="1823"/>
      <c r="G29" s="1826">
        <f>'Expenditures 15-22'!K62-SUM('Expenditures 15-22'!G62,'Expenditures 15-22'!I62)+'Expenditures 15-22'!K125-SUM('Expenditures 15-22'!G125,'Expenditures 15-22'!I125)+'Expenditures 15-22'!K182-SUM('Expenditures 15-22'!G182,'Expenditures 15-22'!I182)+'Expenditures 15-22'!D267</f>
        <v>755160</v>
      </c>
      <c r="H29" s="986"/>
    </row>
    <row r="30" spans="1:9" ht="12" customHeight="1" x14ac:dyDescent="0.2">
      <c r="A30" s="995" t="s">
        <v>102</v>
      </c>
      <c r="B30" s="998"/>
      <c r="C30" s="994">
        <v>2560</v>
      </c>
      <c r="D30" s="1823"/>
      <c r="E30" s="1825">
        <f>'Expenditures 15-22'!K63-SUM('Expenditures 15-22'!G63,'Expenditures 15-22'!I63)+'Expenditures 15-22'!D268-E10</f>
        <v>270410</v>
      </c>
      <c r="F30" s="1823"/>
      <c r="G30" s="1825">
        <f>'Expenditures 15-22'!K63-SUM('Expenditures 15-22'!G63,'Expenditures 15-22'!I63)+'Expenditures 15-22'!D268-E10</f>
        <v>270410</v>
      </c>
    </row>
    <row r="31" spans="1:9" ht="12" customHeight="1" x14ac:dyDescent="0.2">
      <c r="A31" s="995" t="s">
        <v>103</v>
      </c>
      <c r="B31" s="998"/>
      <c r="C31" s="994">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1" t="s">
        <v>539</v>
      </c>
      <c r="B32" s="997"/>
      <c r="C32" s="994"/>
      <c r="D32" s="1823"/>
      <c r="E32" s="1823"/>
      <c r="F32" s="1823"/>
      <c r="G32" s="1823"/>
    </row>
    <row r="33" spans="1:7" ht="12" customHeight="1" x14ac:dyDescent="0.2">
      <c r="A33" s="995" t="s">
        <v>540</v>
      </c>
      <c r="B33" s="998"/>
      <c r="C33" s="994">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5" t="s">
        <v>541</v>
      </c>
      <c r="B34" s="998"/>
      <c r="C34" s="994">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5" t="s">
        <v>1121</v>
      </c>
      <c r="B35" s="998"/>
      <c r="C35" s="994">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5" t="s">
        <v>423</v>
      </c>
      <c r="B36" s="998"/>
      <c r="C36" s="994">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5" t="s">
        <v>424</v>
      </c>
      <c r="B37" s="998"/>
      <c r="C37" s="994">
        <v>2660</v>
      </c>
      <c r="D37" s="1825">
        <f>'Expenditures 15-22'!K71-SUM('Expenditures 15-22'!G71,'Expenditures 15-22'!I71)+'Expenditures 15-22'!D276-E14</f>
        <v>310693</v>
      </c>
      <c r="E37" s="1825">
        <f>E14</f>
        <v>0</v>
      </c>
      <c r="F37" s="1825">
        <f>'Expenditures 15-22'!K71-SUM('Expenditures 15-22'!G71,'Expenditures 15-22'!I71)+'Expenditures 15-22'!D276-E14</f>
        <v>310693</v>
      </c>
      <c r="G37" s="1825">
        <f>E14</f>
        <v>0</v>
      </c>
    </row>
    <row r="38" spans="1:7" ht="12" customHeight="1" x14ac:dyDescent="0.2">
      <c r="A38" s="991" t="s">
        <v>542</v>
      </c>
      <c r="B38" s="992"/>
      <c r="C38" s="994">
        <v>2900</v>
      </c>
      <c r="D38" s="1823"/>
      <c r="E38" s="1825">
        <f>'Expenditures 15-22'!K73-SUM('Expenditures 15-22'!G73,'Expenditures 15-22'!I73)+'Expenditures 15-22'!K128-SUM('Expenditures 15-22'!G128,'Expenditures 15-22'!I128)+'Expenditures 15-22'!K183-SUM('Expenditures 15-22'!G183,'Expenditures 15-22'!I183)+'Expenditures 15-22'!D278</f>
        <v>0</v>
      </c>
      <c r="F38" s="1823"/>
      <c r="G38" s="1825">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3"/>
      <c r="E39" s="1825">
        <f>'Expenditures 15-22'!K75-SUM('Expenditures 15-22'!G75,'Expenditures 15-22'!I75)+'Expenditures 15-22'!K130-SUM('Expenditures 15-22'!G130,'Expenditures 15-22'!I130)+'Expenditures 15-22'!K185-SUM('Expenditures 15-22'!G185,'Expenditures 15-22'!I185)+'Expenditures 15-22'!D280</f>
        <v>345865</v>
      </c>
      <c r="F39" s="1823"/>
      <c r="G39" s="1825">
        <f>'Expenditures 15-22'!K75-SUM('Expenditures 15-22'!G75,'Expenditures 15-22'!I75)+'Expenditures 15-22'!K130-SUM('Expenditures 15-22'!G130,'Expenditures 15-22'!I130)+'Expenditures 15-22'!K185-SUM('Expenditures 15-22'!G185,'Expenditures 15-22'!I185)+'Expenditures 15-22'!D280</f>
        <v>345865</v>
      </c>
    </row>
    <row r="40" spans="1:7" ht="12" customHeight="1" x14ac:dyDescent="0.2">
      <c r="A40" s="991" t="s">
        <v>1930</v>
      </c>
      <c r="B40" s="992"/>
      <c r="C40" s="994"/>
      <c r="D40" s="1823"/>
      <c r="E40" s="1827">
        <f>-'Contracts Paid in CY 29'!G37</f>
        <v>-208573</v>
      </c>
      <c r="F40" s="1823"/>
      <c r="G40" s="1827">
        <f>-'Contracts Paid in CY 29'!G37</f>
        <v>-208573</v>
      </c>
    </row>
    <row r="41" spans="1:7" ht="12" customHeight="1" x14ac:dyDescent="0.2">
      <c r="A41" s="999" t="s">
        <v>158</v>
      </c>
      <c r="B41" s="1000"/>
      <c r="C41" s="1001"/>
      <c r="D41" s="1827">
        <f>SUM(D19:D39)</f>
        <v>553920</v>
      </c>
      <c r="E41" s="1827">
        <f>SUM(E19:E40)</f>
        <v>11804481</v>
      </c>
      <c r="F41" s="1827">
        <f>SUM(F19:F39)</f>
        <v>1714319</v>
      </c>
      <c r="G41" s="1827">
        <f>SUM(G19:G40)</f>
        <v>10644082</v>
      </c>
    </row>
    <row r="42" spans="1:7" x14ac:dyDescent="0.2">
      <c r="A42" s="988"/>
      <c r="B42" s="162"/>
      <c r="C42" s="1002"/>
      <c r="D42" s="2299" t="s">
        <v>543</v>
      </c>
      <c r="E42" s="2300"/>
      <c r="F42" s="1003" t="s">
        <v>544</v>
      </c>
      <c r="G42" s="1004"/>
    </row>
    <row r="43" spans="1:7" ht="12" customHeight="1" x14ac:dyDescent="0.2">
      <c r="A43" s="988"/>
      <c r="B43" s="162"/>
      <c r="C43" s="1002"/>
      <c r="D43" s="1828" t="s">
        <v>493</v>
      </c>
      <c r="E43" s="1829">
        <f>D41</f>
        <v>553920</v>
      </c>
      <c r="F43" s="1828" t="s">
        <v>495</v>
      </c>
      <c r="G43" s="1829">
        <f>F41</f>
        <v>1714319</v>
      </c>
    </row>
    <row r="44" spans="1:7" ht="12" customHeight="1" x14ac:dyDescent="0.2">
      <c r="A44" s="988"/>
      <c r="B44" s="162"/>
      <c r="C44" s="1002"/>
      <c r="D44" s="1828" t="s">
        <v>494</v>
      </c>
      <c r="E44" s="1829">
        <f>E41</f>
        <v>11804481</v>
      </c>
      <c r="F44" s="1828" t="s">
        <v>494</v>
      </c>
      <c r="G44" s="1829">
        <f>G41</f>
        <v>10644082</v>
      </c>
    </row>
    <row r="45" spans="1:7" ht="12" customHeight="1" x14ac:dyDescent="0.2">
      <c r="A45" s="988"/>
      <c r="B45" s="162"/>
      <c r="C45" s="162"/>
      <c r="D45" s="1830" t="s">
        <v>1063</v>
      </c>
      <c r="E45" s="1831">
        <f>(E43/E44)</f>
        <v>4.6924553481004376E-2</v>
      </c>
      <c r="F45" s="1830" t="s">
        <v>1063</v>
      </c>
      <c r="G45" s="1831">
        <f>(G43/G44)</f>
        <v>0.1610584172500738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T14" sqref="T14"/>
      <selection pane="bottomLeft" activeCell="A5" sqref="A5:F5"/>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18" t="s">
        <v>1446</v>
      </c>
      <c r="B1" s="2318"/>
      <c r="C1" s="2318"/>
      <c r="D1" s="2318"/>
      <c r="E1" s="2318"/>
      <c r="F1" s="2318"/>
    </row>
    <row r="2" spans="1:10" x14ac:dyDescent="0.2">
      <c r="A2" s="1908" t="s">
        <v>2048</v>
      </c>
      <c r="B2" s="1869"/>
      <c r="C2" s="1908"/>
      <c r="D2" s="1869"/>
      <c r="E2" s="1869"/>
      <c r="F2" s="1870"/>
    </row>
    <row r="3" spans="1:10" x14ac:dyDescent="0.2">
      <c r="A3" s="1908" t="s">
        <v>1700</v>
      </c>
      <c r="B3" s="1869"/>
      <c r="C3" s="1908"/>
      <c r="D3" s="1869"/>
      <c r="E3" s="1869"/>
      <c r="F3" s="1870"/>
    </row>
    <row r="4" spans="1:10" ht="3.75" customHeight="1" x14ac:dyDescent="0.2">
      <c r="A4" s="1869"/>
      <c r="B4" s="1869"/>
      <c r="C4" s="1869"/>
      <c r="D4" s="1869"/>
      <c r="E4" s="1869"/>
      <c r="F4" s="1870"/>
    </row>
    <row r="5" spans="1:10" ht="15" x14ac:dyDescent="0.25">
      <c r="A5" s="2319" t="s">
        <v>1627</v>
      </c>
      <c r="B5" s="2320"/>
      <c r="C5" s="2321"/>
      <c r="D5" s="2321"/>
      <c r="E5" s="2321"/>
      <c r="F5" s="2321"/>
    </row>
    <row r="6" spans="1:10" ht="12" customHeight="1" x14ac:dyDescent="0.25">
      <c r="A6" s="1871"/>
      <c r="B6" s="1872"/>
      <c r="C6" s="2322" t="str">
        <f>COVER!A17</f>
        <v xml:space="preserve">Pleasant Plains CUSD 8                  </v>
      </c>
      <c r="D6" s="2322"/>
      <c r="E6" s="2322"/>
      <c r="F6" s="1873"/>
    </row>
    <row r="7" spans="1:10" ht="11.25" customHeight="1" thickBot="1" x14ac:dyDescent="0.3">
      <c r="A7" s="1871"/>
      <c r="B7" s="1872"/>
      <c r="C7" s="2323">
        <f>COVER!A13</f>
        <v>51084008026</v>
      </c>
      <c r="D7" s="2323"/>
      <c r="E7" s="2323"/>
      <c r="F7" s="1873"/>
    </row>
    <row r="8" spans="1:10" ht="25.5" customHeight="1" thickBot="1" x14ac:dyDescent="0.25">
      <c r="A8" s="1914" t="s">
        <v>2025</v>
      </c>
      <c r="B8" s="1874"/>
      <c r="C8" s="1910" t="s">
        <v>1780</v>
      </c>
      <c r="D8" s="1909" t="s">
        <v>1781</v>
      </c>
      <c r="E8" s="1911" t="s">
        <v>1447</v>
      </c>
      <c r="F8" s="1909" t="s">
        <v>1782</v>
      </c>
      <c r="H8" s="1875" t="b">
        <v>0</v>
      </c>
    </row>
    <row r="9" spans="1:10" ht="15.75" customHeight="1" x14ac:dyDescent="0.2">
      <c r="A9" s="1876" t="s">
        <v>1623</v>
      </c>
      <c r="B9" s="1877"/>
      <c r="C9" s="1878"/>
      <c r="D9" s="1878"/>
      <c r="E9" s="1879"/>
      <c r="F9" s="1880"/>
    </row>
    <row r="10" spans="1:10" ht="27.75" customHeight="1" x14ac:dyDescent="0.2">
      <c r="A10" s="1881" t="s">
        <v>1779</v>
      </c>
      <c r="B10" s="1882"/>
      <c r="C10" s="1883"/>
      <c r="D10" s="1883"/>
      <c r="E10" s="1912" t="s">
        <v>1448</v>
      </c>
      <c r="F10" s="1913" t="s">
        <v>1449</v>
      </c>
    </row>
    <row r="11" spans="1:10" ht="12" customHeight="1" x14ac:dyDescent="0.2">
      <c r="A11" s="1884" t="s">
        <v>1450</v>
      </c>
      <c r="B11" s="1885"/>
      <c r="C11" s="1886"/>
      <c r="D11" s="1886"/>
      <c r="E11" s="1887"/>
      <c r="F11" s="1888"/>
      <c r="H11" s="1899">
        <f>IF(C11="X",5,0)</f>
        <v>0</v>
      </c>
      <c r="I11" s="1899">
        <f>IF(D11="X",5,0)</f>
        <v>0</v>
      </c>
      <c r="J11" s="1899">
        <f>IF(E11="X",5,0)</f>
        <v>0</v>
      </c>
    </row>
    <row r="12" spans="1:10" ht="12" customHeight="1" x14ac:dyDescent="0.2">
      <c r="A12" s="1884" t="s">
        <v>1451</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1452</v>
      </c>
      <c r="B13" s="1885"/>
      <c r="C13" s="1886"/>
      <c r="D13" s="1886"/>
      <c r="E13" s="1889"/>
      <c r="F13" s="1888"/>
      <c r="H13" s="1899">
        <f t="shared" si="0"/>
        <v>0</v>
      </c>
      <c r="I13" s="1899">
        <f t="shared" si="1"/>
        <v>0</v>
      </c>
      <c r="J13" s="1899">
        <f t="shared" si="2"/>
        <v>0</v>
      </c>
    </row>
    <row r="14" spans="1:10" ht="12" customHeight="1" x14ac:dyDescent="0.2">
      <c r="A14" s="1884" t="s">
        <v>1453</v>
      </c>
      <c r="B14" s="1885"/>
      <c r="C14" s="1886"/>
      <c r="D14" s="1886"/>
      <c r="E14" s="1889"/>
      <c r="F14" s="1888"/>
      <c r="H14" s="1899">
        <f t="shared" si="0"/>
        <v>0</v>
      </c>
      <c r="I14" s="1899">
        <f t="shared" si="1"/>
        <v>0</v>
      </c>
      <c r="J14" s="1899">
        <f t="shared" si="2"/>
        <v>0</v>
      </c>
    </row>
    <row r="15" spans="1:10" ht="12" customHeight="1" x14ac:dyDescent="0.2">
      <c r="A15" s="1884" t="s">
        <v>1454</v>
      </c>
      <c r="B15" s="1885"/>
      <c r="C15" s="1886"/>
      <c r="D15" s="1886"/>
      <c r="E15" s="1889"/>
      <c r="F15" s="1888"/>
      <c r="H15" s="1899">
        <f t="shared" si="0"/>
        <v>0</v>
      </c>
      <c r="I15" s="1899">
        <f t="shared" si="1"/>
        <v>0</v>
      </c>
      <c r="J15" s="1899">
        <f t="shared" si="2"/>
        <v>0</v>
      </c>
    </row>
    <row r="16" spans="1:10" ht="12" customHeight="1" x14ac:dyDescent="0.2">
      <c r="A16" s="1884" t="s">
        <v>1455</v>
      </c>
      <c r="B16" s="1885"/>
      <c r="C16" s="1886"/>
      <c r="D16" s="1886"/>
      <c r="E16" s="1889"/>
      <c r="F16" s="1888"/>
      <c r="H16" s="1899">
        <f t="shared" si="0"/>
        <v>0</v>
      </c>
      <c r="I16" s="1899">
        <f t="shared" si="1"/>
        <v>0</v>
      </c>
      <c r="J16" s="1899">
        <f t="shared" si="2"/>
        <v>0</v>
      </c>
    </row>
    <row r="17" spans="1:12" ht="12" customHeight="1" x14ac:dyDescent="0.2">
      <c r="A17" s="1884" t="s">
        <v>1456</v>
      </c>
      <c r="B17" s="1885"/>
      <c r="C17" s="1886"/>
      <c r="D17" s="1886"/>
      <c r="E17" s="1889"/>
      <c r="F17" s="1888"/>
      <c r="H17" s="1899">
        <f t="shared" si="0"/>
        <v>0</v>
      </c>
      <c r="I17" s="1899">
        <f t="shared" si="1"/>
        <v>0</v>
      </c>
      <c r="J17" s="1899">
        <f t="shared" si="2"/>
        <v>0</v>
      </c>
    </row>
    <row r="18" spans="1:12" ht="12" customHeight="1" x14ac:dyDescent="0.2">
      <c r="A18" s="1884" t="s">
        <v>1457</v>
      </c>
      <c r="B18" s="1885"/>
      <c r="C18" s="1886"/>
      <c r="D18" s="1886"/>
      <c r="E18" s="1889"/>
      <c r="F18" s="1888"/>
      <c r="H18" s="1899">
        <f t="shared" si="0"/>
        <v>0</v>
      </c>
      <c r="I18" s="1899">
        <f t="shared" si="1"/>
        <v>0</v>
      </c>
      <c r="J18" s="1899">
        <f t="shared" si="2"/>
        <v>0</v>
      </c>
    </row>
    <row r="19" spans="1:12" ht="12" customHeight="1" x14ac:dyDescent="0.2">
      <c r="A19" s="1884" t="s">
        <v>1608</v>
      </c>
      <c r="B19" s="1885"/>
      <c r="C19" s="1886"/>
      <c r="D19" s="1886"/>
      <c r="E19" s="1889"/>
      <c r="F19" s="1888"/>
      <c r="H19" s="1899">
        <f t="shared" si="0"/>
        <v>0</v>
      </c>
      <c r="I19" s="1899">
        <f t="shared" si="1"/>
        <v>0</v>
      </c>
      <c r="J19" s="1899">
        <f t="shared" si="2"/>
        <v>0</v>
      </c>
    </row>
    <row r="20" spans="1:12" ht="12" customHeight="1" x14ac:dyDescent="0.2">
      <c r="A20" s="1884" t="s">
        <v>1609</v>
      </c>
      <c r="B20" s="1885"/>
      <c r="C20" s="1886"/>
      <c r="D20" s="1886"/>
      <c r="E20" s="1889"/>
      <c r="F20" s="1888"/>
      <c r="H20" s="1899">
        <f t="shared" si="0"/>
        <v>0</v>
      </c>
      <c r="I20" s="1899">
        <f t="shared" si="1"/>
        <v>0</v>
      </c>
      <c r="J20" s="1899">
        <f t="shared" si="2"/>
        <v>0</v>
      </c>
    </row>
    <row r="21" spans="1:12" ht="12" customHeight="1" x14ac:dyDescent="0.2">
      <c r="A21" s="1884" t="s">
        <v>1610</v>
      </c>
      <c r="B21" s="1885"/>
      <c r="C21" s="1886"/>
      <c r="D21" s="1886"/>
      <c r="E21" s="1889"/>
      <c r="F21" s="1888"/>
      <c r="H21" s="1899">
        <f t="shared" si="0"/>
        <v>0</v>
      </c>
      <c r="I21" s="1899">
        <f t="shared" si="1"/>
        <v>0</v>
      </c>
      <c r="J21" s="1899">
        <f t="shared" si="2"/>
        <v>0</v>
      </c>
    </row>
    <row r="22" spans="1:12" ht="12" customHeight="1" x14ac:dyDescent="0.2">
      <c r="A22" s="1884" t="s">
        <v>1611</v>
      </c>
      <c r="B22" s="1885"/>
      <c r="C22" s="1886"/>
      <c r="D22" s="1886"/>
      <c r="E22" s="1889"/>
      <c r="F22" s="1888"/>
      <c r="H22" s="1899">
        <f t="shared" si="0"/>
        <v>0</v>
      </c>
      <c r="I22" s="1899">
        <f t="shared" si="1"/>
        <v>0</v>
      </c>
      <c r="J22" s="1899">
        <f t="shared" si="2"/>
        <v>0</v>
      </c>
    </row>
    <row r="23" spans="1:12" ht="12" customHeight="1" x14ac:dyDescent="0.2">
      <c r="A23" s="1884" t="s">
        <v>1612</v>
      </c>
      <c r="B23" s="1885"/>
      <c r="C23" s="1886"/>
      <c r="D23" s="1886"/>
      <c r="E23" s="1889"/>
      <c r="F23" s="1888"/>
      <c r="H23" s="1899">
        <f t="shared" si="0"/>
        <v>0</v>
      </c>
      <c r="I23" s="1899">
        <f t="shared" si="1"/>
        <v>0</v>
      </c>
      <c r="J23" s="1899">
        <f t="shared" si="2"/>
        <v>0</v>
      </c>
    </row>
    <row r="24" spans="1:12" ht="12" customHeight="1" x14ac:dyDescent="0.2">
      <c r="A24" s="1884" t="s">
        <v>1613</v>
      </c>
      <c r="B24" s="1885"/>
      <c r="C24" s="1886"/>
      <c r="D24" s="1886"/>
      <c r="E24" s="1889"/>
      <c r="F24" s="1888"/>
      <c r="H24" s="1899">
        <f t="shared" si="0"/>
        <v>0</v>
      </c>
      <c r="I24" s="1899">
        <f t="shared" si="1"/>
        <v>0</v>
      </c>
      <c r="J24" s="1899">
        <f t="shared" si="2"/>
        <v>0</v>
      </c>
    </row>
    <row r="25" spans="1:12" ht="12" customHeight="1" x14ac:dyDescent="0.2">
      <c r="A25" s="1884" t="s">
        <v>1614</v>
      </c>
      <c r="B25" s="1885"/>
      <c r="C25" s="1886"/>
      <c r="D25" s="1886"/>
      <c r="E25" s="1889"/>
      <c r="F25" s="1888"/>
      <c r="H25" s="1899">
        <f t="shared" si="0"/>
        <v>0</v>
      </c>
      <c r="I25" s="1899">
        <f t="shared" si="1"/>
        <v>0</v>
      </c>
      <c r="J25" s="1899">
        <f t="shared" si="2"/>
        <v>0</v>
      </c>
    </row>
    <row r="26" spans="1:12" ht="12" customHeight="1" x14ac:dyDescent="0.2">
      <c r="A26" s="1884" t="s">
        <v>1615</v>
      </c>
      <c r="B26" s="1885"/>
      <c r="C26" s="1886" t="s">
        <v>2084</v>
      </c>
      <c r="D26" s="1886" t="s">
        <v>2084</v>
      </c>
      <c r="E26" s="1889"/>
      <c r="F26" s="1888" t="s">
        <v>2105</v>
      </c>
      <c r="H26" s="1899">
        <f t="shared" si="0"/>
        <v>5</v>
      </c>
      <c r="I26" s="1899">
        <f t="shared" si="1"/>
        <v>5</v>
      </c>
      <c r="J26" s="1899">
        <f t="shared" si="2"/>
        <v>0</v>
      </c>
    </row>
    <row r="27" spans="1:12" ht="18.75" x14ac:dyDescent="0.2">
      <c r="A27" s="1884" t="s">
        <v>1616</v>
      </c>
      <c r="B27" s="1885"/>
      <c r="C27" s="1886"/>
      <c r="D27" s="1886"/>
      <c r="E27" s="1889"/>
      <c r="F27" s="1888"/>
      <c r="H27" s="1899">
        <f t="shared" si="0"/>
        <v>0</v>
      </c>
      <c r="I27" s="1899">
        <f t="shared" si="1"/>
        <v>0</v>
      </c>
      <c r="J27" s="1899">
        <f t="shared" si="2"/>
        <v>0</v>
      </c>
    </row>
    <row r="28" spans="1:12" ht="12" customHeight="1" x14ac:dyDescent="0.2">
      <c r="A28" s="1884" t="s">
        <v>1617</v>
      </c>
      <c r="B28" s="1885"/>
      <c r="C28" s="1886"/>
      <c r="D28" s="1886"/>
      <c r="E28" s="1889"/>
      <c r="F28" s="1888"/>
      <c r="H28" s="1899">
        <f t="shared" si="0"/>
        <v>0</v>
      </c>
      <c r="I28" s="1899">
        <f t="shared" si="1"/>
        <v>0</v>
      </c>
      <c r="J28" s="1899">
        <f t="shared" si="2"/>
        <v>0</v>
      </c>
    </row>
    <row r="29" spans="1:12" ht="12" customHeight="1" x14ac:dyDescent="0.2">
      <c r="A29" s="1884" t="s">
        <v>1618</v>
      </c>
      <c r="B29" s="1885"/>
      <c r="C29" s="1886"/>
      <c r="D29" s="1886"/>
      <c r="E29" s="1889"/>
      <c r="F29" s="1888"/>
      <c r="H29" s="1899">
        <f t="shared" si="0"/>
        <v>0</v>
      </c>
      <c r="I29" s="1899">
        <f t="shared" si="1"/>
        <v>0</v>
      </c>
      <c r="J29" s="1899">
        <f t="shared" si="2"/>
        <v>0</v>
      </c>
    </row>
    <row r="30" spans="1:12" ht="12" customHeight="1" x14ac:dyDescent="0.2">
      <c r="A30" s="1884" t="s">
        <v>1619</v>
      </c>
      <c r="B30" s="1885"/>
      <c r="C30" s="1886"/>
      <c r="D30" s="1886"/>
      <c r="E30" s="1889"/>
      <c r="F30" s="1888"/>
      <c r="H30" s="1899">
        <f t="shared" si="0"/>
        <v>0</v>
      </c>
      <c r="I30" s="1899">
        <f t="shared" si="1"/>
        <v>0</v>
      </c>
      <c r="J30" s="1899">
        <f t="shared" si="2"/>
        <v>0</v>
      </c>
    </row>
    <row r="31" spans="1:12" ht="12" customHeight="1" x14ac:dyDescent="0.2">
      <c r="A31" s="1884" t="s">
        <v>1620</v>
      </c>
      <c r="B31" s="1885"/>
      <c r="C31" s="1886" t="s">
        <v>2084</v>
      </c>
      <c r="D31" s="1886" t="s">
        <v>2084</v>
      </c>
      <c r="E31" s="1889"/>
      <c r="F31" s="1888" t="s">
        <v>2106</v>
      </c>
      <c r="H31" s="1899">
        <f t="shared" si="0"/>
        <v>5</v>
      </c>
      <c r="I31" s="1899">
        <f t="shared" si="1"/>
        <v>5</v>
      </c>
      <c r="J31" s="1899">
        <f t="shared" si="2"/>
        <v>0</v>
      </c>
      <c r="L31" s="1890"/>
    </row>
    <row r="32" spans="1:12" ht="12" customHeight="1" x14ac:dyDescent="0.2">
      <c r="A32" s="1884" t="s">
        <v>1621</v>
      </c>
      <c r="B32" s="1885"/>
      <c r="C32" s="1886"/>
      <c r="D32" s="1886"/>
      <c r="E32" s="1889"/>
      <c r="F32" s="1888"/>
      <c r="H32" s="1899">
        <f t="shared" si="0"/>
        <v>0</v>
      </c>
      <c r="I32" s="1899">
        <f t="shared" si="1"/>
        <v>0</v>
      </c>
      <c r="J32" s="1899">
        <f t="shared" si="2"/>
        <v>0</v>
      </c>
    </row>
    <row r="33" spans="1:11" ht="12" customHeight="1" x14ac:dyDescent="0.2">
      <c r="A33" s="1884" t="s">
        <v>1622</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10</v>
      </c>
      <c r="I34" s="1899">
        <f>SUM(I11:I32)</f>
        <v>10</v>
      </c>
      <c r="J34" s="1899">
        <f>SUM(J11:J32)</f>
        <v>0</v>
      </c>
      <c r="K34" s="1899">
        <f>SUM(H34:J34)</f>
        <v>20</v>
      </c>
    </row>
    <row r="35" spans="1:11" ht="12" customHeight="1" x14ac:dyDescent="0.2">
      <c r="A35" s="1892" t="s">
        <v>1459</v>
      </c>
      <c r="B35" s="1893"/>
      <c r="C35" s="2324"/>
      <c r="D35" s="2324"/>
      <c r="E35" s="2324"/>
      <c r="F35" s="2325"/>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10"/>
      <c r="B38" s="2311"/>
      <c r="C38" s="2311"/>
      <c r="D38" s="2311"/>
      <c r="E38" s="2311"/>
      <c r="F38" s="2312"/>
    </row>
    <row r="39" spans="1:11" ht="4.5" hidden="1" customHeight="1" x14ac:dyDescent="0.2">
      <c r="A39" s="1894"/>
      <c r="B39" s="1894"/>
      <c r="C39" s="1894"/>
      <c r="D39" s="1894"/>
      <c r="E39" s="1894"/>
      <c r="F39" s="1894"/>
    </row>
    <row r="40" spans="1:11" s="1891" customFormat="1" ht="12" customHeight="1" x14ac:dyDescent="0.25">
      <c r="A40" s="1895" t="s">
        <v>1458</v>
      </c>
      <c r="B40" s="1896"/>
      <c r="C40" s="2313"/>
      <c r="D40" s="2313"/>
      <c r="E40" s="2313"/>
      <c r="F40" s="2314"/>
      <c r="H40" s="1900"/>
      <c r="I40" s="1900"/>
      <c r="J40" s="1900"/>
      <c r="K40" s="1900"/>
    </row>
    <row r="41" spans="1:11" s="1891" customFormat="1" ht="12" customHeight="1" x14ac:dyDescent="0.25">
      <c r="A41" s="2315"/>
      <c r="B41" s="2316"/>
      <c r="C41" s="2316"/>
      <c r="D41" s="2316"/>
      <c r="E41" s="2316"/>
      <c r="F41" s="2317"/>
      <c r="H41" s="1900"/>
      <c r="I41" s="1900"/>
      <c r="J41" s="1900"/>
      <c r="K41" s="1900"/>
    </row>
    <row r="42" spans="1:11" s="1891" customFormat="1" ht="12" customHeight="1" x14ac:dyDescent="0.25">
      <c r="A42" s="2315"/>
      <c r="B42" s="2316"/>
      <c r="C42" s="2316"/>
      <c r="D42" s="2316"/>
      <c r="E42" s="2316"/>
      <c r="F42" s="2317"/>
      <c r="H42" s="1900"/>
      <c r="I42" s="1900"/>
      <c r="J42" s="1900"/>
      <c r="K42" s="1900"/>
    </row>
    <row r="43" spans="1:11" s="1891" customFormat="1" ht="15" x14ac:dyDescent="0.25">
      <c r="A43" s="2304"/>
      <c r="B43" s="2305"/>
      <c r="C43" s="2305"/>
      <c r="D43" s="2305"/>
      <c r="E43" s="2305"/>
      <c r="F43" s="2306"/>
      <c r="H43" s="1900"/>
      <c r="I43" s="1900"/>
      <c r="J43" s="1900"/>
      <c r="K43" s="1900"/>
    </row>
    <row r="44" spans="1:11" s="1891" customFormat="1" ht="12" hidden="1" customHeight="1" x14ac:dyDescent="0.25">
      <c r="A44" s="2304"/>
      <c r="B44" s="2305"/>
      <c r="C44" s="2305"/>
      <c r="D44" s="2305"/>
      <c r="E44" s="2305"/>
      <c r="F44" s="2306"/>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gridLine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1" sqref="C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5" t="s">
        <v>693</v>
      </c>
      <c r="B6" s="1664"/>
      <c r="C6" s="1664"/>
      <c r="D6" s="1664"/>
      <c r="E6" s="1665"/>
      <c r="F6" s="1016"/>
      <c r="G6" s="1010"/>
      <c r="H6" s="1017" t="s">
        <v>1086</v>
      </c>
      <c r="I6" s="2331" t="str">
        <f>COVER!A17</f>
        <v xml:space="preserve">Pleasant Plains CUSD 8                  </v>
      </c>
      <c r="J6" s="2332"/>
      <c r="Q6" s="1684"/>
    </row>
    <row r="7" spans="1:17" x14ac:dyDescent="0.2">
      <c r="A7" s="2333" t="s">
        <v>924</v>
      </c>
      <c r="B7" s="2334"/>
      <c r="C7" s="2334"/>
      <c r="D7" s="2334"/>
      <c r="E7" s="2335"/>
      <c r="F7" s="1018"/>
      <c r="G7" s="1010"/>
      <c r="H7" s="1017" t="s">
        <v>390</v>
      </c>
      <c r="I7" s="2336">
        <f>COVER!A13</f>
        <v>51084008026</v>
      </c>
      <c r="J7" s="2336"/>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6" t="s">
        <v>1701</v>
      </c>
      <c r="F9" s="1024"/>
      <c r="G9" s="1024"/>
      <c r="H9" s="1917"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7" t="s">
        <v>502</v>
      </c>
      <c r="B11" s="2338"/>
      <c r="C11" s="233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2">
        <f>'Expenditures 15-22'!K50</f>
        <v>198777</v>
      </c>
      <c r="F12" s="1040"/>
      <c r="G12" s="1832">
        <f t="shared" ref="G12:G18" si="0">SUM(E12:F12)</f>
        <v>198777</v>
      </c>
      <c r="H12" s="1041">
        <v>188750</v>
      </c>
      <c r="I12" s="1040"/>
      <c r="J12" s="1832">
        <f t="shared" ref="J12:J18" si="1">SUM(H12:I12)</f>
        <v>188750</v>
      </c>
    </row>
    <row r="13" spans="1:17" ht="15" customHeight="1" x14ac:dyDescent="0.2">
      <c r="A13" s="1036">
        <v>2</v>
      </c>
      <c r="B13" s="1037" t="s">
        <v>44</v>
      </c>
      <c r="C13" s="1038"/>
      <c r="D13" s="1039">
        <v>2330</v>
      </c>
      <c r="E13" s="1832">
        <f>'Expenditures 15-22'!K51</f>
        <v>0</v>
      </c>
      <c r="F13" s="1040"/>
      <c r="G13" s="1832">
        <f t="shared" si="0"/>
        <v>0</v>
      </c>
      <c r="H13" s="1041"/>
      <c r="I13" s="1040"/>
      <c r="J13" s="1832">
        <f t="shared" si="1"/>
        <v>0</v>
      </c>
    </row>
    <row r="14" spans="1:17" ht="15" customHeight="1" x14ac:dyDescent="0.2">
      <c r="A14" s="1036">
        <v>3</v>
      </c>
      <c r="B14" s="1037" t="s">
        <v>45</v>
      </c>
      <c r="C14" s="1038"/>
      <c r="D14" s="1042">
        <v>2490</v>
      </c>
      <c r="E14" s="1832">
        <f>'Expenditures 15-22'!K56</f>
        <v>0</v>
      </c>
      <c r="F14" s="1040"/>
      <c r="G14" s="1832">
        <f t="shared" si="0"/>
        <v>0</v>
      </c>
      <c r="H14" s="1041"/>
      <c r="I14" s="1040"/>
      <c r="J14" s="1832">
        <f t="shared" si="1"/>
        <v>0</v>
      </c>
    </row>
    <row r="15" spans="1:17" ht="15" customHeight="1" x14ac:dyDescent="0.2">
      <c r="A15" s="1036">
        <v>4</v>
      </c>
      <c r="B15" s="1037" t="s">
        <v>1128</v>
      </c>
      <c r="C15" s="1038"/>
      <c r="D15" s="1039">
        <v>2510</v>
      </c>
      <c r="E15" s="1832">
        <f>'Expenditures 15-22'!K59</f>
        <v>65168</v>
      </c>
      <c r="F15" s="1832">
        <f>'Expenditures 15-22'!K122</f>
        <v>0</v>
      </c>
      <c r="G15" s="1832">
        <f t="shared" si="0"/>
        <v>65168</v>
      </c>
      <c r="H15" s="1041">
        <v>65650</v>
      </c>
      <c r="I15" s="1041"/>
      <c r="J15" s="1832">
        <f t="shared" si="1"/>
        <v>65650</v>
      </c>
    </row>
    <row r="16" spans="1:17" ht="15" customHeight="1" x14ac:dyDescent="0.2">
      <c r="A16" s="1036">
        <v>5</v>
      </c>
      <c r="B16" s="1037" t="s">
        <v>103</v>
      </c>
      <c r="C16" s="1038"/>
      <c r="D16" s="1039">
        <v>2570</v>
      </c>
      <c r="E16" s="1832">
        <f>'Expenditures 15-22'!K64</f>
        <v>0</v>
      </c>
      <c r="F16" s="1040"/>
      <c r="G16" s="1832">
        <f t="shared" si="0"/>
        <v>0</v>
      </c>
      <c r="H16" s="1041"/>
      <c r="I16" s="1040"/>
      <c r="J16" s="1832">
        <f t="shared" si="1"/>
        <v>0</v>
      </c>
    </row>
    <row r="17" spans="1:10" ht="15" customHeight="1" x14ac:dyDescent="0.2">
      <c r="A17" s="1036">
        <v>6</v>
      </c>
      <c r="B17" s="1037" t="s">
        <v>1120</v>
      </c>
      <c r="C17" s="1038"/>
      <c r="D17" s="1039">
        <v>2610</v>
      </c>
      <c r="E17" s="1832">
        <f>'Expenditures 15-22'!K67</f>
        <v>0</v>
      </c>
      <c r="F17" s="1040"/>
      <c r="G17" s="1832">
        <f t="shared" si="0"/>
        <v>0</v>
      </c>
      <c r="H17" s="1041"/>
      <c r="I17" s="1040"/>
      <c r="J17" s="1832">
        <f t="shared" si="1"/>
        <v>0</v>
      </c>
    </row>
    <row r="18" spans="1:10" ht="22.5" customHeight="1" x14ac:dyDescent="0.2">
      <c r="A18" s="1043">
        <v>7</v>
      </c>
      <c r="B18" s="2340" t="s">
        <v>7</v>
      </c>
      <c r="C18" s="2341"/>
      <c r="D18" s="2342"/>
      <c r="E18" s="1044"/>
      <c r="F18" s="1044"/>
      <c r="G18" s="1833">
        <f t="shared" si="0"/>
        <v>0</v>
      </c>
      <c r="H18" s="1041"/>
      <c r="I18" s="1041"/>
      <c r="J18" s="1832">
        <f t="shared" si="1"/>
        <v>0</v>
      </c>
    </row>
    <row r="19" spans="1:10" ht="12.75" customHeight="1" thickBot="1" x14ac:dyDescent="0.25">
      <c r="A19" s="1036">
        <v>8</v>
      </c>
      <c r="B19" s="1045" t="s">
        <v>1223</v>
      </c>
      <c r="D19" s="1046"/>
      <c r="E19" s="1834">
        <f t="shared" ref="E19:J19" si="2">SUM(E12:E17)-E18</f>
        <v>263945</v>
      </c>
      <c r="F19" s="1834">
        <f t="shared" si="2"/>
        <v>0</v>
      </c>
      <c r="G19" s="1834">
        <f t="shared" si="2"/>
        <v>263945</v>
      </c>
      <c r="H19" s="1834">
        <f t="shared" si="2"/>
        <v>254400</v>
      </c>
      <c r="I19" s="1834">
        <f t="shared" si="2"/>
        <v>0</v>
      </c>
      <c r="J19" s="1834">
        <f t="shared" si="2"/>
        <v>254400</v>
      </c>
    </row>
    <row r="20" spans="1:10" ht="13.5" thickTop="1" x14ac:dyDescent="0.2">
      <c r="A20" s="1036">
        <v>9</v>
      </c>
      <c r="B20" s="2343" t="s">
        <v>1703</v>
      </c>
      <c r="C20" s="2343"/>
      <c r="D20" s="2344"/>
      <c r="E20" s="1047"/>
      <c r="F20" s="1047"/>
      <c r="G20" s="1047"/>
      <c r="H20" s="1047"/>
      <c r="I20" s="1047"/>
      <c r="J20" s="1835">
        <f>IF(AND(G19&gt;0,J19&gt;0),(((J19-G19)/G19)),"Enter Budget Data")</f>
        <v>-3.6162836954668584E-2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49"/>
      <c r="D26" s="2349"/>
      <c r="E26" s="1051"/>
      <c r="F26" s="2348"/>
      <c r="G26" s="2348"/>
    </row>
    <row r="27" spans="1:10" x14ac:dyDescent="0.2">
      <c r="B27" s="1048"/>
      <c r="C27" s="1052" t="s">
        <v>1093</v>
      </c>
      <c r="D27" s="1053"/>
      <c r="E27" s="1054"/>
      <c r="F27" s="2345" t="s">
        <v>1589</v>
      </c>
      <c r="G27" s="2345"/>
    </row>
    <row r="28" spans="1:10" ht="28.5" customHeight="1" x14ac:dyDescent="0.2">
      <c r="B28" s="1048"/>
      <c r="C28" s="2347"/>
      <c r="D28" s="2347"/>
      <c r="E28" s="1055"/>
      <c r="F28" s="2347"/>
      <c r="G28" s="2347"/>
    </row>
    <row r="29" spans="1:10" x14ac:dyDescent="0.2">
      <c r="B29" s="1048"/>
      <c r="C29" s="1056" t="s">
        <v>1642</v>
      </c>
      <c r="E29" s="1057"/>
      <c r="F29" s="2346" t="s">
        <v>1590</v>
      </c>
      <c r="G29" s="2346"/>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3"/>
    </row>
    <row r="36" spans="1:10" ht="13.5" customHeight="1" x14ac:dyDescent="0.2">
      <c r="B36" s="1062"/>
      <c r="C36" s="2330" t="s">
        <v>1944</v>
      </c>
      <c r="D36" s="2329"/>
      <c r="E36" s="2329"/>
      <c r="F36" s="2329"/>
      <c r="G36" s="2329"/>
      <c r="H36" s="2329"/>
      <c r="I36" s="2329"/>
      <c r="J36" s="1064"/>
    </row>
    <row r="37" spans="1:10" ht="22.5" customHeight="1" x14ac:dyDescent="0.2">
      <c r="C37" s="2329"/>
      <c r="D37" s="2329"/>
      <c r="E37" s="2329"/>
      <c r="F37" s="2329"/>
      <c r="G37" s="2329"/>
      <c r="H37" s="2329"/>
      <c r="I37" s="2329"/>
      <c r="J37" s="1064"/>
    </row>
    <row r="38" spans="1:10" ht="7.5" customHeight="1" x14ac:dyDescent="0.2">
      <c r="C38" s="1063"/>
      <c r="D38" s="1065"/>
      <c r="E38" s="1066"/>
      <c r="F38" s="1067"/>
      <c r="G38" s="1066"/>
    </row>
    <row r="39" spans="1:10" ht="13.5" customHeight="1" x14ac:dyDescent="0.2">
      <c r="B39" s="1062"/>
      <c r="C39" s="2326" t="s">
        <v>937</v>
      </c>
      <c r="D39" s="2327"/>
      <c r="E39" s="2327"/>
      <c r="F39" s="2327"/>
      <c r="G39" s="2327"/>
      <c r="H39" s="2327"/>
      <c r="I39" s="2327"/>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2107</v>
      </c>
    </row>
    <row r="6" spans="1:2" x14ac:dyDescent="0.2">
      <c r="A6" s="1069">
        <v>2</v>
      </c>
      <c r="B6" s="329" t="s">
        <v>2108</v>
      </c>
    </row>
    <row r="7" spans="1:2" x14ac:dyDescent="0.2">
      <c r="A7" s="1069">
        <v>3</v>
      </c>
      <c r="B7" s="329" t="s">
        <v>2109</v>
      </c>
    </row>
    <row r="8" spans="1:2" x14ac:dyDescent="0.2">
      <c r="A8" s="1069">
        <v>4</v>
      </c>
      <c r="B8" s="329" t="s">
        <v>2110</v>
      </c>
    </row>
    <row r="9" spans="1:2" x14ac:dyDescent="0.2">
      <c r="A9" s="1069">
        <v>5</v>
      </c>
      <c r="B9" s="329" t="s">
        <v>2111</v>
      </c>
    </row>
    <row r="10" spans="1:2" x14ac:dyDescent="0.2">
      <c r="A10" s="1069">
        <v>6</v>
      </c>
      <c r="B10" s="329" t="s">
        <v>2112</v>
      </c>
    </row>
    <row r="11" spans="1:2" x14ac:dyDescent="0.2">
      <c r="A11" s="1069">
        <v>7</v>
      </c>
      <c r="B11" s="329" t="s">
        <v>2113</v>
      </c>
    </row>
    <row r="12" spans="1:2" x14ac:dyDescent="0.2">
      <c r="A12" s="1069">
        <v>8</v>
      </c>
      <c r="B12" s="329" t="s">
        <v>2114</v>
      </c>
    </row>
    <row r="13" spans="1:2" x14ac:dyDescent="0.2">
      <c r="A13" s="1069">
        <v>9</v>
      </c>
      <c r="B13" s="329" t="s">
        <v>2115</v>
      </c>
    </row>
    <row r="14" spans="1:2" x14ac:dyDescent="0.2">
      <c r="A14" s="1069">
        <v>10</v>
      </c>
      <c r="B14" s="329" t="s">
        <v>2116</v>
      </c>
    </row>
    <row r="15" spans="1:2" x14ac:dyDescent="0.2">
      <c r="A15" s="1069"/>
    </row>
    <row r="16" spans="1:2" x14ac:dyDescent="0.2">
      <c r="A16" s="1069">
        <v>11</v>
      </c>
      <c r="B16" s="329" t="s">
        <v>2117</v>
      </c>
    </row>
    <row r="17" spans="1:2" x14ac:dyDescent="0.2">
      <c r="A17" s="1069">
        <v>12</v>
      </c>
      <c r="B17" s="329" t="s">
        <v>2118</v>
      </c>
    </row>
    <row r="18" spans="1:2" x14ac:dyDescent="0.2">
      <c r="A18" s="1069">
        <v>13</v>
      </c>
      <c r="B18" s="329" t="s">
        <v>2119</v>
      </c>
    </row>
    <row r="19" spans="1:2" x14ac:dyDescent="0.2">
      <c r="A19" s="1070"/>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 xml:space="preserve">Pleasant Plains CUSD 8                  </v>
      </c>
    </row>
    <row r="65" spans="2:2" x14ac:dyDescent="0.2">
      <c r="B65" s="1071">
        <f>COVER!A13</f>
        <v>51084008026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B1" sqref="B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7" t="s">
        <v>1709</v>
      </c>
    </row>
    <row r="23" spans="1:5" x14ac:dyDescent="0.2">
      <c r="A23" s="168"/>
      <c r="B23" s="162" t="s">
        <v>1969</v>
      </c>
      <c r="D23" s="167" t="s">
        <v>658</v>
      </c>
      <c r="E23" s="1857"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7" t="s">
        <v>1125</v>
      </c>
      <c r="B35" s="2067"/>
      <c r="C35" s="2067"/>
      <c r="D35" s="2067"/>
      <c r="E35" s="206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T14" sqref="T1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0" t="s">
        <v>1784</v>
      </c>
      <c r="B18" s="2350"/>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1666875</xdr:colOff>
                <xdr:row>3</xdr:row>
                <xdr:rowOff>28575</xdr:rowOff>
              </from>
              <to>
                <xdr:col>1</xdr:col>
                <xdr:colOff>2581275</xdr:colOff>
                <xdr:row>7</xdr:row>
                <xdr:rowOff>66675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T14" sqref="T1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5"/>
      <c r="H2" s="1075"/>
    </row>
    <row r="3" spans="1:8" ht="57" customHeight="1" x14ac:dyDescent="0.2">
      <c r="A3" s="2364" t="s">
        <v>1786</v>
      </c>
      <c r="B3" s="2365"/>
      <c r="C3" s="2365"/>
      <c r="D3" s="2365"/>
      <c r="E3" s="2365"/>
      <c r="F3" s="2366"/>
      <c r="G3" s="1075"/>
      <c r="H3" s="1075"/>
    </row>
    <row r="4" spans="1:8" ht="14.25" customHeight="1" x14ac:dyDescent="0.2">
      <c r="A4" s="2370" t="s">
        <v>2056</v>
      </c>
      <c r="B4" s="2371"/>
      <c r="C4" s="2371"/>
      <c r="D4" s="2371"/>
      <c r="E4" s="2371"/>
      <c r="F4" s="2372"/>
      <c r="G4" s="1075"/>
      <c r="H4" s="1075"/>
    </row>
    <row r="5" spans="1:8" ht="14.25" customHeight="1" x14ac:dyDescent="0.2">
      <c r="A5" s="2373" t="s">
        <v>2057</v>
      </c>
      <c r="B5" s="2374"/>
      <c r="C5" s="2374"/>
      <c r="D5" s="2374"/>
      <c r="E5" s="2374"/>
      <c r="F5" s="2375"/>
      <c r="G5" s="1075"/>
      <c r="H5" s="1075"/>
    </row>
    <row r="6" spans="1:8" s="1076" customFormat="1" ht="41.25" customHeight="1" x14ac:dyDescent="0.2">
      <c r="A6" s="2367" t="s">
        <v>1792</v>
      </c>
      <c r="B6" s="2368"/>
      <c r="C6" s="2368"/>
      <c r="D6" s="2368"/>
      <c r="E6" s="2368"/>
      <c r="F6" s="2369"/>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6">
        <f>'Acct Summary 7-8'!C8</f>
        <v>10467268</v>
      </c>
      <c r="C8" s="1836">
        <f>'Acct Summary 7-8'!D8</f>
        <v>1474275</v>
      </c>
      <c r="D8" s="1836">
        <f>'Acct Summary 7-8'!F8</f>
        <v>1094078</v>
      </c>
      <c r="E8" s="1836">
        <f>'Acct Summary 7-8'!I8</f>
        <v>53265</v>
      </c>
      <c r="F8" s="1836">
        <f>SUM(B8:E8)</f>
        <v>13088886</v>
      </c>
    </row>
    <row r="9" spans="1:8" s="1080" customFormat="1" ht="14.25" customHeight="1" thickBot="1" x14ac:dyDescent="0.25">
      <c r="A9" s="1079" t="s">
        <v>1436</v>
      </c>
      <c r="B9" s="1837">
        <f>'Acct Summary 7-8'!C17</f>
        <v>10630187</v>
      </c>
      <c r="C9" s="1837">
        <f>'Acct Summary 7-8'!D17</f>
        <v>1553014</v>
      </c>
      <c r="D9" s="1837">
        <f>'Acct Summary 7-8'!F17</f>
        <v>882342</v>
      </c>
      <c r="E9" s="1836"/>
      <c r="F9" s="1836">
        <f>SUM(B9:E9)</f>
        <v>13065543</v>
      </c>
    </row>
    <row r="10" spans="1:8" s="1080" customFormat="1" ht="14.25" thickTop="1" thickBot="1" x14ac:dyDescent="0.25">
      <c r="A10" s="1081" t="s">
        <v>1437</v>
      </c>
      <c r="B10" s="1838">
        <f>(B8-B9)</f>
        <v>-162919</v>
      </c>
      <c r="C10" s="1838">
        <f>(C8-C9)</f>
        <v>-78739</v>
      </c>
      <c r="D10" s="1838">
        <f>(D8-D9)</f>
        <v>211736</v>
      </c>
      <c r="E10" s="1837">
        <f>(E8-E9)</f>
        <v>53265</v>
      </c>
      <c r="F10" s="1839">
        <f>SUM(F8-F9)</f>
        <v>23343</v>
      </c>
    </row>
    <row r="11" spans="1:8" s="1080" customFormat="1" ht="14.25" thickTop="1" thickBot="1" x14ac:dyDescent="0.25">
      <c r="A11" s="1082" t="s">
        <v>1785</v>
      </c>
      <c r="B11" s="1840">
        <f>'Acct Summary 7-8'!C81</f>
        <v>6316098</v>
      </c>
      <c r="C11" s="1840">
        <f>'Acct Summary 7-8'!D81</f>
        <v>1923674</v>
      </c>
      <c r="D11" s="1840">
        <f>'Acct Summary 7-8'!F81</f>
        <v>2282351</v>
      </c>
      <c r="E11" s="1840">
        <f>'Acct Summary 7-8'!I81</f>
        <v>942951</v>
      </c>
      <c r="F11" s="1841">
        <f>SUM(B11:E11)</f>
        <v>11465074</v>
      </c>
    </row>
    <row r="12" spans="1:8" ht="16.5" customHeight="1" thickTop="1" x14ac:dyDescent="0.2">
      <c r="A12" s="1083"/>
      <c r="B12" s="1084"/>
      <c r="C12" s="2355" t="str">
        <f>IF(AND(F10&lt;0,F11&gt;=0,ABS(F10*3)&gt;ABS(F11)),A16,IF(AND(F10&lt;0,F11&gt;0,ABS(F10*3)&lt;=ABS(F11)),A17,IF(AND(F10&lt;0,F11&lt;0),A16,IF(F11=0,A19,A18))))</f>
        <v>Balanced - no deficit reduction plan is required.</v>
      </c>
      <c r="D12" s="2356"/>
      <c r="E12" s="2356"/>
      <c r="F12" s="2357"/>
    </row>
    <row r="13" spans="1:8" ht="19.5" customHeight="1" x14ac:dyDescent="0.2">
      <c r="A13" s="1085"/>
      <c r="B13" s="1086"/>
      <c r="C13" s="2355"/>
      <c r="D13" s="2356"/>
      <c r="E13" s="2356"/>
      <c r="F13" s="2357"/>
      <c r="H13" s="1075"/>
    </row>
    <row r="14" spans="1:8" ht="19.5" customHeight="1" x14ac:dyDescent="0.2">
      <c r="A14" s="1085"/>
      <c r="B14" s="1086"/>
      <c r="C14" s="2355"/>
      <c r="D14" s="2356"/>
      <c r="E14" s="2356"/>
      <c r="F14" s="2357"/>
      <c r="H14" s="1075"/>
    </row>
    <row r="15" spans="1:8" ht="17.25" customHeight="1" x14ac:dyDescent="0.2">
      <c r="A15" s="1085"/>
      <c r="B15" s="1086"/>
      <c r="C15" s="2358"/>
      <c r="D15" s="2359"/>
      <c r="E15" s="2359"/>
      <c r="F15" s="2360"/>
      <c r="H15" s="1075"/>
    </row>
    <row r="16" spans="1:8" s="310" customFormat="1" ht="51.75" hidden="1" customHeight="1" x14ac:dyDescent="0.2">
      <c r="A16" s="2354" t="s">
        <v>1787</v>
      </c>
      <c r="B16" s="2354"/>
      <c r="C16" s="2354"/>
      <c r="D16" s="2354"/>
      <c r="E16" s="2354"/>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8"/>
      <c r="B2" s="1919"/>
      <c r="C2" s="1920"/>
      <c r="D2" s="1921"/>
    </row>
    <row r="3" spans="1:4" ht="36" customHeight="1" x14ac:dyDescent="0.2">
      <c r="A3" s="2376" t="s">
        <v>686</v>
      </c>
      <c r="B3" s="2377"/>
      <c r="C3" s="2377"/>
      <c r="D3" s="2378"/>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7" t="s">
        <v>1584</v>
      </c>
      <c r="D7" s="2388"/>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79" t="s">
        <v>1065</v>
      </c>
      <c r="B15" s="2380"/>
      <c r="C15" s="2380"/>
      <c r="D15" s="2381"/>
    </row>
    <row r="16" spans="1:4" s="669" customFormat="1" ht="24" customHeight="1" x14ac:dyDescent="0.2">
      <c r="A16" s="2382" t="s">
        <v>684</v>
      </c>
      <c r="B16" s="2383"/>
      <c r="C16" s="2383"/>
      <c r="D16" s="2384"/>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1" t="s">
        <v>332</v>
      </c>
      <c r="D21" s="2392"/>
    </row>
    <row r="22" spans="1:10" ht="12.75" x14ac:dyDescent="0.2">
      <c r="A22" s="1140"/>
      <c r="B22" s="1141">
        <v>2</v>
      </c>
      <c r="C22" s="2389" t="s">
        <v>1605</v>
      </c>
      <c r="D22" s="2390"/>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3" t="s">
        <v>557</v>
      </c>
      <c r="D43" s="2394"/>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5" t="s">
        <v>817</v>
      </c>
      <c r="D56" s="2386"/>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ERROR!</v>
      </c>
    </row>
    <row r="70" spans="1:4" x14ac:dyDescent="0.2">
      <c r="A70" s="1099"/>
      <c r="B70" s="1121">
        <f>B66+1</f>
        <v>9</v>
      </c>
      <c r="C70" s="2385" t="s">
        <v>1797</v>
      </c>
      <c r="D70" s="2386"/>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29'!D37&gt;0,"OK","PLEASE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51084008026</v>
      </c>
    </row>
    <row r="3" spans="1:2" x14ac:dyDescent="0.2">
      <c r="A3" t="s">
        <v>1013</v>
      </c>
      <c r="B3" s="138" t="str">
        <f>COVER!A15</f>
        <v>Sangamon</v>
      </c>
    </row>
    <row r="4" spans="1:2" x14ac:dyDescent="0.2">
      <c r="A4" t="s">
        <v>1064</v>
      </c>
      <c r="B4" s="138" t="str">
        <f>COVER!A17</f>
        <v xml:space="preserve">Pleasant Plains CUSD 8                  </v>
      </c>
    </row>
    <row r="5" spans="1:2" x14ac:dyDescent="0.2">
      <c r="A5" t="s">
        <v>728</v>
      </c>
      <c r="B5" s="138" t="str">
        <f>COVER!A38</f>
        <v>Matt Runge, Superintendent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060-004845</v>
      </c>
    </row>
    <row r="16" spans="1:2" x14ac:dyDescent="0.2">
      <c r="A16" t="s">
        <v>442</v>
      </c>
      <c r="B16" s="138" t="str">
        <f>COVER!T13</f>
        <v xml:space="preserve">Pehlman and Dold, P.C.                   </v>
      </c>
    </row>
    <row r="17" spans="1:2" x14ac:dyDescent="0.2">
      <c r="A17" t="s">
        <v>939</v>
      </c>
      <c r="B17" s="138" t="str">
        <f>COVER!T15</f>
        <v>Dorinda L Fitzgerald</v>
      </c>
    </row>
    <row r="18" spans="1:2" x14ac:dyDescent="0.2">
      <c r="A18" t="s">
        <v>1212</v>
      </c>
      <c r="B18" s="138" t="str">
        <f>COVER!T17</f>
        <v>100 North Amos Avenue</v>
      </c>
    </row>
    <row r="19" spans="1:2" x14ac:dyDescent="0.2">
      <c r="A19" t="s">
        <v>941</v>
      </c>
      <c r="B19" s="138" t="str">
        <f>COVER!T25</f>
        <v>dfitzgerald@p-dcpas.com</v>
      </c>
    </row>
    <row r="20" spans="1:2" x14ac:dyDescent="0.2">
      <c r="A20" t="s">
        <v>942</v>
      </c>
      <c r="B20" s="138" t="str">
        <f>COVER!T19</f>
        <v>Springfield</v>
      </c>
    </row>
    <row r="21" spans="1:2" x14ac:dyDescent="0.2">
      <c r="A21" t="s">
        <v>500</v>
      </c>
      <c r="B21" s="138" t="str">
        <f>COVER!X19</f>
        <v>IL</v>
      </c>
    </row>
    <row r="22" spans="1:2" x14ac:dyDescent="0.2">
      <c r="A22" t="s">
        <v>943</v>
      </c>
      <c r="B22" s="138">
        <f>COVER!Z19</f>
        <v>62702</v>
      </c>
    </row>
    <row r="23" spans="1:2" x14ac:dyDescent="0.2">
      <c r="A23" t="s">
        <v>1214</v>
      </c>
      <c r="B23" s="138" t="str">
        <f>COVER!T21</f>
        <v>(217) 787-0563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35431</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2166133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164</v>
      </c>
      <c r="D76" s="2" t="str">
        <f t="shared" si="0"/>
        <v>Error?</v>
      </c>
    </row>
    <row r="77" spans="1:4" x14ac:dyDescent="0.2">
      <c r="A77" s="5">
        <v>16</v>
      </c>
      <c r="B77" s="138">
        <f>'Assets-Liab 5-6'!C13</f>
        <v>6348494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32396</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32396</v>
      </c>
      <c r="C91" s="2" t="s">
        <v>594</v>
      </c>
      <c r="D91" s="2" t="str">
        <f t="shared" si="0"/>
        <v>Error?</v>
      </c>
    </row>
    <row r="92" spans="1:4" x14ac:dyDescent="0.2">
      <c r="A92" s="5">
        <v>31</v>
      </c>
      <c r="B92" s="138">
        <f>'Assets-Liab 5-6'!C39</f>
        <v>6316098</v>
      </c>
      <c r="D92" s="2" t="str">
        <f t="shared" si="0"/>
        <v>Error?</v>
      </c>
    </row>
    <row r="93" spans="1:4" x14ac:dyDescent="0.2">
      <c r="A93" s="5">
        <v>32</v>
      </c>
      <c r="B93" s="138">
        <f>'Assets-Liab 5-6'!C41</f>
        <v>6348494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45498</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1925910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2236</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2236</v>
      </c>
      <c r="C122" s="2" t="s">
        <v>594</v>
      </c>
      <c r="D122" s="2" t="str">
        <f t="shared" si="0"/>
        <v>Error?</v>
      </c>
    </row>
    <row r="123" spans="1:4" x14ac:dyDescent="0.2">
      <c r="A123" s="5">
        <v>62</v>
      </c>
      <c r="B123" s="138">
        <f>'Assets-Liab 5-6'!D39</f>
        <v>1915546</v>
      </c>
      <c r="D123" s="2" t="str">
        <f t="shared" si="0"/>
        <v>Error?</v>
      </c>
    </row>
    <row r="124" spans="1:4" x14ac:dyDescent="0.2">
      <c r="A124" s="5">
        <v>63</v>
      </c>
      <c r="B124" s="138">
        <f>'Assets-Liab 5-6'!D41</f>
        <v>1925910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5001</v>
      </c>
      <c r="D129" s="2" t="str">
        <f t="shared" si="1"/>
        <v>Error?</v>
      </c>
    </row>
    <row r="130" spans="1:4" x14ac:dyDescent="0.2">
      <c r="A130" s="5">
        <v>69</v>
      </c>
      <c r="B130" s="138">
        <f>'Assets-Liab 5-6'!E12</f>
        <v>0</v>
      </c>
      <c r="D130" s="2" t="str">
        <f t="shared" si="1"/>
        <v>Error?</v>
      </c>
    </row>
    <row r="131" spans="1:4" x14ac:dyDescent="0.2">
      <c r="A131" s="5">
        <v>70</v>
      </c>
      <c r="B131" s="138">
        <f>'Assets-Liab 5-6'!E13</f>
        <v>5001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12252</v>
      </c>
      <c r="C139" s="2" t="s">
        <v>594</v>
      </c>
      <c r="D139" s="2" t="str">
        <f t="shared" si="1"/>
        <v>Error?</v>
      </c>
    </row>
    <row r="140" spans="1:4" x14ac:dyDescent="0.2">
      <c r="A140" s="5">
        <v>79</v>
      </c>
      <c r="B140" s="138">
        <f>'Assets-Liab 5-6'!E39</f>
        <v>-7251</v>
      </c>
      <c r="D140" s="2" t="str">
        <f t="shared" si="1"/>
        <v>Error?</v>
      </c>
    </row>
    <row r="141" spans="1:4" x14ac:dyDescent="0.2">
      <c r="A141" s="5">
        <v>80</v>
      </c>
      <c r="B141" s="138">
        <f>'Assets-Liab 5-6'!E41</f>
        <v>5001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138166</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8901</v>
      </c>
      <c r="D156" s="2" t="str">
        <f t="shared" si="1"/>
        <v>Error?</v>
      </c>
    </row>
    <row r="157" spans="1:4" x14ac:dyDescent="0.2">
      <c r="A157" s="5">
        <v>96</v>
      </c>
      <c r="B157" s="138">
        <f>'Assets-Liab 5-6'!F13</f>
        <v>2282351</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2282351</v>
      </c>
      <c r="D170" s="2" t="str">
        <f t="shared" si="1"/>
        <v>Error?</v>
      </c>
    </row>
    <row r="171" spans="1:4" x14ac:dyDescent="0.2">
      <c r="A171" s="5">
        <v>110</v>
      </c>
      <c r="B171" s="138">
        <f>'Assets-Liab 5-6'!F41</f>
        <v>2282351</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204479</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593187</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593187</v>
      </c>
      <c r="D189" s="2" t="str">
        <f t="shared" si="1"/>
        <v>Error?</v>
      </c>
    </row>
    <row r="190" spans="1:4" x14ac:dyDescent="0.2">
      <c r="A190" s="5">
        <v>129</v>
      </c>
      <c r="B190" s="138">
        <f>'Assets-Liab 5-6'!G41</f>
        <v>593187</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4460</v>
      </c>
      <c r="C211" s="2" t="s">
        <v>594</v>
      </c>
      <c r="D211" s="2" t="str">
        <f t="shared" si="2"/>
        <v>Error?</v>
      </c>
    </row>
    <row r="212" spans="1:4" x14ac:dyDescent="0.2">
      <c r="A212" s="5">
        <v>151</v>
      </c>
      <c r="B212" s="138">
        <f>'Assets-Liab 5-6'!H39</f>
        <v>-4460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767974</v>
      </c>
      <c r="D273" s="2" t="str">
        <f t="shared" si="3"/>
        <v>Error?</v>
      </c>
    </row>
    <row r="274" spans="1:4" x14ac:dyDescent="0.2">
      <c r="A274" s="5">
        <v>213</v>
      </c>
      <c r="B274" s="138">
        <f>'Assets-Liab 5-6'!M17</f>
        <v>835659</v>
      </c>
      <c r="D274" s="2" t="str">
        <f t="shared" si="3"/>
        <v>Error?</v>
      </c>
    </row>
    <row r="275" spans="1:4" x14ac:dyDescent="0.2">
      <c r="A275" s="5">
        <v>214</v>
      </c>
      <c r="B275" s="138">
        <f>'Assets-Liab 5-6'!M18</f>
        <v>37986782</v>
      </c>
      <c r="D275" s="2" t="str">
        <f t="shared" si="3"/>
        <v>Error?</v>
      </c>
    </row>
    <row r="276" spans="1:4" x14ac:dyDescent="0.2">
      <c r="A276" s="5">
        <v>215</v>
      </c>
      <c r="B276" s="138">
        <f>'Assets-Liab 5-6'!M19</f>
        <v>3208077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42798492</v>
      </c>
      <c r="C279" s="2" t="s">
        <v>594</v>
      </c>
      <c r="D279" s="2" t="str">
        <f t="shared" si="3"/>
        <v>Error?</v>
      </c>
    </row>
    <row r="280" spans="1:4" x14ac:dyDescent="0.2">
      <c r="A280" s="5">
        <v>219</v>
      </c>
      <c r="B280" s="138">
        <f>'Assets-Liab 5-6'!M40</f>
        <v>42798492</v>
      </c>
      <c r="D280" s="2" t="str">
        <f t="shared" si="3"/>
        <v>Error?</v>
      </c>
    </row>
    <row r="281" spans="1:4" x14ac:dyDescent="0.2">
      <c r="A281" s="5">
        <v>220</v>
      </c>
      <c r="B281" s="138">
        <f>'Assets-Liab 5-6'!M41</f>
        <v>42798492</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4000000</v>
      </c>
      <c r="D283" s="2" t="str">
        <f t="shared" si="3"/>
        <v>Error?</v>
      </c>
    </row>
    <row r="284" spans="1:4" x14ac:dyDescent="0.2">
      <c r="A284" s="5">
        <v>223</v>
      </c>
      <c r="B284" s="138">
        <f>'Assets-Liab 5-6'!N23</f>
        <v>4000000</v>
      </c>
      <c r="C284" s="2" t="s">
        <v>594</v>
      </c>
      <c r="D284" s="2" t="str">
        <f t="shared" si="3"/>
        <v>Error?</v>
      </c>
    </row>
    <row r="285" spans="1:4" x14ac:dyDescent="0.2">
      <c r="A285" s="5">
        <v>224</v>
      </c>
      <c r="B285" s="138">
        <f>'Assets-Liab 5-6'!N36</f>
        <v>4000000</v>
      </c>
      <c r="D285" s="2" t="str">
        <f t="shared" si="3"/>
        <v>Error?</v>
      </c>
    </row>
    <row r="286" spans="1:4" x14ac:dyDescent="0.2">
      <c r="A286" s="10">
        <v>225</v>
      </c>
      <c r="D286" s="2" t="str">
        <f t="shared" si="3"/>
        <v>OK</v>
      </c>
    </row>
    <row r="287" spans="1:4" x14ac:dyDescent="0.2">
      <c r="A287" s="5">
        <v>226</v>
      </c>
      <c r="B287" s="138">
        <f>'Assets-Liab 5-6'!N37</f>
        <v>4000000</v>
      </c>
      <c r="C287" s="2" t="s">
        <v>594</v>
      </c>
      <c r="D287" s="2" t="str">
        <f t="shared" si="3"/>
        <v>Error?</v>
      </c>
    </row>
    <row r="288" spans="1:4" x14ac:dyDescent="0.2">
      <c r="A288" s="5">
        <v>227</v>
      </c>
      <c r="B288" s="138">
        <f>'Assets-Liab 5-6'!N41</f>
        <v>4000000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4446478</v>
      </c>
      <c r="D705" s="2" t="str">
        <f t="shared" si="10"/>
        <v>Error?</v>
      </c>
    </row>
    <row r="706" spans="1:4" x14ac:dyDescent="0.2">
      <c r="A706" s="5">
        <v>645</v>
      </c>
      <c r="B706" s="138">
        <f>'Expenditures 15-22'!C16</f>
        <v>74790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284183</v>
      </c>
      <c r="D717" s="2" t="str">
        <f t="shared" si="10"/>
        <v>Error?</v>
      </c>
    </row>
    <row r="718" spans="1:4" x14ac:dyDescent="0.2">
      <c r="A718" s="5">
        <v>657</v>
      </c>
      <c r="B718" s="138">
        <f>'Expenditures 15-22'!C14</f>
        <v>274932</v>
      </c>
      <c r="D718" s="2" t="str">
        <f t="shared" si="10"/>
        <v>Error?</v>
      </c>
    </row>
    <row r="719" spans="1:4" x14ac:dyDescent="0.2">
      <c r="A719" s="5">
        <v>658</v>
      </c>
      <c r="B719" s="138">
        <f>'Expenditures 15-22'!C15</f>
        <v>0</v>
      </c>
      <c r="D719" s="2" t="str">
        <f t="shared" si="10"/>
        <v>Error?</v>
      </c>
    </row>
    <row r="720" spans="1:4" x14ac:dyDescent="0.2">
      <c r="A720" s="5">
        <v>659</v>
      </c>
      <c r="B720" s="138">
        <f>'Expenditures 15-22'!C33</f>
        <v>5670471</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167998</v>
      </c>
      <c r="D722" s="2" t="str">
        <f t="shared" si="10"/>
        <v>Error?</v>
      </c>
    </row>
    <row r="723" spans="1:4" x14ac:dyDescent="0.2">
      <c r="A723" s="5">
        <v>662</v>
      </c>
      <c r="B723" s="138">
        <f>'Expenditures 15-22'!C38</f>
        <v>60958</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228956</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137250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137250</v>
      </c>
      <c r="C731" s="2" t="s">
        <v>594</v>
      </c>
      <c r="D731" s="2" t="str">
        <f t="shared" si="10"/>
        <v>Error?</v>
      </c>
    </row>
    <row r="732" spans="1:4" x14ac:dyDescent="0.2">
      <c r="A732" s="5">
        <v>671</v>
      </c>
      <c r="B732" s="138">
        <f>'Expenditures 15-22'!C49</f>
        <v>2400</v>
      </c>
      <c r="D732" s="2" t="str">
        <f t="shared" si="10"/>
        <v>Error?</v>
      </c>
    </row>
    <row r="733" spans="1:4" x14ac:dyDescent="0.2">
      <c r="A733" s="5">
        <v>672</v>
      </c>
      <c r="B733" s="138">
        <f>'Expenditures 15-22'!C50</f>
        <v>149563</v>
      </c>
      <c r="D733" s="2" t="str">
        <f t="shared" si="10"/>
        <v>Error?</v>
      </c>
    </row>
    <row r="734" spans="1:4" x14ac:dyDescent="0.2">
      <c r="A734" s="5">
        <v>673</v>
      </c>
      <c r="B734" s="138">
        <f>'Expenditures 15-22'!C53</f>
        <v>151963</v>
      </c>
      <c r="C734" s="2" t="s">
        <v>594</v>
      </c>
      <c r="D734" s="2" t="str">
        <f t="shared" si="10"/>
        <v>Error?</v>
      </c>
    </row>
    <row r="735" spans="1:4" x14ac:dyDescent="0.2">
      <c r="A735" s="5">
        <v>674</v>
      </c>
      <c r="B735" s="138">
        <f>'Expenditures 15-22'!C55</f>
        <v>517748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517748</v>
      </c>
      <c r="C737" s="2" t="s">
        <v>594</v>
      </c>
      <c r="D737" s="2" t="str">
        <f t="shared" si="10"/>
        <v>Error?</v>
      </c>
    </row>
    <row r="738" spans="1:4" x14ac:dyDescent="0.2">
      <c r="A738" s="5">
        <v>677</v>
      </c>
      <c r="B738" s="138">
        <f>'Expenditures 15-22'!C59</f>
        <v>53812</v>
      </c>
      <c r="D738" s="2" t="str">
        <f t="shared" si="10"/>
        <v>Error?</v>
      </c>
    </row>
    <row r="739" spans="1:4" x14ac:dyDescent="0.2">
      <c r="A739" s="5">
        <v>678</v>
      </c>
      <c r="B739" s="138">
        <f>'Expenditures 15-22'!C60</f>
        <v>87122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187057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327991</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105038</v>
      </c>
      <c r="D751" s="2" t="str">
        <f t="shared" si="10"/>
        <v>Error?</v>
      </c>
    </row>
    <row r="752" spans="1:4" x14ac:dyDescent="0.2">
      <c r="A752" s="10">
        <v>691</v>
      </c>
      <c r="D752" s="2" t="str">
        <f t="shared" si="10"/>
        <v>OK</v>
      </c>
    </row>
    <row r="753" spans="1:4" x14ac:dyDescent="0.2">
      <c r="A753" s="5">
        <v>692</v>
      </c>
      <c r="B753" s="138">
        <f>'Expenditures 15-22'!C72</f>
        <v>105038</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1468946</v>
      </c>
      <c r="C755" s="2" t="s">
        <v>594</v>
      </c>
      <c r="D755" s="2" t="str">
        <f t="shared" si="10"/>
        <v>Error?</v>
      </c>
    </row>
    <row r="756" spans="1:4" x14ac:dyDescent="0.2">
      <c r="A756" s="5">
        <v>695</v>
      </c>
      <c r="B756" s="138">
        <f>'Expenditures 15-22'!C75</f>
        <v>181425</v>
      </c>
      <c r="D756" s="2" t="str">
        <f t="shared" si="10"/>
        <v>Error?</v>
      </c>
    </row>
    <row r="757" spans="1:4" x14ac:dyDescent="0.2">
      <c r="A757" s="5">
        <v>696</v>
      </c>
      <c r="B757" s="138">
        <f>'Expenditures 15-22'!C114</f>
        <v>7320842</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1116169</v>
      </c>
      <c r="D763" s="2" t="str">
        <f t="shared" si="10"/>
        <v>Error?</v>
      </c>
    </row>
    <row r="764" spans="1:4" x14ac:dyDescent="0.2">
      <c r="A764" s="5">
        <v>703</v>
      </c>
      <c r="B764" s="138">
        <f>'Expenditures 15-22'!D16</f>
        <v>16086</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70227</v>
      </c>
      <c r="D775" s="2" t="str">
        <f t="shared" si="11"/>
        <v>Error?</v>
      </c>
    </row>
    <row r="776" spans="1:4" x14ac:dyDescent="0.2">
      <c r="A776" s="5">
        <v>715</v>
      </c>
      <c r="B776" s="138">
        <f>'Expenditures 15-22'!D14</f>
        <v>38692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1355368</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50839</v>
      </c>
      <c r="D780" s="2" t="str">
        <f t="shared" si="11"/>
        <v>Error?</v>
      </c>
    </row>
    <row r="781" spans="1:4" x14ac:dyDescent="0.2">
      <c r="A781" s="5">
        <v>720</v>
      </c>
      <c r="B781" s="138">
        <f>'Expenditures 15-22'!D38</f>
        <v>13654</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64493</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32379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32379</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44278</v>
      </c>
      <c r="D791" s="2" t="str">
        <f t="shared" si="11"/>
        <v>Error?</v>
      </c>
    </row>
    <row r="792" spans="1:4" x14ac:dyDescent="0.2">
      <c r="A792" s="5">
        <v>731</v>
      </c>
      <c r="B792" s="138">
        <f>'Expenditures 15-22'!D53</f>
        <v>44278</v>
      </c>
      <c r="C792" s="2" t="s">
        <v>594</v>
      </c>
      <c r="D792" s="2" t="str">
        <f t="shared" si="11"/>
        <v>Error?</v>
      </c>
    </row>
    <row r="793" spans="1:4" x14ac:dyDescent="0.2">
      <c r="A793" s="5">
        <v>732</v>
      </c>
      <c r="B793" s="138">
        <f>'Expenditures 15-22'!D55</f>
        <v>105181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105181</v>
      </c>
      <c r="C795" s="2" t="s">
        <v>594</v>
      </c>
      <c r="D795" s="2" t="str">
        <f t="shared" si="11"/>
        <v>Error?</v>
      </c>
    </row>
    <row r="796" spans="1:4" x14ac:dyDescent="0.2">
      <c r="A796" s="5">
        <v>735</v>
      </c>
      <c r="B796" s="138">
        <f>'Expenditures 15-22'!D59</f>
        <v>10682</v>
      </c>
      <c r="D796" s="2" t="str">
        <f t="shared" si="11"/>
        <v>Error?</v>
      </c>
    </row>
    <row r="797" spans="1:4" x14ac:dyDescent="0.2">
      <c r="A797" s="5">
        <v>736</v>
      </c>
      <c r="B797" s="138">
        <f>'Expenditures 15-22'!D60</f>
        <v>12638</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36253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59573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20351</v>
      </c>
      <c r="D809" s="2" t="str">
        <f t="shared" si="11"/>
        <v>Error?</v>
      </c>
    </row>
    <row r="810" spans="1:4" x14ac:dyDescent="0.2">
      <c r="A810" s="10">
        <v>749</v>
      </c>
      <c r="D810" s="2" t="str">
        <f t="shared" si="11"/>
        <v>OK</v>
      </c>
    </row>
    <row r="811" spans="1:4" x14ac:dyDescent="0.2">
      <c r="A811" s="5">
        <v>750</v>
      </c>
      <c r="B811" s="138">
        <f>'Expenditures 15-22'!D72</f>
        <v>20351</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326255</v>
      </c>
      <c r="C813" s="2" t="s">
        <v>594</v>
      </c>
      <c r="D813" s="2" t="str">
        <f t="shared" si="11"/>
        <v>Error?</v>
      </c>
    </row>
    <row r="814" spans="1:4" x14ac:dyDescent="0.2">
      <c r="A814" s="5">
        <v>753</v>
      </c>
      <c r="B814" s="138">
        <f>'Expenditures 15-22'!D75</f>
        <v>12844</v>
      </c>
      <c r="D814" s="2" t="str">
        <f t="shared" si="11"/>
        <v>Error?</v>
      </c>
    </row>
    <row r="815" spans="1:4" x14ac:dyDescent="0.2">
      <c r="A815" s="5">
        <v>754</v>
      </c>
      <c r="B815" s="138">
        <f>'Expenditures 15-22'!D114</f>
        <v>1694467</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4471</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3840</v>
      </c>
      <c r="D833" s="2" t="str">
        <f t="shared" si="12"/>
        <v>Error?</v>
      </c>
    </row>
    <row r="834" spans="1:4" x14ac:dyDescent="0.2">
      <c r="A834" s="5">
        <v>773</v>
      </c>
      <c r="B834" s="138">
        <f>'Expenditures 15-22'!E14</f>
        <v>31815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56675</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766</v>
      </c>
      <c r="D838" s="2" t="str">
        <f t="shared" si="12"/>
        <v>Error?</v>
      </c>
    </row>
    <row r="839" spans="1:4" x14ac:dyDescent="0.2">
      <c r="A839" s="5">
        <v>778</v>
      </c>
      <c r="B839" s="138">
        <f>'Expenditures 15-22'!E38</f>
        <v>1444</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2210</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594</v>
      </c>
      <c r="D847" s="2" t="str">
        <f t="shared" si="12"/>
        <v>Error?</v>
      </c>
    </row>
    <row r="848" spans="1:4" x14ac:dyDescent="0.2">
      <c r="A848" s="5">
        <v>787</v>
      </c>
      <c r="B848" s="138">
        <f>'Expenditures 15-22'!E49</f>
        <v>26973</v>
      </c>
      <c r="D848" s="2" t="str">
        <f t="shared" si="12"/>
        <v>Error?</v>
      </c>
    </row>
    <row r="849" spans="1:4" x14ac:dyDescent="0.2">
      <c r="A849" s="5">
        <v>788</v>
      </c>
      <c r="B849" s="138">
        <f>'Expenditures 15-22'!E50</f>
        <v>2796</v>
      </c>
      <c r="D849" s="2" t="str">
        <f t="shared" si="12"/>
        <v>Error?</v>
      </c>
    </row>
    <row r="850" spans="1:4" x14ac:dyDescent="0.2">
      <c r="A850" s="5">
        <v>789</v>
      </c>
      <c r="B850" s="138">
        <f>'Expenditures 15-22'!E53</f>
        <v>29769</v>
      </c>
      <c r="C850" s="2" t="s">
        <v>594</v>
      </c>
      <c r="D850" s="2" t="str">
        <f t="shared" si="12"/>
        <v>Error?</v>
      </c>
    </row>
    <row r="851" spans="1:4" x14ac:dyDescent="0.2">
      <c r="A851" s="5">
        <v>790</v>
      </c>
      <c r="B851" s="138">
        <f>'Expenditures 15-22'!E55</f>
        <v>13404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13404</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44307</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3495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47802</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150123</v>
      </c>
      <c r="D867" s="2" t="str">
        <f t="shared" si="12"/>
        <v>Error?</v>
      </c>
    </row>
    <row r="868" spans="1:4" x14ac:dyDescent="0.2">
      <c r="A868" s="10">
        <v>807</v>
      </c>
      <c r="D868" s="2" t="str">
        <f t="shared" si="12"/>
        <v>OK</v>
      </c>
    </row>
    <row r="869" spans="1:4" x14ac:dyDescent="0.2">
      <c r="A869" s="5">
        <v>808</v>
      </c>
      <c r="B869" s="138">
        <f>'Expenditures 15-22'!E72</f>
        <v>150123</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243308</v>
      </c>
      <c r="C871" s="2" t="s">
        <v>594</v>
      </c>
      <c r="D871" s="2" t="str">
        <f t="shared" si="12"/>
        <v>Error?</v>
      </c>
    </row>
    <row r="872" spans="1:4" x14ac:dyDescent="0.2">
      <c r="A872" s="5">
        <v>811</v>
      </c>
      <c r="B872" s="138">
        <f>'Expenditures 15-22'!E75</f>
        <v>116262</v>
      </c>
      <c r="D872" s="2" t="str">
        <f t="shared" si="12"/>
        <v>Error?</v>
      </c>
    </row>
    <row r="873" spans="1:4" x14ac:dyDescent="0.2">
      <c r="A873" s="5">
        <v>812</v>
      </c>
      <c r="B873" s="138">
        <f>'Expenditures 15-22'!E114</f>
        <v>416245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131475</v>
      </c>
      <c r="D879" s="2" t="str">
        <f t="shared" si="12"/>
        <v>Error?</v>
      </c>
    </row>
    <row r="880" spans="1:4" x14ac:dyDescent="0.2">
      <c r="A880" s="5">
        <v>819</v>
      </c>
      <c r="B880" s="138">
        <f>'Expenditures 15-22'!F16</f>
        <v>415</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9264</v>
      </c>
      <c r="D891" s="2" t="str">
        <f t="shared" si="12"/>
        <v>Error?</v>
      </c>
    </row>
    <row r="892" spans="1:4" x14ac:dyDescent="0.2">
      <c r="A892" s="5">
        <v>831</v>
      </c>
      <c r="B892" s="138">
        <f>'Expenditures 15-22'!F14</f>
        <v>12935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158045</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1246</v>
      </c>
      <c r="D896" s="2" t="str">
        <f t="shared" si="13"/>
        <v>Error?</v>
      </c>
    </row>
    <row r="897" spans="1:4" x14ac:dyDescent="0.2">
      <c r="A897" s="5">
        <v>836</v>
      </c>
      <c r="B897" s="138">
        <f>'Expenditures 15-22'!F38</f>
        <v>2818</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4064</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6977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6977</v>
      </c>
      <c r="C905" s="2" t="s">
        <v>594</v>
      </c>
      <c r="D905" s="2" t="str">
        <f t="shared" si="13"/>
        <v>Error?</v>
      </c>
    </row>
    <row r="906" spans="1:4" x14ac:dyDescent="0.2">
      <c r="A906" s="5">
        <v>845</v>
      </c>
      <c r="B906" s="138">
        <f>'Expenditures 15-22'!F49</f>
        <v>241</v>
      </c>
      <c r="D906" s="2" t="str">
        <f t="shared" si="13"/>
        <v>Error?</v>
      </c>
    </row>
    <row r="907" spans="1:4" x14ac:dyDescent="0.2">
      <c r="A907" s="5">
        <v>846</v>
      </c>
      <c r="B907" s="138">
        <f>'Expenditures 15-22'!F50</f>
        <v>374</v>
      </c>
      <c r="D907" s="2" t="str">
        <f t="shared" si="13"/>
        <v>Error?</v>
      </c>
    </row>
    <row r="908" spans="1:4" x14ac:dyDescent="0.2">
      <c r="A908" s="5">
        <v>847</v>
      </c>
      <c r="B908" s="138">
        <f>'Expenditures 15-22'!F53</f>
        <v>615</v>
      </c>
      <c r="C908" s="2" t="s">
        <v>594</v>
      </c>
      <c r="D908" s="2" t="str">
        <f t="shared" si="13"/>
        <v>Error?</v>
      </c>
    </row>
    <row r="909" spans="1:4" x14ac:dyDescent="0.2">
      <c r="A909" s="5">
        <v>848</v>
      </c>
      <c r="B909" s="138">
        <f>'Expenditures 15-22'!F55</f>
        <v>15318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15318</v>
      </c>
      <c r="C911" s="2" t="s">
        <v>594</v>
      </c>
      <c r="D911" s="2" t="str">
        <f t="shared" si="13"/>
        <v>Error?</v>
      </c>
    </row>
    <row r="912" spans="1:4" x14ac:dyDescent="0.2">
      <c r="A912" s="5">
        <v>851</v>
      </c>
      <c r="B912" s="138">
        <f>'Expenditures 15-22'!F59</f>
        <v>17</v>
      </c>
      <c r="D912" s="2" t="str">
        <f t="shared" si="13"/>
        <v>Error?</v>
      </c>
    </row>
    <row r="913" spans="1:4" x14ac:dyDescent="0.2">
      <c r="A913" s="5">
        <v>852</v>
      </c>
      <c r="B913" s="138">
        <f>'Expenditures 15-22'!F60</f>
        <v>13708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288117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301842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19088</v>
      </c>
      <c r="D925" s="2" t="str">
        <f t="shared" si="13"/>
        <v>Error?</v>
      </c>
    </row>
    <row r="926" spans="1:4" x14ac:dyDescent="0.2">
      <c r="A926" s="10">
        <v>865</v>
      </c>
      <c r="D926" s="2" t="str">
        <f t="shared" si="13"/>
        <v>OK</v>
      </c>
    </row>
    <row r="927" spans="1:4" x14ac:dyDescent="0.2">
      <c r="A927" s="5">
        <v>866</v>
      </c>
      <c r="B927" s="138">
        <f>'Expenditures 15-22'!F72</f>
        <v>19088</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347904</v>
      </c>
      <c r="C929" s="2" t="s">
        <v>594</v>
      </c>
      <c r="D929" s="2" t="str">
        <f t="shared" si="13"/>
        <v>Error?</v>
      </c>
    </row>
    <row r="930" spans="1:4" x14ac:dyDescent="0.2">
      <c r="A930" s="5">
        <v>869</v>
      </c>
      <c r="B930" s="138">
        <f>'Expenditures 15-22'!F75</f>
        <v>14504</v>
      </c>
      <c r="D930" s="2" t="str">
        <f t="shared" si="13"/>
        <v>Error?</v>
      </c>
    </row>
    <row r="931" spans="1:4" x14ac:dyDescent="0.2">
      <c r="A931" s="5">
        <v>870</v>
      </c>
      <c r="B931" s="138">
        <f>'Expenditures 15-22'!F114</f>
        <v>520453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5599</v>
      </c>
      <c r="D950" s="2" t="str">
        <f t="shared" si="13"/>
        <v>Error?</v>
      </c>
    </row>
    <row r="951" spans="1:4" x14ac:dyDescent="0.2">
      <c r="A951" s="5">
        <v>890</v>
      </c>
      <c r="B951" s="138">
        <f>'Expenditures 15-22'!G15</f>
        <v>0</v>
      </c>
      <c r="D951" s="2" t="str">
        <f t="shared" si="13"/>
        <v>Error?</v>
      </c>
    </row>
    <row r="952" spans="1:4" x14ac:dyDescent="0.2">
      <c r="A952" s="5">
        <v>891</v>
      </c>
      <c r="B952" s="138">
        <f>'Expenditures 15-22'!G33</f>
        <v>5599</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1312</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1312</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1616</v>
      </c>
      <c r="D967" s="2" t="str">
        <f t="shared" si="14"/>
        <v>Error?</v>
      </c>
    </row>
    <row r="968" spans="1:4" x14ac:dyDescent="0.2">
      <c r="A968" s="5">
        <v>907</v>
      </c>
      <c r="B968" s="138">
        <f>'Expenditures 15-22'!G56</f>
        <v>0</v>
      </c>
      <c r="D968" s="2" t="str">
        <f t="shared" si="14"/>
        <v>Error?</v>
      </c>
    </row>
    <row r="969" spans="1:4" x14ac:dyDescent="0.2">
      <c r="A969" s="5">
        <v>908</v>
      </c>
      <c r="B969" s="138">
        <f>'Expenditures 15-22'!G57</f>
        <v>1616</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54028</v>
      </c>
      <c r="D983" s="2" t="str">
        <f t="shared" si="14"/>
        <v>Error?</v>
      </c>
    </row>
    <row r="984" spans="1:4" x14ac:dyDescent="0.2">
      <c r="A984" s="10">
        <v>923</v>
      </c>
      <c r="D984" s="2" t="str">
        <f t="shared" si="14"/>
        <v>OK</v>
      </c>
    </row>
    <row r="985" spans="1:4" x14ac:dyDescent="0.2">
      <c r="A985" s="5">
        <v>924</v>
      </c>
      <c r="B985" s="138">
        <f>'Expenditures 15-22'!G72</f>
        <v>54028</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56956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62555</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10881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11964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22845</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648</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648</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210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210</v>
      </c>
      <c r="C1021" s="2" t="s">
        <v>594</v>
      </c>
      <c r="D1021" s="2" t="str">
        <f t="shared" si="14"/>
        <v>Error?</v>
      </c>
    </row>
    <row r="1022" spans="1:4" x14ac:dyDescent="0.2">
      <c r="A1022" s="5">
        <v>961</v>
      </c>
      <c r="B1022" s="138">
        <f>'Expenditures 15-22'!H49</f>
        <v>6519</v>
      </c>
      <c r="D1022" s="2" t="str">
        <f t="shared" si="14"/>
        <v>Error?</v>
      </c>
    </row>
    <row r="1023" spans="1:4" x14ac:dyDescent="0.2">
      <c r="A1023" s="5">
        <v>962</v>
      </c>
      <c r="B1023" s="138">
        <f>'Expenditures 15-22'!H50</f>
        <v>1766</v>
      </c>
      <c r="D1023" s="2" t="str">
        <f t="shared" ref="D1023:D1086" si="15">IF(ISBLANK(B1023),"OK",IF(A1023-B1023=0,"OK","Error?"))</f>
        <v>Error?</v>
      </c>
    </row>
    <row r="1024" spans="1:4" x14ac:dyDescent="0.2">
      <c r="A1024" s="5">
        <v>963</v>
      </c>
      <c r="B1024" s="138">
        <f>'Expenditures 15-22'!H53</f>
        <v>8285</v>
      </c>
      <c r="C1024" s="2" t="s">
        <v>594</v>
      </c>
      <c r="D1024" s="2" t="str">
        <f t="shared" si="15"/>
        <v>Error?</v>
      </c>
    </row>
    <row r="1025" spans="1:4" x14ac:dyDescent="0.2">
      <c r="A1025" s="5">
        <v>964</v>
      </c>
      <c r="B1025" s="138">
        <f>'Expenditures 15-22'!H55</f>
        <v>2380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2380</v>
      </c>
      <c r="C1027" s="2" t="s">
        <v>594</v>
      </c>
      <c r="D1027" s="2" t="str">
        <f t="shared" si="15"/>
        <v>Error?</v>
      </c>
    </row>
    <row r="1028" spans="1:4" x14ac:dyDescent="0.2">
      <c r="A1028" s="5">
        <v>967</v>
      </c>
      <c r="B1028" s="138">
        <f>'Expenditures 15-22'!H59</f>
        <v>657</v>
      </c>
      <c r="D1028" s="2" t="str">
        <f t="shared" si="15"/>
        <v>Error?</v>
      </c>
    </row>
    <row r="1029" spans="1:4" x14ac:dyDescent="0.2">
      <c r="A1029" s="5">
        <v>968</v>
      </c>
      <c r="B1029" s="138">
        <f>'Expenditures 15-22'!H60</f>
        <v>4042</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2331</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7030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71</v>
      </c>
      <c r="D1041" s="2" t="str">
        <f t="shared" si="15"/>
        <v>Error?</v>
      </c>
    </row>
    <row r="1042" spans="1:4" x14ac:dyDescent="0.2">
      <c r="A1042" s="10">
        <v>981</v>
      </c>
      <c r="D1042" s="2" t="str">
        <f t="shared" si="15"/>
        <v>OK</v>
      </c>
    </row>
    <row r="1043" spans="1:4" x14ac:dyDescent="0.2">
      <c r="A1043" s="5">
        <v>982</v>
      </c>
      <c r="B1043" s="138">
        <f>'Expenditures 15-22'!H72</f>
        <v>71</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18624</v>
      </c>
      <c r="C1045" s="2" t="s">
        <v>594</v>
      </c>
      <c r="D1045" s="2" t="str">
        <f t="shared" si="15"/>
        <v>Error?</v>
      </c>
    </row>
    <row r="1046" spans="1:4" x14ac:dyDescent="0.2">
      <c r="A1046" s="5">
        <v>985</v>
      </c>
      <c r="B1046" s="138">
        <f>'Expenditures 15-22'!H75</f>
        <v>1362</v>
      </c>
      <c r="D1046" s="2" t="str">
        <f t="shared" si="15"/>
        <v>Error?</v>
      </c>
    </row>
    <row r="1047" spans="1:4" x14ac:dyDescent="0.2">
      <c r="A1047" s="5">
        <v>986</v>
      </c>
      <c r="B1047" s="138">
        <f>'Expenditures 15-22'!H102</f>
        <v>567019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609850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5714170</v>
      </c>
      <c r="C1093" s="2" t="s">
        <v>594</v>
      </c>
      <c r="D1093" s="2" t="str">
        <f t="shared" si="16"/>
        <v>Error?</v>
      </c>
    </row>
    <row r="1094" spans="1:4" x14ac:dyDescent="0.2">
      <c r="A1094" s="5">
        <v>1033</v>
      </c>
      <c r="B1094" s="138">
        <f>'Expenditures 15-22'!K16</f>
        <v>91291</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367514</v>
      </c>
      <c r="C1105" s="2" t="s">
        <v>594</v>
      </c>
      <c r="D1105" s="2" t="str">
        <f t="shared" si="16"/>
        <v>Error?</v>
      </c>
    </row>
    <row r="1106" spans="1:4" x14ac:dyDescent="0.2">
      <c r="A1106" s="5">
        <v>1045</v>
      </c>
      <c r="B1106" s="138">
        <f>'Expenditures 15-22'!K14</f>
        <v>375937</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7273908</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221497</v>
      </c>
      <c r="C1110" s="2" t="s">
        <v>594</v>
      </c>
      <c r="D1110" s="2" t="str">
        <f t="shared" si="16"/>
        <v>Error?</v>
      </c>
    </row>
    <row r="1111" spans="1:4" x14ac:dyDescent="0.2">
      <c r="A1111" s="5">
        <v>1050</v>
      </c>
      <c r="B1111" s="138">
        <f>'Expenditures 15-22'!K38</f>
        <v>80186</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301683</v>
      </c>
      <c r="C1115" s="2" t="s">
        <v>594</v>
      </c>
      <c r="D1115" s="2" t="str">
        <f t="shared" si="16"/>
        <v>Error?</v>
      </c>
    </row>
    <row r="1116" spans="1:4" x14ac:dyDescent="0.2">
      <c r="A1116" s="5">
        <v>1055</v>
      </c>
      <c r="B1116" s="138">
        <f>'Expenditures 15-22'!K44</f>
        <v>0</v>
      </c>
      <c r="C1116" s="2" t="s">
        <v>594</v>
      </c>
      <c r="D1116" s="2" t="str">
        <f t="shared" si="16"/>
        <v>Error?</v>
      </c>
    </row>
    <row r="1117" spans="1:4" x14ac:dyDescent="0.2">
      <c r="A1117" s="5">
        <v>1056</v>
      </c>
      <c r="B1117" s="138">
        <f>'Expenditures 15-22'!K45</f>
        <v>176816</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176816</v>
      </c>
      <c r="C1119" s="2" t="s">
        <v>594</v>
      </c>
      <c r="D1119" s="2" t="str">
        <f t="shared" si="16"/>
        <v>Error?</v>
      </c>
    </row>
    <row r="1120" spans="1:4" x14ac:dyDescent="0.2">
      <c r="A1120" s="5">
        <v>1059</v>
      </c>
      <c r="B1120" s="138">
        <f>'Expenditures 15-22'!K49</f>
        <v>36133</v>
      </c>
      <c r="C1120" s="2" t="s">
        <v>594</v>
      </c>
      <c r="D1120" s="2" t="str">
        <f t="shared" si="16"/>
        <v>Error?</v>
      </c>
    </row>
    <row r="1121" spans="1:4" x14ac:dyDescent="0.2">
      <c r="A1121" s="5">
        <v>1060</v>
      </c>
      <c r="B1121" s="138">
        <f>'Expenditures 15-22'!K50</f>
        <v>198777</v>
      </c>
      <c r="C1121" s="2" t="s">
        <v>594</v>
      </c>
      <c r="D1121" s="2" t="str">
        <f t="shared" si="16"/>
        <v>Error?</v>
      </c>
    </row>
    <row r="1122" spans="1:4" x14ac:dyDescent="0.2">
      <c r="A1122" s="5">
        <v>1061</v>
      </c>
      <c r="B1122" s="138">
        <f>'Expenditures 15-22'!K53</f>
        <v>234910</v>
      </c>
      <c r="C1122" s="2" t="s">
        <v>594</v>
      </c>
      <c r="D1122" s="2" t="str">
        <f t="shared" si="16"/>
        <v>Error?</v>
      </c>
    </row>
    <row r="1123" spans="1:4" x14ac:dyDescent="0.2">
      <c r="A1123" s="5">
        <v>1062</v>
      </c>
      <c r="B1123" s="138">
        <f>'Expenditures 15-22'!K55</f>
        <v>655647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655647</v>
      </c>
      <c r="C1125" s="2" t="s">
        <v>594</v>
      </c>
      <c r="D1125" s="2" t="str">
        <f t="shared" si="16"/>
        <v>Error?</v>
      </c>
    </row>
    <row r="1126" spans="1:4" x14ac:dyDescent="0.2">
      <c r="A1126" s="5">
        <v>1065</v>
      </c>
      <c r="B1126" s="138">
        <f>'Expenditures 15-22'!K59</f>
        <v>65168</v>
      </c>
      <c r="C1126" s="2" t="s">
        <v>594</v>
      </c>
      <c r="D1126" s="2" t="str">
        <f t="shared" si="16"/>
        <v>Error?</v>
      </c>
    </row>
    <row r="1127" spans="1:4" x14ac:dyDescent="0.2">
      <c r="A1127" s="5">
        <v>1066</v>
      </c>
      <c r="B1127" s="138">
        <f>'Expenditures 15-22'!K60</f>
        <v>161817</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518123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745108</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348699</v>
      </c>
      <c r="C1139" s="2" t="s">
        <v>594</v>
      </c>
      <c r="D1139" s="2" t="str">
        <f t="shared" si="16"/>
        <v>Error?</v>
      </c>
    </row>
    <row r="1140" spans="1:4" x14ac:dyDescent="0.2">
      <c r="A1140" s="10">
        <v>1079</v>
      </c>
      <c r="D1140" s="2" t="str">
        <f t="shared" si="16"/>
        <v>OK</v>
      </c>
    </row>
    <row r="1141" spans="1:4" x14ac:dyDescent="0.2">
      <c r="A1141" s="5">
        <v>1080</v>
      </c>
      <c r="B1141" s="138">
        <f>'Expenditures 15-22'!K72</f>
        <v>348699</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2462863</v>
      </c>
      <c r="C1143" s="2" t="s">
        <v>594</v>
      </c>
      <c r="D1143" s="2" t="str">
        <f t="shared" si="16"/>
        <v>Error?</v>
      </c>
    </row>
    <row r="1144" spans="1:4" x14ac:dyDescent="0.2">
      <c r="A1144" s="5">
        <v>1083</v>
      </c>
      <c r="B1144" s="138">
        <f>'Expenditures 15-22'!K75</f>
        <v>326397</v>
      </c>
      <c r="C1144" s="2" t="s">
        <v>594</v>
      </c>
      <c r="D1144" s="2" t="str">
        <f t="shared" si="16"/>
        <v>Error?</v>
      </c>
    </row>
    <row r="1145" spans="1:4" x14ac:dyDescent="0.2">
      <c r="A1145" s="5">
        <v>1084</v>
      </c>
      <c r="B1145" s="138">
        <f>'Expenditures 15-22'!K102</f>
        <v>567019</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10630187</v>
      </c>
      <c r="C1152" s="2" t="s">
        <v>594</v>
      </c>
      <c r="D1152" s="2" t="str">
        <f t="shared" si="17"/>
        <v>Error?</v>
      </c>
    </row>
    <row r="1153" spans="1:4" x14ac:dyDescent="0.2">
      <c r="A1153" s="5">
        <v>1092</v>
      </c>
      <c r="B1153" s="138">
        <f>'Expenditures 15-22'!K115</f>
        <v>-162919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395237</v>
      </c>
      <c r="D1221" s="2" t="str">
        <f t="shared" si="18"/>
        <v>Error?</v>
      </c>
    </row>
    <row r="1222" spans="1:4" x14ac:dyDescent="0.2">
      <c r="A1222" s="10">
        <v>1161</v>
      </c>
      <c r="D1222" s="2" t="str">
        <f t="shared" si="18"/>
        <v>OK</v>
      </c>
    </row>
    <row r="1223" spans="1:4" x14ac:dyDescent="0.2">
      <c r="A1223" s="5">
        <v>1162</v>
      </c>
      <c r="B1223" s="138">
        <f>'Expenditures 15-22'!C127</f>
        <v>395237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395237</v>
      </c>
      <c r="C1225" s="2" t="s">
        <v>594</v>
      </c>
      <c r="D1225" s="2" t="str">
        <f t="shared" si="18"/>
        <v>Error?</v>
      </c>
    </row>
    <row r="1226" spans="1:4" x14ac:dyDescent="0.2">
      <c r="A1226" s="5">
        <v>1165</v>
      </c>
      <c r="B1226" s="138">
        <f>'Expenditures 15-22'!C151</f>
        <v>395237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69026</v>
      </c>
      <c r="D1229" s="2" t="str">
        <f t="shared" si="18"/>
        <v>Error?</v>
      </c>
    </row>
    <row r="1230" spans="1:4" x14ac:dyDescent="0.2">
      <c r="A1230" s="10">
        <v>1169</v>
      </c>
      <c r="D1230" s="2" t="str">
        <f t="shared" si="18"/>
        <v>OK</v>
      </c>
    </row>
    <row r="1231" spans="1:4" x14ac:dyDescent="0.2">
      <c r="A1231" s="5">
        <v>1170</v>
      </c>
      <c r="B1231" s="138">
        <f>'Expenditures 15-22'!D127</f>
        <v>69026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69026</v>
      </c>
      <c r="C1233" s="2" t="s">
        <v>594</v>
      </c>
      <c r="D1233" s="2" t="str">
        <f t="shared" si="18"/>
        <v>Error?</v>
      </c>
    </row>
    <row r="1234" spans="1:4" x14ac:dyDescent="0.2">
      <c r="A1234" s="5">
        <v>1173</v>
      </c>
      <c r="B1234" s="138">
        <f>'Expenditures 15-22'!D151</f>
        <v>69026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212447</v>
      </c>
      <c r="D1237" s="2" t="str">
        <f t="shared" si="18"/>
        <v>Error?</v>
      </c>
    </row>
    <row r="1238" spans="1:4" x14ac:dyDescent="0.2">
      <c r="A1238" s="10">
        <v>1177</v>
      </c>
      <c r="D1238" s="2" t="str">
        <f t="shared" si="18"/>
        <v>OK</v>
      </c>
    </row>
    <row r="1239" spans="1:4" x14ac:dyDescent="0.2">
      <c r="A1239" s="5">
        <v>1178</v>
      </c>
      <c r="B1239" s="138">
        <f>'Expenditures 15-22'!E127</f>
        <v>212447</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212447</v>
      </c>
      <c r="C1241" s="2" t="s">
        <v>594</v>
      </c>
      <c r="D1241" s="2" t="str">
        <f t="shared" si="18"/>
        <v>Error?</v>
      </c>
    </row>
    <row r="1242" spans="1:4" x14ac:dyDescent="0.2">
      <c r="A1242" s="5">
        <v>1181</v>
      </c>
      <c r="B1242" s="138">
        <f>'Expenditures 15-22'!E151</f>
        <v>212447</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408396</v>
      </c>
      <c r="D1245" s="2" t="str">
        <f t="shared" si="18"/>
        <v>Error?</v>
      </c>
    </row>
    <row r="1246" spans="1:4" x14ac:dyDescent="0.2">
      <c r="A1246" s="10">
        <v>1185</v>
      </c>
      <c r="D1246" s="2" t="str">
        <f t="shared" si="18"/>
        <v>OK</v>
      </c>
    </row>
    <row r="1247" spans="1:4" x14ac:dyDescent="0.2">
      <c r="A1247" s="5">
        <v>1186</v>
      </c>
      <c r="B1247" s="138">
        <f>'Expenditures 15-22'!F127</f>
        <v>408396</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408396</v>
      </c>
      <c r="C1249" s="2" t="s">
        <v>594</v>
      </c>
      <c r="D1249" s="2" t="str">
        <f t="shared" si="18"/>
        <v>Error?</v>
      </c>
    </row>
    <row r="1250" spans="1:4" x14ac:dyDescent="0.2">
      <c r="A1250" s="5">
        <v>1189</v>
      </c>
      <c r="B1250" s="138">
        <f>'Expenditures 15-22'!F151</f>
        <v>408396</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455476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455476</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455476</v>
      </c>
      <c r="C1258" s="2" t="s">
        <v>594</v>
      </c>
      <c r="D1258" s="2" t="str">
        <f t="shared" si="18"/>
        <v>Error?</v>
      </c>
    </row>
    <row r="1259" spans="1:4" x14ac:dyDescent="0.2">
      <c r="A1259" s="5">
        <v>1198</v>
      </c>
      <c r="B1259" s="138">
        <f>'Expenditures 15-22'!G151</f>
        <v>455476</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7588</v>
      </c>
      <c r="D1262" s="2" t="str">
        <f t="shared" si="18"/>
        <v>Error?</v>
      </c>
    </row>
    <row r="1263" spans="1:4" x14ac:dyDescent="0.2">
      <c r="A1263" s="10">
        <v>1202</v>
      </c>
      <c r="D1263" s="2" t="str">
        <f t="shared" si="18"/>
        <v>OK</v>
      </c>
    </row>
    <row r="1264" spans="1:4" x14ac:dyDescent="0.2">
      <c r="A1264" s="5">
        <v>1203</v>
      </c>
      <c r="B1264" s="138">
        <f>'Expenditures 15-22'!H127</f>
        <v>7588</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7588</v>
      </c>
      <c r="C1266" s="2" t="s">
        <v>594</v>
      </c>
      <c r="D1266" s="2" t="str">
        <f t="shared" si="18"/>
        <v>Error?</v>
      </c>
    </row>
    <row r="1267" spans="1:4" x14ac:dyDescent="0.2">
      <c r="A1267" s="5">
        <v>1206</v>
      </c>
      <c r="B1267" s="138">
        <f>'Expenditures 15-22'!H139</f>
        <v>4844</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12432</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1548170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1548170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1548170</v>
      </c>
      <c r="C1281" s="2" t="s">
        <v>594</v>
      </c>
      <c r="D1281" s="2" t="str">
        <f t="shared" si="19"/>
        <v>Error?</v>
      </c>
    </row>
    <row r="1282" spans="1:4" x14ac:dyDescent="0.2">
      <c r="A1282" s="5">
        <v>1221</v>
      </c>
      <c r="B1282" s="138">
        <f>'Expenditures 15-22'!K139</f>
        <v>4844</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1553014</v>
      </c>
      <c r="C1288" s="2" t="s">
        <v>594</v>
      </c>
      <c r="D1288" s="2" t="str">
        <f t="shared" si="19"/>
        <v>Error?</v>
      </c>
    </row>
    <row r="1289" spans="1:4" x14ac:dyDescent="0.2">
      <c r="A1289" s="5">
        <v>1228</v>
      </c>
      <c r="B1289" s="138">
        <f>'Expenditures 15-22'!K152</f>
        <v>-78739</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114813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860000</v>
      </c>
      <c r="D1315" s="2" t="str">
        <f t="shared" si="19"/>
        <v>Error?</v>
      </c>
    </row>
    <row r="1316" spans="1:4" x14ac:dyDescent="0.2">
      <c r="A1316" s="5">
        <v>1255</v>
      </c>
      <c r="B1316" s="138">
        <f>'Expenditures 15-22'!H171</f>
        <v>965</v>
      </c>
      <c r="D1316" s="2" t="str">
        <f t="shared" si="19"/>
        <v>Error?</v>
      </c>
    </row>
    <row r="1317" spans="1:4" x14ac:dyDescent="0.2">
      <c r="A1317" s="5">
        <v>1256</v>
      </c>
      <c r="B1317" s="138">
        <f>'Expenditures 15-22'!H172</f>
        <v>975778</v>
      </c>
      <c r="C1317" s="2" t="s">
        <v>594</v>
      </c>
      <c r="D1317" s="2" t="str">
        <f t="shared" si="19"/>
        <v>Error?</v>
      </c>
    </row>
    <row r="1318" spans="1:4" x14ac:dyDescent="0.2">
      <c r="A1318" s="5">
        <v>1257</v>
      </c>
      <c r="B1318" s="138">
        <f>'Expenditures 15-22'!H174</f>
        <v>975778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114813</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860000</v>
      </c>
      <c r="C1329" s="2" t="s">
        <v>594</v>
      </c>
      <c r="D1329" s="2" t="str">
        <f t="shared" si="19"/>
        <v>Error?</v>
      </c>
    </row>
    <row r="1330" spans="1:4" x14ac:dyDescent="0.2">
      <c r="A1330" s="5">
        <v>1269</v>
      </c>
      <c r="B1330" s="138">
        <f>'Expenditures 15-22'!K171</f>
        <v>965</v>
      </c>
      <c r="C1330" s="2" t="s">
        <v>594</v>
      </c>
      <c r="D1330" s="2" t="str">
        <f t="shared" si="19"/>
        <v>Error?</v>
      </c>
    </row>
    <row r="1331" spans="1:4" x14ac:dyDescent="0.2">
      <c r="A1331" s="5">
        <v>1270</v>
      </c>
      <c r="B1331" s="138">
        <f>'Expenditures 15-22'!K172</f>
        <v>975778</v>
      </c>
      <c r="C1331" s="2" t="s">
        <v>594</v>
      </c>
      <c r="D1331" s="2" t="str">
        <f t="shared" si="19"/>
        <v>Error?</v>
      </c>
    </row>
    <row r="1332" spans="1:4" x14ac:dyDescent="0.2">
      <c r="A1332" s="5">
        <v>1271</v>
      </c>
      <c r="B1332" s="138">
        <f>'Expenditures 15-22'!K174</f>
        <v>975778</v>
      </c>
      <c r="C1332" s="2" t="s">
        <v>594</v>
      </c>
      <c r="D1332" s="2" t="str">
        <f t="shared" si="19"/>
        <v>Error?</v>
      </c>
    </row>
    <row r="1333" spans="1:4" x14ac:dyDescent="0.2">
      <c r="A1333" s="5">
        <v>1272</v>
      </c>
      <c r="B1333" s="138">
        <f>'Expenditures 15-22'!K175</f>
        <v>-229549</v>
      </c>
      <c r="C1333" s="2" t="s">
        <v>594</v>
      </c>
      <c r="D1333" s="2" t="str">
        <f t="shared" si="19"/>
        <v>Error?</v>
      </c>
    </row>
    <row r="1334" spans="1:4" x14ac:dyDescent="0.2">
      <c r="A1334" s="10">
        <v>1273</v>
      </c>
      <c r="D1334" s="2" t="str">
        <f t="shared" si="19"/>
        <v>OK</v>
      </c>
    </row>
    <row r="1335" spans="1:4" x14ac:dyDescent="0.2">
      <c r="A1335" s="5">
        <v>1274</v>
      </c>
      <c r="B1335" s="138">
        <f>'Expenditures 15-22'!C182</f>
        <v>445921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445921</v>
      </c>
      <c r="C1339" s="2" t="s">
        <v>594</v>
      </c>
      <c r="D1339" s="2" t="str">
        <f t="shared" si="19"/>
        <v>Error?</v>
      </c>
    </row>
    <row r="1340" spans="1:4" x14ac:dyDescent="0.2">
      <c r="A1340" s="5">
        <v>1279</v>
      </c>
      <c r="B1340" s="138">
        <f>'Expenditures 15-22'!C210</f>
        <v>445921</v>
      </c>
      <c r="C1340" s="2" t="s">
        <v>594</v>
      </c>
      <c r="D1340" s="2" t="str">
        <f t="shared" si="19"/>
        <v>Error?</v>
      </c>
    </row>
    <row r="1341" spans="1:4" x14ac:dyDescent="0.2">
      <c r="A1341" s="5">
        <v>1280</v>
      </c>
      <c r="B1341" s="138">
        <f>'Expenditures 15-22'!D182</f>
        <v>61303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61303</v>
      </c>
      <c r="C1345" s="2" t="s">
        <v>594</v>
      </c>
      <c r="D1345" s="2" t="str">
        <f t="shared" si="20"/>
        <v>Error?</v>
      </c>
    </row>
    <row r="1346" spans="1:4" x14ac:dyDescent="0.2">
      <c r="A1346" s="5">
        <v>1285</v>
      </c>
      <c r="B1346" s="138">
        <f>'Expenditures 15-22'!D210</f>
        <v>61303</v>
      </c>
      <c r="C1346" s="2" t="s">
        <v>594</v>
      </c>
      <c r="D1346" s="2" t="str">
        <f t="shared" si="20"/>
        <v>Error?</v>
      </c>
    </row>
    <row r="1347" spans="1:4" x14ac:dyDescent="0.2">
      <c r="A1347" s="5">
        <v>1286</v>
      </c>
      <c r="B1347" s="138">
        <f>'Expenditures 15-22'!E182</f>
        <v>32539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32539</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32539</v>
      </c>
      <c r="C1353" s="2" t="s">
        <v>594</v>
      </c>
      <c r="D1353" s="2" t="str">
        <f t="shared" si="20"/>
        <v>Error?</v>
      </c>
    </row>
    <row r="1354" spans="1:4" x14ac:dyDescent="0.2">
      <c r="A1354" s="5">
        <v>1293</v>
      </c>
      <c r="B1354" s="138">
        <f>'Expenditures 15-22'!F182</f>
        <v>139866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139866</v>
      </c>
      <c r="C1358" s="2" t="s">
        <v>594</v>
      </c>
      <c r="D1358" s="2" t="str">
        <f t="shared" si="20"/>
        <v>Error?</v>
      </c>
    </row>
    <row r="1359" spans="1:4" x14ac:dyDescent="0.2">
      <c r="A1359" s="5">
        <v>1298</v>
      </c>
      <c r="B1359" s="138">
        <f>'Expenditures 15-22'!F210</f>
        <v>139866</v>
      </c>
      <c r="C1359" s="2" t="s">
        <v>594</v>
      </c>
      <c r="D1359" s="2" t="str">
        <f t="shared" si="20"/>
        <v>Error?</v>
      </c>
    </row>
    <row r="1360" spans="1:4" x14ac:dyDescent="0.2">
      <c r="A1360" s="5">
        <v>1299</v>
      </c>
      <c r="B1360" s="138">
        <f>'Expenditures 15-22'!G182</f>
        <v>138900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138900</v>
      </c>
      <c r="C1364" s="2" t="s">
        <v>594</v>
      </c>
      <c r="D1364" s="2" t="str">
        <f t="shared" si="20"/>
        <v>Error?</v>
      </c>
    </row>
    <row r="1365" spans="1:4" x14ac:dyDescent="0.2">
      <c r="A1365" s="5">
        <v>1304</v>
      </c>
      <c r="B1365" s="138">
        <f>'Expenditures 15-22'!G210</f>
        <v>138900</v>
      </c>
      <c r="C1365" s="2" t="s">
        <v>594</v>
      </c>
      <c r="D1365" s="2" t="str">
        <f t="shared" si="20"/>
        <v>Error?</v>
      </c>
    </row>
    <row r="1366" spans="1:4" x14ac:dyDescent="0.2">
      <c r="A1366" s="5">
        <v>1305</v>
      </c>
      <c r="B1366" s="138">
        <f>'Expenditures 15-22'!H182</f>
        <v>611</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611</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62302</v>
      </c>
      <c r="C1375" s="2" t="s">
        <v>594</v>
      </c>
      <c r="D1375" s="2" t="str">
        <f t="shared" si="20"/>
        <v>Error?</v>
      </c>
    </row>
    <row r="1376" spans="1:4" x14ac:dyDescent="0.2">
      <c r="A1376" s="5">
        <v>1315</v>
      </c>
      <c r="B1376" s="138">
        <f>'Expenditures 15-22'!H210</f>
        <v>62913</v>
      </c>
      <c r="C1376" s="2" t="s">
        <v>594</v>
      </c>
      <c r="D1376" s="2" t="str">
        <f t="shared" si="20"/>
        <v>Error?</v>
      </c>
    </row>
    <row r="1377" spans="1:4" x14ac:dyDescent="0.2">
      <c r="A1377" s="5">
        <v>1316</v>
      </c>
      <c r="B1377" s="138">
        <f>'Expenditures 15-22'!K182</f>
        <v>820040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820040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62302</v>
      </c>
      <c r="C1387" s="2" t="s">
        <v>594</v>
      </c>
      <c r="D1387" s="2" t="str">
        <f t="shared" si="20"/>
        <v>Error?</v>
      </c>
    </row>
    <row r="1388" spans="1:4" x14ac:dyDescent="0.2">
      <c r="A1388" s="5">
        <v>1327</v>
      </c>
      <c r="B1388" s="138">
        <f>'Expenditures 15-22'!K210</f>
        <v>882342</v>
      </c>
      <c r="C1388" s="2" t="s">
        <v>594</v>
      </c>
      <c r="D1388" s="2" t="str">
        <f t="shared" si="20"/>
        <v>Error?</v>
      </c>
    </row>
    <row r="1389" spans="1:4" x14ac:dyDescent="0.2">
      <c r="A1389" s="5">
        <v>1328</v>
      </c>
      <c r="B1389" s="138">
        <f>'Expenditures 15-22'!K211</f>
        <v>211736</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1085</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4050</v>
      </c>
      <c r="D1407" s="2" t="str">
        <f t="shared" ref="D1407:D1470" si="21">IF(ISBLANK(B1407),"OK",IF(A1407-B1407=0,"OK","Error?"))</f>
        <v>Error?</v>
      </c>
    </row>
    <row r="1408" spans="1:4" x14ac:dyDescent="0.2">
      <c r="A1408" s="5">
        <v>1347</v>
      </c>
      <c r="B1408" s="138">
        <f>'Expenditures 15-22'!D223</f>
        <v>10422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147755</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2360</v>
      </c>
      <c r="D1412" s="2" t="str">
        <f t="shared" si="21"/>
        <v>Error?</v>
      </c>
    </row>
    <row r="1413" spans="1:4" x14ac:dyDescent="0.2">
      <c r="A1413" s="5">
        <v>1352</v>
      </c>
      <c r="B1413" s="138">
        <f>'Expenditures 15-22'!D234</f>
        <v>5356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7716</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5088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5088</v>
      </c>
      <c r="C1421" s="2" t="s">
        <v>594</v>
      </c>
      <c r="D1421" s="2" t="str">
        <f t="shared" si="21"/>
        <v>Error?</v>
      </c>
    </row>
    <row r="1422" spans="1:4" x14ac:dyDescent="0.2">
      <c r="A1422" s="5">
        <v>1361</v>
      </c>
      <c r="B1422" s="138">
        <f>'Expenditures 15-22'!D245</f>
        <v>184</v>
      </c>
      <c r="D1422" s="2" t="str">
        <f t="shared" si="21"/>
        <v>Error?</v>
      </c>
    </row>
    <row r="1423" spans="1:4" x14ac:dyDescent="0.2">
      <c r="A1423" s="5">
        <v>1362</v>
      </c>
      <c r="B1423" s="138">
        <f>'Expenditures 15-22'!D246</f>
        <v>6660</v>
      </c>
      <c r="D1423" s="2" t="str">
        <f t="shared" si="21"/>
        <v>Error?</v>
      </c>
    </row>
    <row r="1424" spans="1:4" x14ac:dyDescent="0.2">
      <c r="A1424" s="5">
        <v>1363</v>
      </c>
      <c r="B1424" s="138">
        <f>'Expenditures 15-22'!D257</f>
        <v>6844</v>
      </c>
      <c r="C1424" s="2" t="s">
        <v>594</v>
      </c>
      <c r="D1424" s="2" t="str">
        <f t="shared" si="21"/>
        <v>Error?</v>
      </c>
    </row>
    <row r="1425" spans="1:4" x14ac:dyDescent="0.2">
      <c r="A1425" s="5">
        <v>1364</v>
      </c>
      <c r="B1425" s="138">
        <f>'Expenditures 15-22'!D259</f>
        <v>28856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28856</v>
      </c>
      <c r="C1427" s="2" t="s">
        <v>594</v>
      </c>
      <c r="D1427" s="2" t="str">
        <f t="shared" si="21"/>
        <v>Error?</v>
      </c>
    </row>
    <row r="1428" spans="1:4" x14ac:dyDescent="0.2">
      <c r="A1428" s="5">
        <v>1367</v>
      </c>
      <c r="B1428" s="138">
        <f>'Expenditures 15-22'!D263</f>
        <v>762</v>
      </c>
      <c r="D1428" s="2" t="str">
        <f t="shared" si="21"/>
        <v>Error?</v>
      </c>
    </row>
    <row r="1429" spans="1:4" x14ac:dyDescent="0.2">
      <c r="A1429" s="5">
        <v>1368</v>
      </c>
      <c r="B1429" s="138">
        <f>'Expenditures 15-22'!D264</f>
        <v>15480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67705</v>
      </c>
      <c r="D1431" s="2" t="str">
        <f t="shared" si="21"/>
        <v>Error?</v>
      </c>
    </row>
    <row r="1432" spans="1:4" x14ac:dyDescent="0.2">
      <c r="A1432" s="5">
        <v>1371</v>
      </c>
      <c r="B1432" s="138">
        <f>'Expenditures 15-22'!D267</f>
        <v>74020</v>
      </c>
      <c r="D1432" s="2" t="str">
        <f t="shared" si="21"/>
        <v>Error?</v>
      </c>
    </row>
    <row r="1433" spans="1:4" x14ac:dyDescent="0.2">
      <c r="A1433" s="5">
        <v>1372</v>
      </c>
      <c r="B1433" s="138">
        <f>'Expenditures 15-22'!D268</f>
        <v>35639</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193606</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16022</v>
      </c>
      <c r="D1442" s="2" t="str">
        <f t="shared" si="21"/>
        <v>Error?</v>
      </c>
    </row>
    <row r="1443" spans="1:4" x14ac:dyDescent="0.2">
      <c r="A1443" s="10">
        <v>1382</v>
      </c>
      <c r="D1443" s="2" t="str">
        <f t="shared" si="21"/>
        <v>OK</v>
      </c>
    </row>
    <row r="1444" spans="1:4" x14ac:dyDescent="0.2">
      <c r="A1444" s="5">
        <v>1383</v>
      </c>
      <c r="B1444" s="138">
        <f>'Expenditures 15-22'!D277</f>
        <v>16022</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258132</v>
      </c>
      <c r="C1446" s="2" t="s">
        <v>594</v>
      </c>
      <c r="D1446" s="2" t="str">
        <f t="shared" si="21"/>
        <v>Error?</v>
      </c>
    </row>
    <row r="1447" spans="1:4" x14ac:dyDescent="0.2">
      <c r="A1447" s="5">
        <v>1386</v>
      </c>
      <c r="B1447" s="138">
        <f>'Expenditures 15-22'!D280</f>
        <v>19468</v>
      </c>
      <c r="D1447" s="2" t="str">
        <f t="shared" si="21"/>
        <v>Error?</v>
      </c>
    </row>
    <row r="1448" spans="1:4" x14ac:dyDescent="0.2">
      <c r="A1448" s="5">
        <v>1387</v>
      </c>
      <c r="B1448" s="138">
        <f>'Expenditures 15-22'!D295</f>
        <v>425355</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1085</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4050</v>
      </c>
      <c r="C1471" s="2" t="s">
        <v>594</v>
      </c>
      <c r="D1471" s="2" t="str">
        <f t="shared" ref="D1471:D1534" si="22">IF(ISBLANK(B1471),"OK",IF(A1471-B1471=0,"OK","Error?"))</f>
        <v>Error?</v>
      </c>
    </row>
    <row r="1472" spans="1:4" x14ac:dyDescent="0.2">
      <c r="A1472" s="5">
        <v>1411</v>
      </c>
      <c r="B1472" s="138">
        <f>'Expenditures 15-22'!K223</f>
        <v>10422</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147755</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2360</v>
      </c>
      <c r="C1476" s="2" t="s">
        <v>594</v>
      </c>
      <c r="D1476" s="2" t="str">
        <f t="shared" si="22"/>
        <v>Error?</v>
      </c>
    </row>
    <row r="1477" spans="1:4" x14ac:dyDescent="0.2">
      <c r="A1477" s="5">
        <v>1416</v>
      </c>
      <c r="B1477" s="138">
        <f>'Expenditures 15-22'!K234</f>
        <v>5356</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7716</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5088</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5088</v>
      </c>
      <c r="C1485" s="2" t="s">
        <v>594</v>
      </c>
      <c r="D1485" s="2" t="str">
        <f t="shared" si="22"/>
        <v>Error?</v>
      </c>
    </row>
    <row r="1486" spans="1:4" x14ac:dyDescent="0.2">
      <c r="A1486" s="5">
        <v>1425</v>
      </c>
      <c r="B1486" s="138">
        <f>'Expenditures 15-22'!K245</f>
        <v>184</v>
      </c>
      <c r="C1486" s="2" t="s">
        <v>594</v>
      </c>
      <c r="D1486" s="2" t="str">
        <f t="shared" si="22"/>
        <v>Error?</v>
      </c>
    </row>
    <row r="1487" spans="1:4" x14ac:dyDescent="0.2">
      <c r="A1487" s="5">
        <v>1426</v>
      </c>
      <c r="B1487" s="138">
        <f>'Expenditures 15-22'!K246</f>
        <v>6660</v>
      </c>
      <c r="C1487" s="2" t="s">
        <v>594</v>
      </c>
      <c r="D1487" s="2" t="str">
        <f t="shared" si="22"/>
        <v>Error?</v>
      </c>
    </row>
    <row r="1488" spans="1:4" x14ac:dyDescent="0.2">
      <c r="A1488" s="5">
        <v>1427</v>
      </c>
      <c r="B1488" s="138">
        <f>'Expenditures 15-22'!K257</f>
        <v>6844</v>
      </c>
      <c r="C1488" s="2" t="s">
        <v>594</v>
      </c>
      <c r="D1488" s="2" t="str">
        <f t="shared" si="22"/>
        <v>Error?</v>
      </c>
    </row>
    <row r="1489" spans="1:4" x14ac:dyDescent="0.2">
      <c r="A1489" s="5">
        <v>1428</v>
      </c>
      <c r="B1489" s="138">
        <f>'Expenditures 15-22'!K259</f>
        <v>28856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28856</v>
      </c>
      <c r="C1491" s="2" t="s">
        <v>594</v>
      </c>
      <c r="D1491" s="2" t="str">
        <f t="shared" si="22"/>
        <v>Error?</v>
      </c>
    </row>
    <row r="1492" spans="1:4" x14ac:dyDescent="0.2">
      <c r="A1492" s="5">
        <v>1431</v>
      </c>
      <c r="B1492" s="138">
        <f>'Expenditures 15-22'!K263</f>
        <v>762</v>
      </c>
      <c r="C1492" s="2" t="s">
        <v>594</v>
      </c>
      <c r="D1492" s="2" t="str">
        <f t="shared" si="22"/>
        <v>Error?</v>
      </c>
    </row>
    <row r="1493" spans="1:4" x14ac:dyDescent="0.2">
      <c r="A1493" s="5">
        <v>1432</v>
      </c>
      <c r="B1493" s="138">
        <f>'Expenditures 15-22'!K264</f>
        <v>15480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67705</v>
      </c>
      <c r="C1495" s="2" t="s">
        <v>594</v>
      </c>
      <c r="D1495" s="2" t="str">
        <f t="shared" si="22"/>
        <v>Error?</v>
      </c>
    </row>
    <row r="1496" spans="1:4" x14ac:dyDescent="0.2">
      <c r="A1496" s="5">
        <v>1435</v>
      </c>
      <c r="B1496" s="138">
        <f>'Expenditures 15-22'!K267</f>
        <v>74020</v>
      </c>
      <c r="C1496" s="2" t="s">
        <v>594</v>
      </c>
      <c r="D1496" s="2" t="str">
        <f t="shared" si="22"/>
        <v>Error?</v>
      </c>
    </row>
    <row r="1497" spans="1:4" x14ac:dyDescent="0.2">
      <c r="A1497" s="5">
        <v>1436</v>
      </c>
      <c r="B1497" s="138">
        <f>'Expenditures 15-22'!K268</f>
        <v>35639</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193606</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16022</v>
      </c>
      <c r="C1506" s="2" t="s">
        <v>594</v>
      </c>
      <c r="D1506" s="2" t="str">
        <f t="shared" si="22"/>
        <v>Error?</v>
      </c>
    </row>
    <row r="1507" spans="1:4" x14ac:dyDescent="0.2">
      <c r="A1507" s="10">
        <v>1446</v>
      </c>
      <c r="D1507" s="2" t="str">
        <f t="shared" si="22"/>
        <v>OK</v>
      </c>
    </row>
    <row r="1508" spans="1:4" x14ac:dyDescent="0.2">
      <c r="A1508" s="5">
        <v>1447</v>
      </c>
      <c r="B1508" s="138">
        <f>'Expenditures 15-22'!K277</f>
        <v>16022</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258132</v>
      </c>
      <c r="C1510" s="2" t="s">
        <v>594</v>
      </c>
      <c r="D1510" s="2" t="str">
        <f t="shared" si="22"/>
        <v>Error?</v>
      </c>
    </row>
    <row r="1511" spans="1:4" x14ac:dyDescent="0.2">
      <c r="A1511" s="5">
        <v>1450</v>
      </c>
      <c r="B1511" s="138">
        <f>'Expenditures 15-22'!K280</f>
        <v>19468</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425355</v>
      </c>
      <c r="C1517" s="2" t="s">
        <v>594</v>
      </c>
      <c r="D1517" s="2" t="str">
        <f t="shared" si="22"/>
        <v>Error?</v>
      </c>
    </row>
    <row r="1518" spans="1:4" x14ac:dyDescent="0.2">
      <c r="A1518" s="5">
        <v>1457</v>
      </c>
      <c r="B1518" s="138">
        <f>'Expenditures 15-22'!K296</f>
        <v>-93160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274581</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274581</v>
      </c>
      <c r="C1547" s="2" t="s">
        <v>594</v>
      </c>
      <c r="D1547" s="2" t="str">
        <f t="shared" si="23"/>
        <v>Error?</v>
      </c>
    </row>
    <row r="1548" spans="1:4" x14ac:dyDescent="0.2">
      <c r="A1548" s="5">
        <v>1487</v>
      </c>
      <c r="B1548" s="138">
        <f>'Expenditures 15-22'!G312</f>
        <v>274581</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274581</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274581</v>
      </c>
      <c r="C1559" s="2" t="s">
        <v>594</v>
      </c>
      <c r="D1559" s="2" t="str">
        <f t="shared" si="23"/>
        <v>Error?</v>
      </c>
    </row>
    <row r="1560" spans="1:4" x14ac:dyDescent="0.2">
      <c r="A1560" s="5">
        <v>1499</v>
      </c>
      <c r="B1560" s="138">
        <f>'Expenditures 15-22'!K312</f>
        <v>274581</v>
      </c>
      <c r="C1560" s="2" t="s">
        <v>594</v>
      </c>
      <c r="D1560" s="2" t="str">
        <f t="shared" si="23"/>
        <v>Error?</v>
      </c>
    </row>
    <row r="1561" spans="1:4" x14ac:dyDescent="0.2">
      <c r="A1561" s="5">
        <v>1500</v>
      </c>
      <c r="B1561" s="138">
        <f>'Expenditures 15-22'!K313</f>
        <v>-274581</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6479017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6316098</v>
      </c>
      <c r="C1630" s="2" t="s">
        <v>594</v>
      </c>
      <c r="D1630" s="2" t="str">
        <f t="shared" si="24"/>
        <v>Error?</v>
      </c>
    </row>
    <row r="1631" spans="1:4" x14ac:dyDescent="0.2">
      <c r="A1631" s="5">
        <v>1570</v>
      </c>
      <c r="B1631" s="138">
        <f>'Acct Summary 7-8'!D79</f>
        <v>2002413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1923674</v>
      </c>
      <c r="C1644" s="2" t="s">
        <v>594</v>
      </c>
      <c r="D1644" s="2" t="str">
        <f t="shared" si="24"/>
        <v>Error?</v>
      </c>
    </row>
    <row r="1645" spans="1:4" x14ac:dyDescent="0.2">
      <c r="A1645" s="5">
        <v>1584</v>
      </c>
      <c r="B1645" s="138">
        <f>'Acct Summary 7-8'!E79</f>
        <v>222298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-7251</v>
      </c>
      <c r="C1658" s="2" t="s">
        <v>594</v>
      </c>
      <c r="D1658" s="2" t="str">
        <f t="shared" si="24"/>
        <v>Error?</v>
      </c>
    </row>
    <row r="1659" spans="1:4" x14ac:dyDescent="0.2">
      <c r="A1659" s="5">
        <v>1598</v>
      </c>
      <c r="B1659" s="138">
        <f>'Acct Summary 7-8'!F79</f>
        <v>2070615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2282351</v>
      </c>
      <c r="C1672" s="2" t="s">
        <v>594</v>
      </c>
      <c r="D1672" s="2" t="str">
        <f t="shared" si="25"/>
        <v>Error?</v>
      </c>
    </row>
    <row r="1673" spans="1:4" x14ac:dyDescent="0.2">
      <c r="A1673" s="5">
        <v>1612</v>
      </c>
      <c r="B1673" s="138">
        <f>'Acct Summary 7-8'!G79</f>
        <v>686347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593187</v>
      </c>
      <c r="C1686" s="2" t="s">
        <v>594</v>
      </c>
      <c r="D1686" s="2" t="str">
        <f t="shared" si="25"/>
        <v>Error?</v>
      </c>
    </row>
    <row r="1687" spans="1:4" x14ac:dyDescent="0.2">
      <c r="A1687" s="5">
        <v>1626</v>
      </c>
      <c r="B1687" s="138">
        <f>'Acct Summary 7-8'!H79</f>
        <v>270121</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-4460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6646398</v>
      </c>
      <c r="C1744" s="2" t="s">
        <v>594</v>
      </c>
      <c r="D1744" s="2" t="str">
        <f t="shared" si="26"/>
        <v>Error?</v>
      </c>
    </row>
    <row r="1745" spans="1:5" x14ac:dyDescent="0.2">
      <c r="A1745" s="5">
        <v>1684</v>
      </c>
      <c r="B1745" s="138">
        <f>'Tax Sched 23'!B5</f>
        <v>1372475</v>
      </c>
      <c r="C1745" s="2" t="s">
        <v>594</v>
      </c>
      <c r="D1745" s="2" t="str">
        <f t="shared" si="26"/>
        <v>Error?</v>
      </c>
    </row>
    <row r="1746" spans="1:5" x14ac:dyDescent="0.2">
      <c r="A1746" s="5">
        <v>1685</v>
      </c>
      <c r="B1746" s="138">
        <f>'Tax Sched 23'!B6</f>
        <v>745836</v>
      </c>
      <c r="C1746" s="2" t="s">
        <v>594</v>
      </c>
      <c r="D1746" s="2" t="str">
        <f t="shared" si="26"/>
        <v>Error?</v>
      </c>
    </row>
    <row r="1747" spans="1:5" x14ac:dyDescent="0.2">
      <c r="A1747" s="5">
        <v>1686</v>
      </c>
      <c r="B1747" s="138">
        <f>'Tax Sched 23'!B7</f>
        <v>477956</v>
      </c>
      <c r="C1747" s="2" t="s">
        <v>594</v>
      </c>
      <c r="D1747" s="2" t="str">
        <f t="shared" si="26"/>
        <v>Error?</v>
      </c>
    </row>
    <row r="1748" spans="1:5" x14ac:dyDescent="0.2">
      <c r="A1748" s="5">
        <v>1687</v>
      </c>
      <c r="B1748" s="138">
        <f>'Tax Sched 23'!B8</f>
        <v>54524</v>
      </c>
      <c r="C1748" s="2" t="s">
        <v>594</v>
      </c>
      <c r="D1748" s="2" t="str">
        <f t="shared" si="26"/>
        <v>Error?</v>
      </c>
    </row>
    <row r="1749" spans="1:5" x14ac:dyDescent="0.2">
      <c r="A1749" s="5">
        <v>1688</v>
      </c>
      <c r="B1749" s="138">
        <f>'Tax Sched 23'!B10</f>
        <v>52558</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776146</v>
      </c>
      <c r="C1752" s="2" t="s">
        <v>594</v>
      </c>
      <c r="D1752" s="2" t="str">
        <f t="shared" si="26"/>
        <v>Error?</v>
      </c>
    </row>
    <row r="1753" spans="1:5" x14ac:dyDescent="0.2">
      <c r="A1753" s="5">
        <v>1692</v>
      </c>
      <c r="B1753" s="138">
        <f>'Tax Sched 23'!B12</f>
        <v>143610</v>
      </c>
      <c r="C1753" s="2" t="s">
        <v>594</v>
      </c>
      <c r="D1753" s="2" t="str">
        <f t="shared" si="26"/>
        <v>Error?</v>
      </c>
    </row>
    <row r="1754" spans="1:5" x14ac:dyDescent="0.2">
      <c r="A1754" s="5">
        <v>1693</v>
      </c>
      <c r="B1754" s="138">
        <f>'Tax Sched 23'!B14</f>
        <v>100213</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10642017</v>
      </c>
      <c r="C1759" s="2" t="s">
        <v>594</v>
      </c>
      <c r="D1759" s="2" t="str">
        <f t="shared" si="26"/>
        <v>Error?</v>
      </c>
    </row>
    <row r="1760" spans="1:5" x14ac:dyDescent="0.2">
      <c r="A1760" s="5">
        <v>1699</v>
      </c>
      <c r="B1760" s="138">
        <f>'Tax Sched 23'!D4</f>
        <v>3029789</v>
      </c>
      <c r="C1760" s="2" t="s">
        <v>594</v>
      </c>
      <c r="D1760" s="2" t="str">
        <f t="shared" si="26"/>
        <v>Error?</v>
      </c>
    </row>
    <row r="1761" spans="1:5" x14ac:dyDescent="0.2">
      <c r="A1761" s="5">
        <v>1700</v>
      </c>
      <c r="B1761" s="138">
        <f>'Tax Sched 23'!D5</f>
        <v>616003</v>
      </c>
      <c r="C1761" s="2" t="s">
        <v>594</v>
      </c>
      <c r="D1761" s="2" t="str">
        <f t="shared" si="26"/>
        <v>Error?</v>
      </c>
    </row>
    <row r="1762" spans="1:5" s="8" customFormat="1" x14ac:dyDescent="0.2">
      <c r="A1762" s="5">
        <v>1701</v>
      </c>
      <c r="B1762" s="138">
        <f>'Tax Sched 23'!D6</f>
        <v>334954</v>
      </c>
      <c r="C1762" s="2" t="s">
        <v>594</v>
      </c>
      <c r="D1762" s="2" t="str">
        <f t="shared" si="26"/>
        <v>Error?</v>
      </c>
      <c r="E1762" s="9"/>
    </row>
    <row r="1763" spans="1:5" x14ac:dyDescent="0.2">
      <c r="A1763" s="5">
        <v>1702</v>
      </c>
      <c r="B1763" s="138">
        <f>'Tax Sched 23'!D7</f>
        <v>210717</v>
      </c>
      <c r="C1763" s="2" t="s">
        <v>594</v>
      </c>
      <c r="D1763" s="2" t="str">
        <f t="shared" si="26"/>
        <v>Error?</v>
      </c>
    </row>
    <row r="1764" spans="1:5" x14ac:dyDescent="0.2">
      <c r="A1764" s="5">
        <v>1703</v>
      </c>
      <c r="B1764" s="138">
        <f>'Tax Sched 23'!D8</f>
        <v>26116</v>
      </c>
      <c r="C1764" s="2" t="s">
        <v>594</v>
      </c>
      <c r="D1764" s="2" t="str">
        <f t="shared" si="26"/>
        <v>Error?</v>
      </c>
    </row>
    <row r="1765" spans="1:5" x14ac:dyDescent="0.2">
      <c r="A1765" s="5">
        <v>1704</v>
      </c>
      <c r="B1765" s="138">
        <f>'Tax Sched 23'!D10</f>
        <v>24150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315092</v>
      </c>
      <c r="C1768" s="2" t="s">
        <v>594</v>
      </c>
      <c r="D1768" s="2" t="str">
        <f t="shared" si="26"/>
        <v>Error?</v>
      </c>
    </row>
    <row r="1769" spans="1:5" x14ac:dyDescent="0.2">
      <c r="A1769" s="5">
        <v>1708</v>
      </c>
      <c r="B1769" s="138">
        <f>'Tax Sched 23'!D12</f>
        <v>70300</v>
      </c>
      <c r="C1769" s="2" t="s">
        <v>594</v>
      </c>
      <c r="D1769" s="2" t="str">
        <f t="shared" si="26"/>
        <v>Error?</v>
      </c>
    </row>
    <row r="1770" spans="1:5" x14ac:dyDescent="0.2">
      <c r="A1770" s="5">
        <v>1709</v>
      </c>
      <c r="B1770" s="138">
        <f>'Tax Sched 23'!D14</f>
        <v>48209</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4805821</v>
      </c>
      <c r="C1775" s="2" t="s">
        <v>594</v>
      </c>
      <c r="D1775" s="2" t="str">
        <f t="shared" si="26"/>
        <v>Error?</v>
      </c>
    </row>
    <row r="1776" spans="1:5" x14ac:dyDescent="0.2">
      <c r="A1776" s="5">
        <v>1715</v>
      </c>
      <c r="B1776" s="138">
        <f>'Tax Sched 23'!C4</f>
        <v>3616609</v>
      </c>
      <c r="D1776" s="2" t="str">
        <f t="shared" si="26"/>
        <v>Error?</v>
      </c>
    </row>
    <row r="1777" spans="1:4" x14ac:dyDescent="0.2">
      <c r="A1777" s="5">
        <v>1716</v>
      </c>
      <c r="B1777" s="138">
        <f>'Tax Sched 23'!C5</f>
        <v>756472</v>
      </c>
      <c r="D1777" s="2" t="str">
        <f t="shared" si="26"/>
        <v>Error?</v>
      </c>
    </row>
    <row r="1778" spans="1:4" x14ac:dyDescent="0.2">
      <c r="A1778" s="5">
        <v>1717</v>
      </c>
      <c r="B1778" s="138">
        <f>'Tax Sched 23'!C6</f>
        <v>410882</v>
      </c>
      <c r="D1778" s="2" t="str">
        <f t="shared" si="26"/>
        <v>Error?</v>
      </c>
    </row>
    <row r="1779" spans="1:4" x14ac:dyDescent="0.2">
      <c r="A1779" s="5">
        <v>1718</v>
      </c>
      <c r="B1779" s="138">
        <f>'Tax Sched 23'!C7</f>
        <v>267239</v>
      </c>
      <c r="D1779" s="2" t="str">
        <f t="shared" si="26"/>
        <v>Error?</v>
      </c>
    </row>
    <row r="1780" spans="1:4" x14ac:dyDescent="0.2">
      <c r="A1780" s="5">
        <v>1719</v>
      </c>
      <c r="B1780" s="138">
        <f>'Tax Sched 23'!C8</f>
        <v>28408</v>
      </c>
      <c r="D1780" s="2" t="str">
        <f t="shared" si="26"/>
        <v>Error?</v>
      </c>
    </row>
    <row r="1781" spans="1:4" x14ac:dyDescent="0.2">
      <c r="A1781" s="5">
        <v>1720</v>
      </c>
      <c r="B1781" s="138">
        <f>'Tax Sched 23'!C10</f>
        <v>28408</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461054</v>
      </c>
      <c r="D1784" s="2" t="str">
        <f t="shared" si="26"/>
        <v>Error?</v>
      </c>
    </row>
    <row r="1785" spans="1:4" x14ac:dyDescent="0.2">
      <c r="A1785" s="5">
        <v>1724</v>
      </c>
      <c r="B1785" s="138">
        <f>'Tax Sched 23'!C12</f>
        <v>73310</v>
      </c>
      <c r="D1785" s="2" t="str">
        <f t="shared" si="26"/>
        <v>Error?</v>
      </c>
    </row>
    <row r="1786" spans="1:4" x14ac:dyDescent="0.2">
      <c r="A1786" s="5">
        <v>1725</v>
      </c>
      <c r="B1786" s="138">
        <f>'Tax Sched 23'!C14</f>
        <v>52004</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5836196</v>
      </c>
      <c r="C1791" s="2" t="s">
        <v>594</v>
      </c>
      <c r="D1791" s="2" t="str">
        <f t="shared" ref="D1791:D1854" si="27">IF(ISBLANK(B1791),"OK",IF(A1791-B1791=0,"OK","Error?"))</f>
        <v>Error?</v>
      </c>
    </row>
    <row r="1792" spans="1:4" x14ac:dyDescent="0.2">
      <c r="A1792" s="5">
        <v>1731</v>
      </c>
      <c r="B1792" s="138">
        <f>'Tax Sched 23'!F4</f>
        <v>3341579</v>
      </c>
      <c r="C1792" s="2" t="s">
        <v>594</v>
      </c>
      <c r="D1792" s="2" t="str">
        <f t="shared" si="27"/>
        <v>Error?</v>
      </c>
    </row>
    <row r="1793" spans="1:4" x14ac:dyDescent="0.2">
      <c r="A1793" s="5">
        <v>1732</v>
      </c>
      <c r="B1793" s="138">
        <f>'Tax Sched 23'!F5</f>
        <v>698945</v>
      </c>
      <c r="C1793" s="2" t="s">
        <v>594</v>
      </c>
      <c r="D1793" s="2" t="str">
        <f t="shared" si="27"/>
        <v>Error?</v>
      </c>
    </row>
    <row r="1794" spans="1:4" x14ac:dyDescent="0.2">
      <c r="A1794" s="5">
        <v>1733</v>
      </c>
      <c r="B1794" s="138">
        <f>'Tax Sched 23'!F6</f>
        <v>379636</v>
      </c>
      <c r="C1794" s="2" t="s">
        <v>594</v>
      </c>
      <c r="D1794" s="2" t="str">
        <f t="shared" si="27"/>
        <v>Error?</v>
      </c>
    </row>
    <row r="1795" spans="1:4" x14ac:dyDescent="0.2">
      <c r="A1795" s="5">
        <v>1734</v>
      </c>
      <c r="B1795" s="138">
        <f>'Tax Sched 23'!F7</f>
        <v>246917</v>
      </c>
      <c r="C1795" s="2" t="s">
        <v>594</v>
      </c>
      <c r="D1795" s="2" t="str">
        <f t="shared" si="27"/>
        <v>Error?</v>
      </c>
    </row>
    <row r="1796" spans="1:4" x14ac:dyDescent="0.2">
      <c r="A1796" s="5">
        <v>1735</v>
      </c>
      <c r="B1796" s="138">
        <f>'Tax Sched 23'!F8</f>
        <v>26247</v>
      </c>
      <c r="C1796" s="2" t="s">
        <v>594</v>
      </c>
      <c r="D1796" s="2" t="str">
        <f t="shared" si="27"/>
        <v>Error?</v>
      </c>
    </row>
    <row r="1797" spans="1:4" x14ac:dyDescent="0.2">
      <c r="A1797" s="5">
        <v>1736</v>
      </c>
      <c r="B1797" s="138">
        <f>'Tax Sched 23'!F10</f>
        <v>26247</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425992</v>
      </c>
      <c r="C1800" s="2" t="s">
        <v>594</v>
      </c>
      <c r="D1800" s="2" t="str">
        <f t="shared" si="27"/>
        <v>Error?</v>
      </c>
    </row>
    <row r="1801" spans="1:4" x14ac:dyDescent="0.2">
      <c r="A1801" s="5">
        <v>1740</v>
      </c>
      <c r="B1801" s="138">
        <f>'Tax Sched 23'!F12</f>
        <v>67735</v>
      </c>
      <c r="C1801" s="2" t="s">
        <v>594</v>
      </c>
      <c r="D1801" s="2" t="str">
        <f t="shared" si="27"/>
        <v>Error?</v>
      </c>
    </row>
    <row r="1802" spans="1:4" x14ac:dyDescent="0.2">
      <c r="A1802" s="5">
        <v>1741</v>
      </c>
      <c r="B1802" s="138">
        <f>'Tax Sched 23'!F14</f>
        <v>48050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5392374</v>
      </c>
      <c r="C1807" s="2" t="s">
        <v>594</v>
      </c>
      <c r="D1807" s="2" t="str">
        <f t="shared" si="27"/>
        <v>Error?</v>
      </c>
    </row>
    <row r="1808" spans="1:4" x14ac:dyDescent="0.2">
      <c r="A1808" s="5">
        <v>1747</v>
      </c>
      <c r="B1808" s="138">
        <f>'Tax Sched 23'!E4</f>
        <v>6958188</v>
      </c>
      <c r="D1808" s="2" t="str">
        <f t="shared" si="27"/>
        <v>Error?</v>
      </c>
    </row>
    <row r="1809" spans="1:4" x14ac:dyDescent="0.2">
      <c r="A1809" s="5">
        <v>1748</v>
      </c>
      <c r="B1809" s="138">
        <f>'Tax Sched 23'!E5</f>
        <v>1455417</v>
      </c>
      <c r="D1809" s="2" t="str">
        <f t="shared" si="27"/>
        <v>Error?</v>
      </c>
    </row>
    <row r="1810" spans="1:4" x14ac:dyDescent="0.2">
      <c r="A1810" s="5">
        <v>1749</v>
      </c>
      <c r="B1810" s="138">
        <f>'Tax Sched 23'!E6</f>
        <v>790518</v>
      </c>
      <c r="D1810" s="2" t="str">
        <f t="shared" si="27"/>
        <v>Error?</v>
      </c>
    </row>
    <row r="1811" spans="1:4" x14ac:dyDescent="0.2">
      <c r="A1811" s="5">
        <v>1750</v>
      </c>
      <c r="B1811" s="138">
        <f>'Tax Sched 23'!E7</f>
        <v>514156</v>
      </c>
      <c r="D1811" s="2" t="str">
        <f t="shared" si="27"/>
        <v>Error?</v>
      </c>
    </row>
    <row r="1812" spans="1:4" x14ac:dyDescent="0.2">
      <c r="A1812" s="5">
        <v>1751</v>
      </c>
      <c r="B1812" s="138">
        <f>'Tax Sched 23'!E8</f>
        <v>54655</v>
      </c>
      <c r="D1812" s="2" t="str">
        <f t="shared" si="27"/>
        <v>Error?</v>
      </c>
    </row>
    <row r="1813" spans="1:4" x14ac:dyDescent="0.2">
      <c r="A1813" s="5">
        <v>1752</v>
      </c>
      <c r="B1813" s="138">
        <f>'Tax Sched 23'!E10</f>
        <v>54655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887046</v>
      </c>
      <c r="D1816" s="2" t="str">
        <f t="shared" si="27"/>
        <v>Error?</v>
      </c>
    </row>
    <row r="1817" spans="1:4" x14ac:dyDescent="0.2">
      <c r="A1817" s="5">
        <v>1756</v>
      </c>
      <c r="B1817" s="138">
        <f>'Tax Sched 23'!E12</f>
        <v>141045</v>
      </c>
      <c r="D1817" s="2" t="str">
        <f t="shared" si="27"/>
        <v>Error?</v>
      </c>
    </row>
    <row r="1818" spans="1:4" x14ac:dyDescent="0.2">
      <c r="A1818" s="5">
        <v>1757</v>
      </c>
      <c r="B1818" s="138">
        <f>'Tax Sched 23'!E14</f>
        <v>100054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11228570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4920162</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100213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100213</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100213</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715365</v>
      </c>
      <c r="D2008" s="2" t="str">
        <f t="shared" si="30"/>
        <v>Error?</v>
      </c>
    </row>
    <row r="2009" spans="1:4" x14ac:dyDescent="0.2">
      <c r="A2009" s="5">
        <v>1948</v>
      </c>
      <c r="B2009" s="138">
        <f>'Cap Outlay Deprec 26'!C8</f>
        <v>37267460</v>
      </c>
      <c r="D2009" s="2" t="str">
        <f t="shared" si="30"/>
        <v>Error?</v>
      </c>
    </row>
    <row r="2010" spans="1:4" x14ac:dyDescent="0.2">
      <c r="A2010" s="5">
        <v>1949</v>
      </c>
      <c r="B2010" s="138">
        <f>'Cap Outlay Deprec 26'!C10</f>
        <v>835659</v>
      </c>
      <c r="D2010" s="2" t="str">
        <f t="shared" si="30"/>
        <v>Error?</v>
      </c>
    </row>
    <row r="2011" spans="1:4" x14ac:dyDescent="0.2">
      <c r="A2011" s="5">
        <v>1950</v>
      </c>
      <c r="B2011" s="138">
        <f>'Cap Outlay Deprec 26'!C12</f>
        <v>1090915</v>
      </c>
      <c r="D2011" s="2" t="str">
        <f t="shared" si="30"/>
        <v>Error?</v>
      </c>
    </row>
    <row r="2012" spans="1:4" x14ac:dyDescent="0.2">
      <c r="A2012" s="5">
        <v>1951</v>
      </c>
      <c r="B2012" s="138">
        <f>'Cap Outlay Deprec 26'!C13</f>
        <v>1889770</v>
      </c>
      <c r="D2012" s="2" t="str">
        <f t="shared" si="30"/>
        <v>Error?</v>
      </c>
    </row>
    <row r="2013" spans="1:4" x14ac:dyDescent="0.2">
      <c r="A2013" s="5">
        <v>1952</v>
      </c>
      <c r="B2013" s="138">
        <f>'Cap Outlay Deprec 26'!C16</f>
        <v>41799169</v>
      </c>
      <c r="C2013" s="2" t="s">
        <v>594</v>
      </c>
      <c r="D2013" s="2" t="str">
        <f t="shared" si="30"/>
        <v>Error?</v>
      </c>
    </row>
    <row r="2014" spans="1:4" x14ac:dyDescent="0.2">
      <c r="A2014" s="5">
        <v>1953</v>
      </c>
      <c r="B2014" s="138">
        <f>'Cap Outlay Deprec 26'!D5</f>
        <v>52609</v>
      </c>
      <c r="D2014" s="2" t="str">
        <f t="shared" si="30"/>
        <v>Error?</v>
      </c>
    </row>
    <row r="2015" spans="1:4" x14ac:dyDescent="0.2">
      <c r="A2015" s="5">
        <v>1954</v>
      </c>
      <c r="B2015" s="138">
        <f>'Cap Outlay Deprec 26'!D8</f>
        <v>725622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198188</v>
      </c>
      <c r="D2017" s="2" t="str">
        <f t="shared" si="30"/>
        <v>Error?</v>
      </c>
    </row>
    <row r="2018" spans="1:4" x14ac:dyDescent="0.2">
      <c r="A2018" s="5">
        <v>1957</v>
      </c>
      <c r="B2018" s="138">
        <f>'Cap Outlay Deprec 26'!D13</f>
        <v>138900</v>
      </c>
      <c r="D2018" s="2" t="str">
        <f t="shared" si="30"/>
        <v>Error?</v>
      </c>
    </row>
    <row r="2019" spans="1:4" x14ac:dyDescent="0.2">
      <c r="A2019" s="5">
        <v>1958</v>
      </c>
      <c r="B2019" s="138">
        <f>'Cap Outlay Deprec 26'!D16</f>
        <v>1115319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6300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109696</v>
      </c>
      <c r="D2024" s="2" t="str">
        <f t="shared" si="30"/>
        <v>Error?</v>
      </c>
    </row>
    <row r="2025" spans="1:4" x14ac:dyDescent="0.2">
      <c r="A2025" s="5">
        <v>1964</v>
      </c>
      <c r="B2025" s="138">
        <f>'Cap Outlay Deprec 26'!E16</f>
        <v>115996</v>
      </c>
      <c r="C2025" s="2" t="s">
        <v>594</v>
      </c>
      <c r="D2025" s="2" t="str">
        <f t="shared" si="30"/>
        <v>Error?</v>
      </c>
    </row>
    <row r="2026" spans="1:4" x14ac:dyDescent="0.2">
      <c r="A2026" s="5">
        <v>1965</v>
      </c>
      <c r="B2026" s="138">
        <f>'Cap Outlay Deprec 26'!F5</f>
        <v>767974</v>
      </c>
      <c r="C2026" s="2" t="s">
        <v>594</v>
      </c>
      <c r="D2026" s="2" t="str">
        <f t="shared" si="30"/>
        <v>Error?</v>
      </c>
    </row>
    <row r="2027" spans="1:4" x14ac:dyDescent="0.2">
      <c r="A2027" s="5">
        <v>1966</v>
      </c>
      <c r="B2027" s="138">
        <f>'Cap Outlay Deprec 26'!F8</f>
        <v>37986782</v>
      </c>
      <c r="C2027" s="2" t="s">
        <v>594</v>
      </c>
      <c r="D2027" s="2" t="str">
        <f t="shared" si="30"/>
        <v>Error?</v>
      </c>
    </row>
    <row r="2028" spans="1:4" x14ac:dyDescent="0.2">
      <c r="A2028" s="5">
        <v>1967</v>
      </c>
      <c r="B2028" s="138">
        <f>'Cap Outlay Deprec 26'!F10</f>
        <v>835659</v>
      </c>
      <c r="C2028" s="2" t="s">
        <v>594</v>
      </c>
      <c r="D2028" s="2" t="str">
        <f t="shared" si="30"/>
        <v>Error?</v>
      </c>
    </row>
    <row r="2029" spans="1:4" x14ac:dyDescent="0.2">
      <c r="A2029" s="5">
        <v>1968</v>
      </c>
      <c r="B2029" s="138">
        <f>'Cap Outlay Deprec 26'!F12</f>
        <v>1289103</v>
      </c>
      <c r="C2029" s="2" t="s">
        <v>594</v>
      </c>
      <c r="D2029" s="2" t="str">
        <f t="shared" si="30"/>
        <v>Error?</v>
      </c>
    </row>
    <row r="2030" spans="1:4" x14ac:dyDescent="0.2">
      <c r="A2030" s="5">
        <v>1969</v>
      </c>
      <c r="B2030" s="138">
        <f>'Cap Outlay Deprec 26'!F13</f>
        <v>1918974</v>
      </c>
      <c r="C2030" s="2" t="s">
        <v>594</v>
      </c>
      <c r="D2030" s="2" t="str">
        <f t="shared" si="30"/>
        <v>Error?</v>
      </c>
    </row>
    <row r="2031" spans="1:4" x14ac:dyDescent="0.2">
      <c r="A2031" s="5">
        <v>1970</v>
      </c>
      <c r="B2031" s="138">
        <f>'Cap Outlay Deprec 26'!F16</f>
        <v>42798492</v>
      </c>
      <c r="C2031" s="2" t="s">
        <v>594</v>
      </c>
      <c r="D2031" s="2" t="str">
        <f t="shared" si="30"/>
        <v>Error?</v>
      </c>
    </row>
    <row r="2032" spans="1:4" x14ac:dyDescent="0.2">
      <c r="A2032" s="10">
        <v>1971</v>
      </c>
      <c r="D2032" s="2" t="str">
        <f t="shared" si="30"/>
        <v>OK</v>
      </c>
    </row>
    <row r="2033" spans="1:4" x14ac:dyDescent="0.2">
      <c r="A2033" s="5">
        <v>1972</v>
      </c>
      <c r="B2033" s="138">
        <f>'Cap Outlay Deprec 26'!H8</f>
        <v>10327594</v>
      </c>
      <c r="D2033" s="2" t="str">
        <f t="shared" si="30"/>
        <v>Error?</v>
      </c>
    </row>
    <row r="2034" spans="1:4" x14ac:dyDescent="0.2">
      <c r="A2034" s="5">
        <v>1973</v>
      </c>
      <c r="B2034" s="138">
        <f>'Cap Outlay Deprec 26'!H10</f>
        <v>489110</v>
      </c>
      <c r="D2034" s="2" t="str">
        <f t="shared" si="30"/>
        <v>Error?</v>
      </c>
    </row>
    <row r="2035" spans="1:4" x14ac:dyDescent="0.2">
      <c r="A2035" s="5">
        <v>1974</v>
      </c>
      <c r="B2035" s="138">
        <f>'Cap Outlay Deprec 26'!H12</f>
        <v>718730</v>
      </c>
      <c r="D2035" s="2" t="str">
        <f t="shared" si="30"/>
        <v>Error?</v>
      </c>
    </row>
    <row r="2036" spans="1:4" x14ac:dyDescent="0.2">
      <c r="A2036" s="5">
        <v>1975</v>
      </c>
      <c r="B2036" s="138">
        <f>'Cap Outlay Deprec 26'!H13</f>
        <v>1421206</v>
      </c>
      <c r="D2036" s="2" t="str">
        <f t="shared" si="30"/>
        <v>Error?</v>
      </c>
    </row>
    <row r="2037" spans="1:4" x14ac:dyDescent="0.2">
      <c r="A2037" s="5">
        <v>1976</v>
      </c>
      <c r="B2037" s="138">
        <f>'Cap Outlay Deprec 26'!H16</f>
        <v>12956640</v>
      </c>
      <c r="C2037" s="2" t="s">
        <v>594</v>
      </c>
      <c r="D2037" s="2" t="str">
        <f t="shared" si="30"/>
        <v>Error?</v>
      </c>
    </row>
    <row r="2038" spans="1:4" x14ac:dyDescent="0.2">
      <c r="A2038" s="10">
        <v>1977</v>
      </c>
      <c r="D2038" s="2" t="str">
        <f t="shared" si="30"/>
        <v>OK</v>
      </c>
    </row>
    <row r="2039" spans="1:4" x14ac:dyDescent="0.2">
      <c r="A2039" s="5">
        <v>1978</v>
      </c>
      <c r="B2039" s="138">
        <f>'Cap Outlay Deprec 26'!I8</f>
        <v>758284</v>
      </c>
      <c r="D2039" s="2" t="str">
        <f t="shared" si="30"/>
        <v>Error?</v>
      </c>
    </row>
    <row r="2040" spans="1:4" x14ac:dyDescent="0.2">
      <c r="A2040" s="5">
        <v>1979</v>
      </c>
      <c r="B2040" s="138">
        <f>'Cap Outlay Deprec 26'!I10</f>
        <v>38391</v>
      </c>
      <c r="D2040" s="2" t="str">
        <f t="shared" si="30"/>
        <v>Error?</v>
      </c>
    </row>
    <row r="2041" spans="1:4" x14ac:dyDescent="0.2">
      <c r="A2041" s="5">
        <v>1980</v>
      </c>
      <c r="B2041" s="138">
        <f>'Cap Outlay Deprec 26'!I12</f>
        <v>110517</v>
      </c>
      <c r="D2041" s="2" t="str">
        <f t="shared" si="30"/>
        <v>Error?</v>
      </c>
    </row>
    <row r="2042" spans="1:4" x14ac:dyDescent="0.2">
      <c r="A2042" s="5">
        <v>1981</v>
      </c>
      <c r="B2042" s="138">
        <f>'Cap Outlay Deprec 26'!I13</f>
        <v>186749</v>
      </c>
      <c r="D2042" s="2" t="str">
        <f t="shared" si="30"/>
        <v>Error?</v>
      </c>
    </row>
    <row r="2043" spans="1:4" x14ac:dyDescent="0.2">
      <c r="A2043" s="5">
        <v>1982</v>
      </c>
      <c r="B2043" s="138">
        <f>'Cap Outlay Deprec 26'!I16</f>
        <v>1093941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109696</v>
      </c>
      <c r="D2048" s="2" t="str">
        <f t="shared" si="31"/>
        <v>Error?</v>
      </c>
    </row>
    <row r="2049" spans="1:4" x14ac:dyDescent="0.2">
      <c r="A2049" s="5">
        <v>1988</v>
      </c>
      <c r="B2049" s="138">
        <f>'Cap Outlay Deprec 26'!J16</f>
        <v>109696</v>
      </c>
      <c r="C2049" s="2" t="s">
        <v>594</v>
      </c>
      <c r="D2049" s="2" t="str">
        <f t="shared" si="31"/>
        <v>Error?</v>
      </c>
    </row>
    <row r="2050" spans="1:4" x14ac:dyDescent="0.2">
      <c r="A2050" s="10">
        <v>1989</v>
      </c>
      <c r="D2050" s="2" t="str">
        <f t="shared" si="31"/>
        <v>OK</v>
      </c>
    </row>
    <row r="2051" spans="1:4" x14ac:dyDescent="0.2">
      <c r="A2051" s="5">
        <v>1990</v>
      </c>
      <c r="B2051" s="138">
        <f>'Cap Outlay Deprec 26'!K8</f>
        <v>11085878</v>
      </c>
      <c r="C2051" s="2" t="s">
        <v>594</v>
      </c>
      <c r="D2051" s="2" t="str">
        <f t="shared" si="31"/>
        <v>Error?</v>
      </c>
    </row>
    <row r="2052" spans="1:4" x14ac:dyDescent="0.2">
      <c r="A2052" s="5">
        <v>1991</v>
      </c>
      <c r="B2052" s="138">
        <f>'Cap Outlay Deprec 26'!K10</f>
        <v>527501</v>
      </c>
      <c r="C2052" s="2" t="s">
        <v>594</v>
      </c>
      <c r="D2052" s="2" t="str">
        <f t="shared" si="31"/>
        <v>Error?</v>
      </c>
    </row>
    <row r="2053" spans="1:4" x14ac:dyDescent="0.2">
      <c r="A2053" s="5">
        <v>1992</v>
      </c>
      <c r="B2053" s="138">
        <f>'Cap Outlay Deprec 26'!K12</f>
        <v>829247</v>
      </c>
      <c r="C2053" s="2" t="s">
        <v>594</v>
      </c>
      <c r="D2053" s="2" t="str">
        <f t="shared" si="31"/>
        <v>Error?</v>
      </c>
    </row>
    <row r="2054" spans="1:4" x14ac:dyDescent="0.2">
      <c r="A2054" s="5">
        <v>1993</v>
      </c>
      <c r="B2054" s="138">
        <f>'Cap Outlay Deprec 26'!K13</f>
        <v>1498259</v>
      </c>
      <c r="C2054" s="2" t="s">
        <v>594</v>
      </c>
      <c r="D2054" s="2" t="str">
        <f t="shared" si="31"/>
        <v>Error?</v>
      </c>
    </row>
    <row r="2055" spans="1:4" x14ac:dyDescent="0.2">
      <c r="A2055" s="5">
        <v>1994</v>
      </c>
      <c r="B2055" s="138">
        <f>'Cap Outlay Deprec 26'!K16</f>
        <v>13940885</v>
      </c>
      <c r="C2055" s="2" t="s">
        <v>594</v>
      </c>
      <c r="D2055" s="2" t="str">
        <f t="shared" si="31"/>
        <v>Error?</v>
      </c>
    </row>
    <row r="2056" spans="1:4" x14ac:dyDescent="0.2">
      <c r="A2056" s="5">
        <v>1995</v>
      </c>
      <c r="B2056" s="138">
        <f>'Cap Outlay Deprec 26'!L5</f>
        <v>767974</v>
      </c>
      <c r="C2056" s="2" t="s">
        <v>594</v>
      </c>
      <c r="D2056" s="2" t="str">
        <f t="shared" si="31"/>
        <v>Error?</v>
      </c>
    </row>
    <row r="2057" spans="1:4" x14ac:dyDescent="0.2">
      <c r="A2057" s="5">
        <v>1996</v>
      </c>
      <c r="B2057" s="138">
        <f>'Cap Outlay Deprec 26'!L8</f>
        <v>26900904</v>
      </c>
      <c r="C2057" s="2" t="s">
        <v>594</v>
      </c>
      <c r="D2057" s="2" t="str">
        <f t="shared" si="31"/>
        <v>Error?</v>
      </c>
    </row>
    <row r="2058" spans="1:4" x14ac:dyDescent="0.2">
      <c r="A2058" s="5">
        <v>1997</v>
      </c>
      <c r="B2058" s="138">
        <f>'Cap Outlay Deprec 26'!L10</f>
        <v>308158</v>
      </c>
      <c r="C2058" s="2" t="s">
        <v>594</v>
      </c>
      <c r="D2058" s="2" t="str">
        <f t="shared" si="31"/>
        <v>Error?</v>
      </c>
    </row>
    <row r="2059" spans="1:4" x14ac:dyDescent="0.2">
      <c r="A2059" s="5">
        <v>1998</v>
      </c>
      <c r="B2059" s="138">
        <f>'Cap Outlay Deprec 26'!L12</f>
        <v>459856</v>
      </c>
      <c r="C2059" s="2" t="s">
        <v>594</v>
      </c>
      <c r="D2059" s="2" t="str">
        <f t="shared" si="31"/>
        <v>Error?</v>
      </c>
    </row>
    <row r="2060" spans="1:4" x14ac:dyDescent="0.2">
      <c r="A2060" s="5">
        <v>1999</v>
      </c>
      <c r="B2060" s="138">
        <f>'Cap Outlay Deprec 26'!L13</f>
        <v>420715</v>
      </c>
      <c r="C2060" s="2" t="s">
        <v>594</v>
      </c>
      <c r="D2060" s="2" t="str">
        <f t="shared" si="31"/>
        <v>Error?</v>
      </c>
    </row>
    <row r="2061" spans="1:4" x14ac:dyDescent="0.2">
      <c r="A2061" s="5">
        <v>2000</v>
      </c>
      <c r="B2061" s="138">
        <f>'Cap Outlay Deprec 26'!L16</f>
        <v>28857607</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567019</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567019</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4844</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4844</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8128</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7955213</v>
      </c>
      <c r="C2551" s="2" t="s">
        <v>594</v>
      </c>
      <c r="D2551" s="2" t="str">
        <f t="shared" si="38"/>
        <v>Error?</v>
      </c>
    </row>
    <row r="2552" spans="1:4" x14ac:dyDescent="0.2">
      <c r="A2552" s="10">
        <v>2491</v>
      </c>
      <c r="D2552" s="2" t="str">
        <f t="shared" si="38"/>
        <v>OK</v>
      </c>
    </row>
    <row r="2553" spans="1:4" x14ac:dyDescent="0.2">
      <c r="A2553" s="5">
        <v>2492</v>
      </c>
      <c r="B2553" s="138">
        <f>'Acct Summary 7-8'!C6</f>
        <v>1974752</v>
      </c>
      <c r="C2553" s="2" t="s">
        <v>594</v>
      </c>
      <c r="D2553" s="2" t="str">
        <f t="shared" si="38"/>
        <v>Error?</v>
      </c>
    </row>
    <row r="2554" spans="1:4" x14ac:dyDescent="0.2">
      <c r="A2554" s="5">
        <v>2493</v>
      </c>
      <c r="B2554" s="138">
        <f>'Acct Summary 7-8'!C7</f>
        <v>354355</v>
      </c>
      <c r="C2554" s="2" t="s">
        <v>594</v>
      </c>
      <c r="D2554" s="2" t="str">
        <f t="shared" si="38"/>
        <v>Error?</v>
      </c>
    </row>
    <row r="2555" spans="1:4" x14ac:dyDescent="0.2">
      <c r="A2555" s="5">
        <v>2494</v>
      </c>
      <c r="B2555" s="138">
        <f>'Acct Summary 7-8'!C8</f>
        <v>10467268</v>
      </c>
      <c r="C2555" s="2" t="s">
        <v>594</v>
      </c>
      <c r="D2555" s="2" t="str">
        <f t="shared" si="38"/>
        <v>Error?</v>
      </c>
    </row>
    <row r="2556" spans="1:4" x14ac:dyDescent="0.2">
      <c r="A2556" s="5">
        <v>2495</v>
      </c>
      <c r="B2556" s="138">
        <f>'Acct Summary 7-8'!C12</f>
        <v>7273908</v>
      </c>
      <c r="C2556" s="2" t="s">
        <v>594</v>
      </c>
      <c r="D2556" s="2" t="str">
        <f t="shared" si="38"/>
        <v>Error?</v>
      </c>
    </row>
    <row r="2557" spans="1:4" x14ac:dyDescent="0.2">
      <c r="A2557" s="5">
        <v>2496</v>
      </c>
      <c r="B2557" s="138">
        <f>'Acct Summary 7-8'!C13</f>
        <v>2462863</v>
      </c>
      <c r="C2557" s="2" t="s">
        <v>594</v>
      </c>
      <c r="D2557" s="2" t="str">
        <f t="shared" si="38"/>
        <v>Error?</v>
      </c>
    </row>
    <row r="2558" spans="1:4" x14ac:dyDescent="0.2">
      <c r="A2558" s="5">
        <v>2497</v>
      </c>
      <c r="B2558" s="138">
        <f>'Acct Summary 7-8'!C14</f>
        <v>326397</v>
      </c>
      <c r="C2558" s="2" t="s">
        <v>594</v>
      </c>
      <c r="D2558" s="2" t="str">
        <f t="shared" si="38"/>
        <v>Error?</v>
      </c>
    </row>
    <row r="2559" spans="1:4" x14ac:dyDescent="0.2">
      <c r="A2559" s="5">
        <v>2498</v>
      </c>
      <c r="B2559" s="138">
        <f>'Acct Summary 7-8'!C15</f>
        <v>567019</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10630187</v>
      </c>
      <c r="C2561" s="2" t="s">
        <v>594</v>
      </c>
      <c r="D2561" s="2" t="str">
        <f t="shared" si="39"/>
        <v>Error?</v>
      </c>
    </row>
    <row r="2562" spans="1:4" x14ac:dyDescent="0.2">
      <c r="A2562" s="5">
        <v>2501</v>
      </c>
      <c r="B2562" s="138">
        <f>'Acct Summary 7-8'!C20</f>
        <v>-162919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1474275</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1474275</v>
      </c>
      <c r="C2568" s="2" t="s">
        <v>594</v>
      </c>
      <c r="D2568" s="2" t="str">
        <f t="shared" si="39"/>
        <v>Error?</v>
      </c>
    </row>
    <row r="2569" spans="1:4" x14ac:dyDescent="0.2">
      <c r="A2569" s="5">
        <v>2508</v>
      </c>
      <c r="B2569" s="138">
        <f>'Acct Summary 7-8'!D13</f>
        <v>1548170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4844</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1553014</v>
      </c>
      <c r="C2573" s="2" t="s">
        <v>594</v>
      </c>
      <c r="D2573" s="2" t="str">
        <f t="shared" si="39"/>
        <v>Error?</v>
      </c>
    </row>
    <row r="2574" spans="1:4" x14ac:dyDescent="0.2">
      <c r="A2574" s="5">
        <v>2513</v>
      </c>
      <c r="B2574" s="138">
        <f>'Acct Summary 7-8'!D20</f>
        <v>-78739</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526606</v>
      </c>
      <c r="C2591" s="2" t="s">
        <v>594</v>
      </c>
      <c r="D2591" s="2" t="str">
        <f t="shared" si="39"/>
        <v>Error?</v>
      </c>
    </row>
    <row r="2592" spans="1:4" x14ac:dyDescent="0.2">
      <c r="A2592" s="10">
        <v>2531</v>
      </c>
      <c r="D2592" s="2" t="str">
        <f t="shared" si="39"/>
        <v>OK</v>
      </c>
    </row>
    <row r="2593" spans="1:4" x14ac:dyDescent="0.2">
      <c r="A2593" s="5">
        <v>2532</v>
      </c>
      <c r="B2593" s="138">
        <f>'Acct Summary 7-8'!F6</f>
        <v>567472</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1094078</v>
      </c>
      <c r="C2595" s="2" t="s">
        <v>594</v>
      </c>
      <c r="D2595" s="2" t="str">
        <f t="shared" si="39"/>
        <v>Error?</v>
      </c>
    </row>
    <row r="2596" spans="1:4" x14ac:dyDescent="0.2">
      <c r="A2596" s="5">
        <v>2535</v>
      </c>
      <c r="B2596" s="138">
        <f>'Acct Summary 7-8'!F13</f>
        <v>820040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62302</v>
      </c>
      <c r="C2599" s="2" t="s">
        <v>594</v>
      </c>
      <c r="D2599" s="2" t="str">
        <f t="shared" si="39"/>
        <v>Error?</v>
      </c>
    </row>
    <row r="2600" spans="1:4" x14ac:dyDescent="0.2">
      <c r="A2600" s="5">
        <v>2539</v>
      </c>
      <c r="B2600" s="138">
        <f>'Acct Summary 7-8'!F17</f>
        <v>882342</v>
      </c>
      <c r="C2600" s="2" t="s">
        <v>594</v>
      </c>
      <c r="D2600" s="2" t="str">
        <f t="shared" si="39"/>
        <v>Error?</v>
      </c>
    </row>
    <row r="2601" spans="1:4" x14ac:dyDescent="0.2">
      <c r="A2601" s="5">
        <v>2540</v>
      </c>
      <c r="B2601" s="138">
        <f>'Acct Summary 7-8'!F20</f>
        <v>211736</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332195</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332195</v>
      </c>
      <c r="C2606" s="2" t="s">
        <v>594</v>
      </c>
      <c r="D2606" s="2" t="str">
        <f t="shared" si="39"/>
        <v>Error?</v>
      </c>
    </row>
    <row r="2607" spans="1:4" x14ac:dyDescent="0.2">
      <c r="A2607" s="5">
        <v>2546</v>
      </c>
      <c r="B2607" s="138">
        <f>'Acct Summary 7-8'!G12</f>
        <v>147755</v>
      </c>
      <c r="C2607" s="2" t="s">
        <v>594</v>
      </c>
      <c r="D2607" s="2" t="str">
        <f t="shared" si="39"/>
        <v>Error?</v>
      </c>
    </row>
    <row r="2608" spans="1:4" x14ac:dyDescent="0.2">
      <c r="A2608" s="5">
        <v>2547</v>
      </c>
      <c r="B2608" s="138">
        <f>'Acct Summary 7-8'!G13</f>
        <v>258132</v>
      </c>
      <c r="C2608" s="2" t="s">
        <v>594</v>
      </c>
      <c r="D2608" s="2" t="str">
        <f t="shared" si="39"/>
        <v>Error?</v>
      </c>
    </row>
    <row r="2609" spans="1:4" x14ac:dyDescent="0.2">
      <c r="A2609" s="5">
        <v>2548</v>
      </c>
      <c r="B2609" s="138">
        <f>'Acct Summary 7-8'!G14</f>
        <v>19468</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425355</v>
      </c>
      <c r="C2612" s="2" t="s">
        <v>594</v>
      </c>
      <c r="D2612" s="2" t="str">
        <f t="shared" si="39"/>
        <v>Error?</v>
      </c>
    </row>
    <row r="2613" spans="1:4" x14ac:dyDescent="0.2">
      <c r="A2613" s="5">
        <v>2552</v>
      </c>
      <c r="B2613" s="138">
        <f>'Acct Summary 7-8'!G20</f>
        <v>-93160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746229</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746229</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975778</v>
      </c>
      <c r="C2634" s="2" t="s">
        <v>594</v>
      </c>
      <c r="D2634" s="2" t="str">
        <f t="shared" si="40"/>
        <v>Error?</v>
      </c>
    </row>
    <row r="2635" spans="1:4" x14ac:dyDescent="0.2">
      <c r="A2635" s="5">
        <v>2574</v>
      </c>
      <c r="B2635" s="138">
        <f>'Acct Summary 7-8'!E17</f>
        <v>975778</v>
      </c>
      <c r="C2635" s="2" t="s">
        <v>594</v>
      </c>
      <c r="D2635" s="2" t="str">
        <f t="shared" si="40"/>
        <v>Error?</v>
      </c>
    </row>
    <row r="2636" spans="1:4" x14ac:dyDescent="0.2">
      <c r="A2636" s="5">
        <v>2575</v>
      </c>
      <c r="B2636" s="138">
        <f>'Acct Summary 7-8'!E20</f>
        <v>-229549</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274581</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274581</v>
      </c>
      <c r="C2661" s="2" t="s">
        <v>594</v>
      </c>
      <c r="D2661" s="2" t="str">
        <f t="shared" si="40"/>
        <v>Error?</v>
      </c>
    </row>
    <row r="2662" spans="1:4" x14ac:dyDescent="0.2">
      <c r="A2662" s="5">
        <v>2601</v>
      </c>
      <c r="B2662" s="138">
        <f>'Acct Summary 7-8'!H20</f>
        <v>-274581</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80651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942951</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447444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942951</v>
      </c>
      <c r="D2912" s="2" t="str">
        <f t="shared" si="44"/>
        <v>Error?</v>
      </c>
    </row>
    <row r="2913" spans="1:4" x14ac:dyDescent="0.2">
      <c r="A2913" s="5">
        <v>2852</v>
      </c>
      <c r="B2913" s="138">
        <f>'Assets-Liab 5-6'!I41</f>
        <v>942951</v>
      </c>
      <c r="C2913" s="2" t="s">
        <v>594</v>
      </c>
      <c r="D2913" s="2" t="str">
        <f t="shared" si="44"/>
        <v>Error?</v>
      </c>
    </row>
    <row r="2914" spans="1:4" x14ac:dyDescent="0.2">
      <c r="A2914" s="5">
        <v>2853</v>
      </c>
      <c r="B2914" s="138">
        <f>'Assets-Liab 5-6'!L33</f>
        <v>207365</v>
      </c>
      <c r="D2914" s="2" t="str">
        <f t="shared" si="44"/>
        <v>Error?</v>
      </c>
    </row>
    <row r="2915" spans="1:4" x14ac:dyDescent="0.2">
      <c r="A2915" s="10">
        <v>2854</v>
      </c>
      <c r="D2915" s="2" t="str">
        <f t="shared" si="44"/>
        <v>OK</v>
      </c>
    </row>
    <row r="2916" spans="1:4" x14ac:dyDescent="0.2">
      <c r="A2916" s="5">
        <v>2855</v>
      </c>
      <c r="B2916" s="138">
        <f>'Assets-Liab 5-6'!L34</f>
        <v>207365</v>
      </c>
      <c r="C2916" s="2" t="s">
        <v>594</v>
      </c>
      <c r="D2916" s="2" t="str">
        <f t="shared" si="44"/>
        <v>Error?</v>
      </c>
    </row>
    <row r="2917" spans="1:4" x14ac:dyDescent="0.2">
      <c r="A2917" s="5">
        <v>2856</v>
      </c>
      <c r="B2917" s="138">
        <f>'Assets-Liab 5-6'!L41</f>
        <v>447444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485174</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78229</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3616</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485174</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78229</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3616</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4844</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4844</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95029</v>
      </c>
      <c r="D3055" s="2" t="str">
        <f t="shared" si="46"/>
        <v>Error?</v>
      </c>
    </row>
    <row r="3056" spans="1:4" x14ac:dyDescent="0.2">
      <c r="A3056" s="5">
        <v>2995</v>
      </c>
      <c r="B3056" s="138">
        <f>'Expenditures 15-22'!D10</f>
        <v>20865</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115894</v>
      </c>
      <c r="C3062" s="2" t="s">
        <v>594</v>
      </c>
      <c r="D3062" s="2" t="str">
        <f t="shared" si="46"/>
        <v>Error?</v>
      </c>
    </row>
    <row r="3063" spans="1:4" x14ac:dyDescent="0.2">
      <c r="A3063" s="10">
        <v>3002</v>
      </c>
      <c r="D3063" s="2" t="str">
        <f t="shared" si="46"/>
        <v>OK</v>
      </c>
    </row>
    <row r="3064" spans="1:4" x14ac:dyDescent="0.2">
      <c r="A3064" s="5">
        <v>3003</v>
      </c>
      <c r="B3064" s="138">
        <f>'Expenditures 15-22'!D219</f>
        <v>5286</v>
      </c>
      <c r="D3064" s="2" t="str">
        <f t="shared" si="46"/>
        <v>Error?</v>
      </c>
    </row>
    <row r="3065" spans="1:4" x14ac:dyDescent="0.2">
      <c r="A3065" s="5">
        <v>3004</v>
      </c>
      <c r="B3065" s="138">
        <f>'Expenditures 15-22'!K219</f>
        <v>5286</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240079</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53265</v>
      </c>
      <c r="C3225" s="2" t="s">
        <v>594</v>
      </c>
      <c r="D3225" s="2" t="str">
        <f t="shared" si="49"/>
        <v>Error?</v>
      </c>
    </row>
    <row r="3226" spans="1:4" x14ac:dyDescent="0.2">
      <c r="A3226" s="5">
        <v>3165</v>
      </c>
      <c r="B3226" s="138">
        <f>'Acct Summary 7-8'!I8</f>
        <v>53265</v>
      </c>
      <c r="C3226" s="2" t="s">
        <v>594</v>
      </c>
      <c r="D3226" s="2" t="str">
        <f t="shared" si="49"/>
        <v>Error?</v>
      </c>
    </row>
    <row r="3227" spans="1:4" x14ac:dyDescent="0.2">
      <c r="A3227" s="5">
        <v>3166</v>
      </c>
      <c r="B3227" s="138">
        <f>'Acct Summary 7-8'!I20</f>
        <v>53265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-162919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-78739</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211736</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-93160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-229549</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-274581</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53265</v>
      </c>
      <c r="C3320" s="2" t="s">
        <v>594</v>
      </c>
      <c r="D3320" s="2" t="str">
        <f t="shared" si="50"/>
        <v>Error?</v>
      </c>
    </row>
    <row r="3321" spans="1:4" x14ac:dyDescent="0.2">
      <c r="A3321" s="5">
        <v>3260</v>
      </c>
      <c r="B3321" s="138">
        <f>'Acct Summary 7-8'!I79</f>
        <v>889686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942951</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486750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92547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16549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3729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599784</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70809</v>
      </c>
      <c r="D3387" s="2" t="str">
        <f t="shared" si="51"/>
        <v>Error?</v>
      </c>
    </row>
    <row r="3388" spans="1:4" x14ac:dyDescent="0.2">
      <c r="A3388" s="5">
        <v>3327</v>
      </c>
      <c r="B3388" s="138">
        <f>'Expenditures 15-22'!D217</f>
        <v>55342</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70809</v>
      </c>
      <c r="C3390" s="2" t="s">
        <v>594</v>
      </c>
      <c r="D3390" s="2" t="str">
        <f t="shared" si="51"/>
        <v>Error?</v>
      </c>
    </row>
    <row r="3391" spans="1:4" x14ac:dyDescent="0.2">
      <c r="A3391" s="5">
        <v>3330</v>
      </c>
      <c r="B3391" s="138">
        <f>'Expenditures 15-22'!K217</f>
        <v>55342</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182948</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4182197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1880412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2135284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388708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862300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447444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272301</v>
      </c>
      <c r="C3446" s="2" t="s">
        <v>594</v>
      </c>
      <c r="D3446" s="2" t="str">
        <f t="shared" si="52"/>
        <v>Error?</v>
      </c>
    </row>
    <row r="3447" spans="1:4" x14ac:dyDescent="0.2">
      <c r="A3447" s="5">
        <v>3386</v>
      </c>
      <c r="B3447" s="138">
        <f>'Tax Sched 23'!D16</f>
        <v>130491</v>
      </c>
      <c r="C3447" s="2" t="s">
        <v>594</v>
      </c>
      <c r="D3447" s="2" t="str">
        <f t="shared" si="52"/>
        <v>Error?</v>
      </c>
    </row>
    <row r="3448" spans="1:4" x14ac:dyDescent="0.2">
      <c r="A3448" s="5">
        <v>3387</v>
      </c>
      <c r="B3448" s="138">
        <f>'Tax Sched 23'!C16</f>
        <v>141810</v>
      </c>
      <c r="D3448" s="2" t="str">
        <f t="shared" si="52"/>
        <v>Error?</v>
      </c>
    </row>
    <row r="3449" spans="1:4" x14ac:dyDescent="0.2">
      <c r="A3449" s="5">
        <v>3388</v>
      </c>
      <c r="B3449" s="138">
        <f>'Tax Sched 23'!F16</f>
        <v>131026</v>
      </c>
      <c r="C3449" s="2" t="s">
        <v>594</v>
      </c>
      <c r="D3449" s="2" t="str">
        <f t="shared" si="52"/>
        <v>Error?</v>
      </c>
    </row>
    <row r="3450" spans="1:4" x14ac:dyDescent="0.2">
      <c r="A3450" s="5">
        <v>3389</v>
      </c>
      <c r="B3450" s="138">
        <f>'Tax Sched 23'!E16</f>
        <v>272836</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255186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61404</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316590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316590</v>
      </c>
      <c r="D3567" s="2" t="str">
        <f t="shared" si="54"/>
        <v>Error?</v>
      </c>
    </row>
    <row r="3568" spans="1:4" x14ac:dyDescent="0.2">
      <c r="A3568" s="5">
        <v>3507</v>
      </c>
      <c r="B3568" s="138">
        <f>'Assets-Liab 5-6'!K41</f>
        <v>316590</v>
      </c>
      <c r="C3568" s="2" t="s">
        <v>594</v>
      </c>
      <c r="D3568" s="2" t="str">
        <f t="shared" si="54"/>
        <v>Error?</v>
      </c>
    </row>
    <row r="3569" spans="1:4" x14ac:dyDescent="0.2">
      <c r="A3569" s="5">
        <v>3508</v>
      </c>
      <c r="B3569" s="138">
        <f>'Acct Summary 7-8'!K4</f>
        <v>143916</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143916</v>
      </c>
      <c r="C3571" s="2" t="s">
        <v>594</v>
      </c>
      <c r="D3571" s="2" t="str">
        <f t="shared" si="54"/>
        <v>Error?</v>
      </c>
    </row>
    <row r="3572" spans="1:4" x14ac:dyDescent="0.2">
      <c r="A3572" s="5">
        <v>3511</v>
      </c>
      <c r="B3572" s="138">
        <f>'Acct Summary 7-8'!K13</f>
        <v>52798</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52798</v>
      </c>
      <c r="C3575" s="2" t="s">
        <v>594</v>
      </c>
      <c r="D3575" s="2" t="str">
        <f t="shared" si="54"/>
        <v>Error?</v>
      </c>
    </row>
    <row r="3576" spans="1:4" x14ac:dyDescent="0.2">
      <c r="A3576" s="5">
        <v>3515</v>
      </c>
      <c r="B3576" s="138">
        <f>'Acct Summary 7-8'!K20</f>
        <v>91118</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91118</v>
      </c>
      <c r="C3588" s="2" t="s">
        <v>594</v>
      </c>
      <c r="D3588" s="2" t="str">
        <f t="shared" si="55"/>
        <v>Error?</v>
      </c>
    </row>
    <row r="3589" spans="1:4" x14ac:dyDescent="0.2">
      <c r="A3589" s="5">
        <v>3528</v>
      </c>
      <c r="B3589" s="138">
        <f>'Acct Summary 7-8'!K79</f>
        <v>225472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316590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4948</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4948</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4948</v>
      </c>
      <c r="C3635" s="2" t="s">
        <v>594</v>
      </c>
      <c r="D3635" s="2" t="str">
        <f t="shared" si="55"/>
        <v>Error?</v>
      </c>
    </row>
    <row r="3636" spans="1:4" x14ac:dyDescent="0.2">
      <c r="A3636" s="5">
        <v>3575</v>
      </c>
      <c r="B3636" s="138">
        <f>'Expenditures 15-22'!E367</f>
        <v>4948</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41874</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41874</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41874</v>
      </c>
      <c r="C3649" s="2" t="s">
        <v>594</v>
      </c>
      <c r="D3649" s="2" t="str">
        <f t="shared" si="56"/>
        <v>Error?</v>
      </c>
    </row>
    <row r="3650" spans="1:4" x14ac:dyDescent="0.2">
      <c r="A3650" s="5">
        <v>3589</v>
      </c>
      <c r="B3650" s="138">
        <f>'Expenditures 15-22'!G367</f>
        <v>41874</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5976</v>
      </c>
      <c r="D3653" s="2" t="str">
        <f t="shared" si="56"/>
        <v>Error?</v>
      </c>
    </row>
    <row r="3654" spans="1:4" x14ac:dyDescent="0.2">
      <c r="A3654" s="5">
        <v>3593</v>
      </c>
      <c r="B3654" s="138">
        <f>'Expenditures 15-22'!H350</f>
        <v>5976</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5976</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5976</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46822</v>
      </c>
      <c r="C3668" s="2" t="s">
        <v>594</v>
      </c>
      <c r="D3668" s="2" t="str">
        <f t="shared" si="56"/>
        <v>Error?</v>
      </c>
    </row>
    <row r="3669" spans="1:4" x14ac:dyDescent="0.2">
      <c r="A3669" s="5">
        <v>3608</v>
      </c>
      <c r="B3669" s="138">
        <f>'Expenditures 15-22'!K349</f>
        <v>5976</v>
      </c>
      <c r="C3669" s="2" t="s">
        <v>594</v>
      </c>
      <c r="D3669" s="2" t="str">
        <f t="shared" si="56"/>
        <v>Error?</v>
      </c>
    </row>
    <row r="3670" spans="1:4" x14ac:dyDescent="0.2">
      <c r="A3670" s="5">
        <v>3609</v>
      </c>
      <c r="B3670" s="138">
        <f>'Expenditures 15-22'!K350</f>
        <v>52798</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52798</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52798</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91118</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283352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6548281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17015549</v>
      </c>
      <c r="C4122" s="2" t="s">
        <v>594</v>
      </c>
      <c r="D4122" s="2" t="str">
        <f t="shared" si="63"/>
        <v>Error?</v>
      </c>
    </row>
    <row r="4123" spans="1:4" x14ac:dyDescent="0.2">
      <c r="A4123" s="5">
        <v>4062</v>
      </c>
      <c r="B4123" s="138">
        <f>'Acct Summary 7-8'!D10</f>
        <v>1474275</v>
      </c>
      <c r="C4123" s="2" t="s">
        <v>594</v>
      </c>
      <c r="D4123" s="2" t="str">
        <f t="shared" si="63"/>
        <v>Error?</v>
      </c>
    </row>
    <row r="4124" spans="1:4" x14ac:dyDescent="0.2">
      <c r="A4124" s="5">
        <v>4063</v>
      </c>
      <c r="B4124" s="138">
        <f>'Acct Summary 7-8'!E10</f>
        <v>746229</v>
      </c>
      <c r="C4124" s="2" t="s">
        <v>594</v>
      </c>
      <c r="D4124" s="2" t="str">
        <f t="shared" si="63"/>
        <v>Error?</v>
      </c>
    </row>
    <row r="4125" spans="1:4" x14ac:dyDescent="0.2">
      <c r="A4125" s="5">
        <v>4064</v>
      </c>
      <c r="B4125" s="138">
        <f>'Acct Summary 7-8'!F10</f>
        <v>1094078</v>
      </c>
      <c r="C4125" s="2" t="s">
        <v>594</v>
      </c>
      <c r="D4125" s="2" t="str">
        <f t="shared" si="63"/>
        <v>Error?</v>
      </c>
    </row>
    <row r="4126" spans="1:4" x14ac:dyDescent="0.2">
      <c r="A4126" s="5">
        <v>4065</v>
      </c>
      <c r="B4126" s="138">
        <f>'Acct Summary 7-8'!G10</f>
        <v>332195</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53265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143916</v>
      </c>
      <c r="C4130" s="2" t="s">
        <v>594</v>
      </c>
      <c r="D4130" s="2" t="str">
        <f t="shared" si="63"/>
        <v>Error?</v>
      </c>
    </row>
    <row r="4131" spans="1:4" x14ac:dyDescent="0.2">
      <c r="A4131" s="5">
        <v>4070</v>
      </c>
      <c r="B4131" s="138">
        <f>'Acct Summary 7-8'!C18</f>
        <v>6548281</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17178468</v>
      </c>
      <c r="C4136" s="2" t="s">
        <v>594</v>
      </c>
      <c r="D4136" s="2" t="str">
        <f t="shared" si="63"/>
        <v>Error?</v>
      </c>
    </row>
    <row r="4137" spans="1:4" x14ac:dyDescent="0.2">
      <c r="A4137" s="5">
        <v>4076</v>
      </c>
      <c r="B4137" s="138">
        <f>'Acct Summary 7-8'!D19</f>
        <v>1553014</v>
      </c>
      <c r="C4137" s="2" t="s">
        <v>594</v>
      </c>
      <c r="D4137" s="2" t="str">
        <f t="shared" si="63"/>
        <v>Error?</v>
      </c>
    </row>
    <row r="4138" spans="1:4" x14ac:dyDescent="0.2">
      <c r="A4138" s="5">
        <v>4077</v>
      </c>
      <c r="B4138" s="138">
        <f>'Acct Summary 7-8'!E19</f>
        <v>975778</v>
      </c>
      <c r="C4138" s="2" t="s">
        <v>594</v>
      </c>
      <c r="D4138" s="2" t="str">
        <f t="shared" si="63"/>
        <v>Error?</v>
      </c>
    </row>
    <row r="4139" spans="1:4" x14ac:dyDescent="0.2">
      <c r="A4139" s="5">
        <v>4078</v>
      </c>
      <c r="B4139" s="138">
        <f>'Acct Summary 7-8'!F19</f>
        <v>882342</v>
      </c>
      <c r="C4139" s="2" t="s">
        <v>594</v>
      </c>
      <c r="D4139" s="2" t="str">
        <f t="shared" si="63"/>
        <v>Error?</v>
      </c>
    </row>
    <row r="4140" spans="1:4" x14ac:dyDescent="0.2">
      <c r="A4140" s="5">
        <v>4079</v>
      </c>
      <c r="B4140" s="138">
        <f>'Acct Summary 7-8'!G19</f>
        <v>425355</v>
      </c>
      <c r="C4140" s="2" t="s">
        <v>594</v>
      </c>
      <c r="D4140" s="2" t="str">
        <f t="shared" si="63"/>
        <v>Error?</v>
      </c>
    </row>
    <row r="4141" spans="1:4" x14ac:dyDescent="0.2">
      <c r="A4141" s="5">
        <v>4080</v>
      </c>
      <c r="B4141" s="138">
        <f>'Acct Summary 7-8'!H19</f>
        <v>274581</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52798</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4000000</v>
      </c>
      <c r="C4171" s="2" t="s">
        <v>594</v>
      </c>
      <c r="D4171" s="2" t="str">
        <f t="shared" si="64"/>
        <v>Error?</v>
      </c>
    </row>
    <row r="4172" spans="1:4" x14ac:dyDescent="0.2">
      <c r="A4172" s="5">
        <v>4111</v>
      </c>
      <c r="B4172" s="138">
        <f>'Short-Term Long-Term Debt 24'!J49</f>
        <v>4000000</v>
      </c>
      <c r="C4172" s="2" t="s">
        <v>594</v>
      </c>
      <c r="D4172" s="2" t="str">
        <f t="shared" si="64"/>
        <v>Error?</v>
      </c>
    </row>
    <row r="4173" spans="1:4" x14ac:dyDescent="0.2">
      <c r="A4173" s="5">
        <v>4112</v>
      </c>
      <c r="B4173" s="138">
        <f>'Short-Term Long-Term Debt 24'!H49</f>
        <v>920162</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60162</v>
      </c>
      <c r="D4210" s="2" t="str">
        <f t="shared" si="64"/>
        <v>Error?</v>
      </c>
    </row>
    <row r="4211" spans="1:4" x14ac:dyDescent="0.2">
      <c r="A4211" s="5">
        <v>4150</v>
      </c>
      <c r="B4211" s="138">
        <f>'Expenditures 15-22'!K206</f>
        <v>60162</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3157.2999999999997</v>
      </c>
      <c r="C4265" s="2" t="s">
        <v>594</v>
      </c>
      <c r="D4265" s="2" t="str">
        <f t="shared" si="65"/>
        <v>Error?</v>
      </c>
      <c r="E4265" s="128"/>
    </row>
    <row r="4266" spans="1:5" x14ac:dyDescent="0.2">
      <c r="A4266" s="12">
        <v>4205</v>
      </c>
      <c r="B4266" s="138">
        <f>('FP Info 3'!F10)*100000</f>
        <v>660.4</v>
      </c>
      <c r="C4266" s="2" t="s">
        <v>594</v>
      </c>
      <c r="D4266" s="2" t="str">
        <f t="shared" si="65"/>
        <v>Error?</v>
      </c>
      <c r="E4266" s="128"/>
    </row>
    <row r="4267" spans="1:5" x14ac:dyDescent="0.2">
      <c r="A4267" s="12">
        <v>4206</v>
      </c>
      <c r="B4267" s="138">
        <f>('FP Info 3'!H10)*100000</f>
        <v>233.3</v>
      </c>
      <c r="C4267" s="2" t="s">
        <v>594</v>
      </c>
      <c r="D4267" s="2" t="str">
        <f t="shared" si="65"/>
        <v>Error?</v>
      </c>
      <c r="E4267" s="128"/>
    </row>
    <row r="4268" spans="1:5" x14ac:dyDescent="0.2">
      <c r="A4268" s="12">
        <v>4207</v>
      </c>
      <c r="B4268" s="138">
        <f>('FP Info 3'!J10)*100000</f>
        <v>4050.9999999999995</v>
      </c>
      <c r="C4268" s="2" t="s">
        <v>594</v>
      </c>
      <c r="D4268" s="2" t="str">
        <f t="shared" si="65"/>
        <v>Error?</v>
      </c>
    </row>
    <row r="4269" spans="1:5" x14ac:dyDescent="0.2">
      <c r="A4269" s="12">
        <v>4208</v>
      </c>
      <c r="B4269" s="138">
        <f>'FP Info 3'!J16</f>
        <v>11465074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36968</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32379</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24.8</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12274</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220384118</v>
      </c>
      <c r="D4995" s="2" t="str">
        <f t="shared" si="77"/>
        <v>Error?</v>
      </c>
    </row>
    <row r="4996" spans="1:4" x14ac:dyDescent="0.2">
      <c r="A4996" s="12">
        <v>4935</v>
      </c>
      <c r="B4996" s="138">
        <f>'FP Info 3'!H31</f>
        <v>30413008.284000002</v>
      </c>
      <c r="D4996" s="2" t="str">
        <f t="shared" si="77"/>
        <v>Error?</v>
      </c>
    </row>
    <row r="4997" spans="1:4" x14ac:dyDescent="0.2">
      <c r="A4997" s="12">
        <v>4936</v>
      </c>
      <c r="B4997" s="138">
        <f>'FP Info 3'!H37</f>
        <v>4000000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6646398</v>
      </c>
      <c r="D5061" s="2" t="str">
        <f t="shared" si="78"/>
        <v>Error?</v>
      </c>
    </row>
    <row r="5062" spans="1:4" x14ac:dyDescent="0.2">
      <c r="A5062" s="10">
        <v>5001</v>
      </c>
      <c r="D5062" s="2" t="str">
        <f t="shared" si="78"/>
        <v>OK</v>
      </c>
    </row>
    <row r="5063" spans="1:4" x14ac:dyDescent="0.2">
      <c r="A5063" s="5">
        <v>5002</v>
      </c>
      <c r="B5063" s="138">
        <f>'Revenues 9-14'!C7</f>
        <v>100213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6746611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74475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74475</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120519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120519</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7015</v>
      </c>
      <c r="D5094" s="2" t="str">
        <f t="shared" si="78"/>
        <v>Error?</v>
      </c>
    </row>
    <row r="5095" spans="1:4" x14ac:dyDescent="0.2">
      <c r="A5095" s="5">
        <v>5034</v>
      </c>
      <c r="B5095" s="138">
        <f>'Revenues 9-14'!C74</f>
        <v>4325</v>
      </c>
      <c r="D5095" s="2" t="str">
        <f t="shared" si="78"/>
        <v>Error?</v>
      </c>
    </row>
    <row r="5096" spans="1:4" x14ac:dyDescent="0.2">
      <c r="A5096" s="5">
        <v>5035</v>
      </c>
      <c r="B5096" s="138">
        <f>'Revenues 9-14'!C75</f>
        <v>393875</v>
      </c>
      <c r="C5096" s="2" t="s">
        <v>594</v>
      </c>
      <c r="D5096" s="2" t="str">
        <f t="shared" si="78"/>
        <v>Error?</v>
      </c>
    </row>
    <row r="5097" spans="1:4" x14ac:dyDescent="0.2">
      <c r="A5097" s="5">
        <v>5036</v>
      </c>
      <c r="B5097" s="138">
        <f>'Revenues 9-14'!C77</f>
        <v>38133</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18965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1087</v>
      </c>
      <c r="D5101" s="2" t="str">
        <f t="shared" si="78"/>
        <v>Error?</v>
      </c>
    </row>
    <row r="5102" spans="1:4" x14ac:dyDescent="0.2">
      <c r="A5102" s="5">
        <v>5041</v>
      </c>
      <c r="B5102" s="138">
        <f>'Revenues 9-14'!C82</f>
        <v>58185</v>
      </c>
      <c r="C5102" s="2" t="s">
        <v>594</v>
      </c>
      <c r="D5102" s="2" t="str">
        <f t="shared" si="78"/>
        <v>Error?</v>
      </c>
    </row>
    <row r="5103" spans="1:4" x14ac:dyDescent="0.2">
      <c r="A5103" s="5">
        <v>5042</v>
      </c>
      <c r="B5103" s="138">
        <f>'Revenues 9-14'!C84</f>
        <v>102541</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6736</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109277</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783</v>
      </c>
      <c r="D5114" s="2" t="str">
        <f t="shared" si="78"/>
        <v>Error?</v>
      </c>
    </row>
    <row r="5115" spans="1:4" x14ac:dyDescent="0.2">
      <c r="A5115" s="5">
        <v>5054</v>
      </c>
      <c r="B5115" s="138">
        <f>'Revenues 9-14'!C98</f>
        <v>1550</v>
      </c>
      <c r="D5115" s="2" t="str">
        <f t="shared" si="78"/>
        <v>Error?</v>
      </c>
    </row>
    <row r="5116" spans="1:4" x14ac:dyDescent="0.2">
      <c r="A5116" s="5">
        <v>5055</v>
      </c>
      <c r="B5116" s="138">
        <f>'Revenues 9-14'!C99</f>
        <v>153841</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292256</v>
      </c>
      <c r="D5118" s="2" t="str">
        <f t="shared" si="78"/>
        <v>Error?</v>
      </c>
    </row>
    <row r="5119" spans="1:4" x14ac:dyDescent="0.2">
      <c r="A5119" s="5">
        <v>5058</v>
      </c>
      <c r="B5119" s="138">
        <f>'Revenues 9-14'!C107</f>
        <v>177</v>
      </c>
      <c r="D5119" s="2" t="str">
        <f t="shared" ref="D5119:D5182" si="79">IF(ISBLANK(B5119),"OK",IF(A5119-B5119=0,"OK","Error?"))</f>
        <v>Error?</v>
      </c>
    </row>
    <row r="5120" spans="1:4" x14ac:dyDescent="0.2">
      <c r="A5120" s="5">
        <v>5059</v>
      </c>
      <c r="B5120" s="138">
        <f>'Revenues 9-14'!C108</f>
        <v>452271</v>
      </c>
      <c r="C5120" s="2" t="s">
        <v>594</v>
      </c>
      <c r="D5120" s="2" t="str">
        <f t="shared" si="79"/>
        <v>Error?</v>
      </c>
    </row>
    <row r="5121" spans="1:4" x14ac:dyDescent="0.2">
      <c r="A5121" s="5">
        <v>5060</v>
      </c>
      <c r="B5121" s="138">
        <f>'Revenues 9-14'!C109</f>
        <v>7955213</v>
      </c>
      <c r="C5121" s="2" t="s">
        <v>594</v>
      </c>
      <c r="D5121" s="2" t="str">
        <f t="shared" si="79"/>
        <v>Error?</v>
      </c>
    </row>
    <row r="5122" spans="1:4" x14ac:dyDescent="0.2">
      <c r="A5122" s="5">
        <v>5061</v>
      </c>
      <c r="B5122" s="138">
        <f>'Revenues 9-14'!C111</f>
        <v>28713</v>
      </c>
      <c r="D5122" s="2" t="str">
        <f t="shared" si="79"/>
        <v>Error?</v>
      </c>
    </row>
    <row r="5123" spans="1:4" x14ac:dyDescent="0.2">
      <c r="A5123" s="5">
        <v>5062</v>
      </c>
      <c r="B5123" s="138">
        <f>'Revenues 9-14'!C112</f>
        <v>154235</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182948</v>
      </c>
      <c r="C5125" s="2" t="s">
        <v>594</v>
      </c>
      <c r="D5125" s="2" t="str">
        <f t="shared" si="79"/>
        <v>Error?</v>
      </c>
    </row>
    <row r="5126" spans="1:4" x14ac:dyDescent="0.2">
      <c r="A5126" s="5">
        <v>5065</v>
      </c>
      <c r="B5126" s="138">
        <f>'Revenues 9-14'!C117</f>
        <v>1662147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1662147</v>
      </c>
      <c r="C5132" s="2" t="s">
        <v>594</v>
      </c>
      <c r="D5132" s="2" t="str">
        <f t="shared" si="79"/>
        <v>Error?</v>
      </c>
    </row>
    <row r="5133" spans="1:4" x14ac:dyDescent="0.2">
      <c r="A5133" s="5">
        <v>5072</v>
      </c>
      <c r="B5133" s="138">
        <f>'Revenues 9-14'!C124</f>
        <v>677</v>
      </c>
      <c r="D5133" s="2" t="str">
        <f t="shared" si="79"/>
        <v>Error?</v>
      </c>
    </row>
    <row r="5134" spans="1:4" x14ac:dyDescent="0.2">
      <c r="A5134" s="5">
        <v>5073</v>
      </c>
      <c r="B5134" s="138">
        <f>'Revenues 9-14'!C125</f>
        <v>77052</v>
      </c>
      <c r="D5134" s="2" t="str">
        <f t="shared" si="79"/>
        <v>Error?</v>
      </c>
    </row>
    <row r="5135" spans="1:4" x14ac:dyDescent="0.2">
      <c r="A5135" s="5">
        <v>5074</v>
      </c>
      <c r="B5135" s="138">
        <f>'Revenues 9-14'!C126</f>
        <v>30159</v>
      </c>
      <c r="D5135" s="2" t="str">
        <f t="shared" si="79"/>
        <v>Error?</v>
      </c>
    </row>
    <row r="5136" spans="1:4" x14ac:dyDescent="0.2">
      <c r="A5136" s="10">
        <v>5075</v>
      </c>
      <c r="D5136" s="2" t="str">
        <f t="shared" si="79"/>
        <v>OK</v>
      </c>
    </row>
    <row r="5137" spans="1:4" x14ac:dyDescent="0.2">
      <c r="A5137" s="5">
        <v>5076</v>
      </c>
      <c r="B5137" s="138">
        <f>'Revenues 9-14'!C127</f>
        <v>10686</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73</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118647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4041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912</v>
      </c>
      <c r="D5167" s="2" t="str">
        <f t="shared" si="79"/>
        <v>Error?</v>
      </c>
    </row>
    <row r="5168" spans="1:4" x14ac:dyDescent="0.2">
      <c r="A5168" s="5">
        <v>5107</v>
      </c>
      <c r="B5168" s="138">
        <f>'Revenues 9-14'!C147</f>
        <v>29249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147482</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312605</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1974752</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94621</v>
      </c>
      <c r="D5239" s="2" t="str">
        <f t="shared" si="80"/>
        <v>Error?</v>
      </c>
    </row>
    <row r="5240" spans="1:4" x14ac:dyDescent="0.2">
      <c r="A5240" s="5">
        <v>5179</v>
      </c>
      <c r="B5240" s="138">
        <f>'Revenues 9-14'!C195</f>
        <v>3578</v>
      </c>
      <c r="D5240" s="2" t="str">
        <f t="shared" si="80"/>
        <v>Error?</v>
      </c>
    </row>
    <row r="5241" spans="1:4" x14ac:dyDescent="0.2">
      <c r="A5241" s="5">
        <v>5180</v>
      </c>
      <c r="B5241" s="138">
        <f>'Revenues 9-14'!C196</f>
        <v>11400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109599</v>
      </c>
      <c r="C5246" s="2" t="s">
        <v>594</v>
      </c>
      <c r="D5246" s="2" t="str">
        <f t="shared" si="80"/>
        <v>Error?</v>
      </c>
    </row>
    <row r="5247" spans="1:4" x14ac:dyDescent="0.2">
      <c r="A5247" s="5">
        <v>5186</v>
      </c>
      <c r="B5247" s="138">
        <f>'Revenues 9-14'!C203</f>
        <v>114217</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114217</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61192</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61192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354355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354355</v>
      </c>
      <c r="C5326" s="2" t="s">
        <v>594</v>
      </c>
      <c r="D5326" s="2" t="str">
        <f t="shared" si="82"/>
        <v>Error?</v>
      </c>
    </row>
    <row r="5327" spans="1:4" x14ac:dyDescent="0.2">
      <c r="A5327" s="5">
        <v>5266</v>
      </c>
      <c r="B5327" s="138">
        <f>'Revenues 9-14'!C275</f>
        <v>10467268</v>
      </c>
      <c r="C5327" s="2" t="s">
        <v>594</v>
      </c>
      <c r="D5327" s="2" t="str">
        <f t="shared" si="82"/>
        <v>Error?</v>
      </c>
    </row>
    <row r="5328" spans="1:4" x14ac:dyDescent="0.2">
      <c r="A5328" s="5">
        <v>5267</v>
      </c>
      <c r="B5328" s="138">
        <f>'Revenues 9-14'!D5</f>
        <v>1372475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1372475</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2925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2925</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63046</v>
      </c>
      <c r="D5349" s="2" t="str">
        <f t="shared" si="82"/>
        <v>Error?</v>
      </c>
    </row>
    <row r="5350" spans="1:4" x14ac:dyDescent="0.2">
      <c r="A5350" s="5">
        <v>5289</v>
      </c>
      <c r="B5350" s="138">
        <f>'Revenues 9-14'!D96</f>
        <v>10000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16359</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98875</v>
      </c>
      <c r="C5355" s="2" t="s">
        <v>594</v>
      </c>
      <c r="D5355" s="2" t="str">
        <f t="shared" si="82"/>
        <v>Error?</v>
      </c>
    </row>
    <row r="5356" spans="1:4" x14ac:dyDescent="0.2">
      <c r="A5356" s="5">
        <v>5295</v>
      </c>
      <c r="B5356" s="138">
        <f>'Revenues 9-14'!D109</f>
        <v>1474275</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1474275</v>
      </c>
      <c r="C5508" s="2" t="s">
        <v>594</v>
      </c>
      <c r="D5508" s="2" t="str">
        <f t="shared" si="85"/>
        <v>Error?</v>
      </c>
    </row>
    <row r="5509" spans="1:4" x14ac:dyDescent="0.2">
      <c r="A5509" s="5">
        <v>5448</v>
      </c>
      <c r="B5509" s="138">
        <f>'Revenues 9-14'!E5</f>
        <v>745836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745836</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393</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393</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746229</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746229</v>
      </c>
      <c r="C5552" s="2" t="s">
        <v>594</v>
      </c>
      <c r="D5552" s="2" t="str">
        <f t="shared" si="85"/>
        <v>Error?</v>
      </c>
    </row>
    <row r="5553" spans="1:4" x14ac:dyDescent="0.2">
      <c r="A5553" s="5">
        <v>5492</v>
      </c>
      <c r="B5553" s="138">
        <f>'Revenues 9-14'!F5</f>
        <v>477956</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477956</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45000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45000</v>
      </c>
      <c r="C5579" s="2" t="s">
        <v>594</v>
      </c>
      <c r="D5579" s="2" t="str">
        <f t="shared" si="86"/>
        <v>Error?</v>
      </c>
    </row>
    <row r="5580" spans="1:4" x14ac:dyDescent="0.2">
      <c r="A5580" s="5">
        <v>5519</v>
      </c>
      <c r="B5580" s="138">
        <f>'Revenues 9-14'!F65</f>
        <v>1830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1830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1820</v>
      </c>
      <c r="D5586" s="2" t="str">
        <f t="shared" si="86"/>
        <v>Error?</v>
      </c>
    </row>
    <row r="5587" spans="1:4" x14ac:dyDescent="0.2">
      <c r="A5587" s="5">
        <v>5526</v>
      </c>
      <c r="B5587" s="138">
        <f>'Revenues 9-14'!F108</f>
        <v>1820</v>
      </c>
      <c r="C5587" s="2" t="s">
        <v>594</v>
      </c>
      <c r="D5587" s="2" t="str">
        <f t="shared" si="86"/>
        <v>Error?</v>
      </c>
    </row>
    <row r="5588" spans="1:4" x14ac:dyDescent="0.2">
      <c r="A5588" s="5">
        <v>5527</v>
      </c>
      <c r="B5588" s="138">
        <f>'Revenues 9-14'!F109</f>
        <v>526606</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477881</v>
      </c>
      <c r="D5615" s="2" t="str">
        <f t="shared" si="86"/>
        <v>Error?</v>
      </c>
    </row>
    <row r="5616" spans="1:4" x14ac:dyDescent="0.2">
      <c r="A5616" s="10">
        <v>5555</v>
      </c>
      <c r="D5616" s="2" t="str">
        <f t="shared" si="86"/>
        <v>OK</v>
      </c>
    </row>
    <row r="5617" spans="1:4" x14ac:dyDescent="0.2">
      <c r="A5617" s="5">
        <v>5556</v>
      </c>
      <c r="B5617" s="138">
        <f>'Revenues 9-14'!F152</f>
        <v>89591</v>
      </c>
      <c r="D5617" s="2" t="str">
        <f t="shared" si="86"/>
        <v>Error?</v>
      </c>
    </row>
    <row r="5618" spans="1:4" x14ac:dyDescent="0.2">
      <c r="A5618" s="5">
        <v>5557</v>
      </c>
      <c r="B5618" s="138">
        <f>'Revenues 9-14'!F154</f>
        <v>567472</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567472</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567472</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1094078</v>
      </c>
      <c r="C5720" s="2" t="s">
        <v>594</v>
      </c>
      <c r="D5720" s="2" t="str">
        <f t="shared" si="88"/>
        <v>Error?</v>
      </c>
    </row>
    <row r="5721" spans="1:4" x14ac:dyDescent="0.2">
      <c r="A5721" s="5">
        <v>5660</v>
      </c>
      <c r="B5721" s="138">
        <f>'Revenues 9-14'!G5</f>
        <v>54524</v>
      </c>
      <c r="D5721" s="2" t="str">
        <f t="shared" si="88"/>
        <v>Error?</v>
      </c>
    </row>
    <row r="5722" spans="1:4" x14ac:dyDescent="0.2">
      <c r="A5722" s="5">
        <v>5661</v>
      </c>
      <c r="B5722" s="138">
        <f>'Revenues 9-14'!G7</f>
        <v>0</v>
      </c>
      <c r="D5722" s="2" t="str">
        <f t="shared" si="88"/>
        <v>Error?</v>
      </c>
    </row>
    <row r="5723" spans="1:4" x14ac:dyDescent="0.2">
      <c r="A5723" s="5">
        <v>5662</v>
      </c>
      <c r="B5723" s="138">
        <f>'Revenues 9-14'!G8</f>
        <v>272301</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326825</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2200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2200</v>
      </c>
      <c r="C5730" s="2" t="s">
        <v>594</v>
      </c>
      <c r="D5730" s="2" t="str">
        <f t="shared" si="88"/>
        <v>Error?</v>
      </c>
    </row>
    <row r="5731" spans="1:4" x14ac:dyDescent="0.2">
      <c r="A5731" s="5">
        <v>5670</v>
      </c>
      <c r="B5731" s="138">
        <f>'Revenues 9-14'!G65</f>
        <v>3170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3170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332195</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52558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52558</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707</v>
      </c>
      <c r="D5924" s="2" t="str">
        <f t="shared" si="91"/>
        <v>Error?</v>
      </c>
    </row>
    <row r="5925" spans="1:4" x14ac:dyDescent="0.2">
      <c r="A5925" s="5">
        <v>5864</v>
      </c>
      <c r="B5925" s="138">
        <f>'Revenues 9-14'!I66</f>
        <v>0</v>
      </c>
      <c r="D5925" s="2" t="str">
        <f t="shared" si="91"/>
        <v>Error?</v>
      </c>
    </row>
    <row r="5926" spans="1:4" x14ac:dyDescent="0.2">
      <c r="A5926" s="5">
        <v>5865</v>
      </c>
      <c r="B5926" s="138">
        <f>'Revenues 9-14'!I67</f>
        <v>707</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53265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143610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143610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306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306</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143916</v>
      </c>
      <c r="C6023" s="2" t="s">
        <v>594</v>
      </c>
      <c r="D6023" s="2" t="str">
        <f t="shared" si="93"/>
        <v>Error?</v>
      </c>
    </row>
    <row r="6024" spans="1:5" x14ac:dyDescent="0.2">
      <c r="A6024" s="5">
        <v>5963</v>
      </c>
      <c r="B6024" s="138">
        <f>'Revenues 9-14'!G109</f>
        <v>332195</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53265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143916</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382535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33944</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1165.5899999999999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277814</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12252</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4460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277814</v>
      </c>
      <c r="D6215" s="2" t="str">
        <f t="shared" si="96"/>
        <v>Error?</v>
      </c>
      <c r="E6215" s="2" t="s">
        <v>199</v>
      </c>
    </row>
    <row r="6216" spans="1:5" x14ac:dyDescent="0.2">
      <c r="A6216">
        <v>6155</v>
      </c>
      <c r="B6216" s="138">
        <f>'Assets-Liab 5-6'!J41</f>
        <v>277814</v>
      </c>
      <c r="D6216" s="2" t="str">
        <f t="shared" si="96"/>
        <v>Error?</v>
      </c>
      <c r="E6216" s="2" t="s">
        <v>199</v>
      </c>
    </row>
    <row r="6217" spans="1:5" x14ac:dyDescent="0.2">
      <c r="A6217">
        <v>6156</v>
      </c>
      <c r="B6217" s="138">
        <f>'Assets-Liab 5-6'!J4</f>
        <v>120210</v>
      </c>
      <c r="D6217" s="2" t="str">
        <f t="shared" si="96"/>
        <v>Error?</v>
      </c>
      <c r="E6217" s="2" t="s">
        <v>199</v>
      </c>
    </row>
    <row r="6218" spans="1:5" x14ac:dyDescent="0.2">
      <c r="A6218">
        <v>6157</v>
      </c>
      <c r="B6218" s="138">
        <f>'Assets-Liab 5-6'!J5</f>
        <v>157604</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778795</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778795</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778795</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786157</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786157</v>
      </c>
      <c r="D6229" s="2" t="str">
        <f t="shared" si="96"/>
        <v>Error?</v>
      </c>
      <c r="E6229" s="2" t="s">
        <v>199</v>
      </c>
    </row>
    <row r="6230" spans="1:5" x14ac:dyDescent="0.2">
      <c r="A6230">
        <v>6169</v>
      </c>
      <c r="B6230" s="138">
        <f>'Acct Summary 7-8'!J20</f>
        <v>-7362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-7362</v>
      </c>
      <c r="D6263" s="2" t="str">
        <f t="shared" si="96"/>
        <v>Error?</v>
      </c>
      <c r="E6263" s="2" t="s">
        <v>199</v>
      </c>
    </row>
    <row r="6264" spans="1:5" x14ac:dyDescent="0.2">
      <c r="A6264">
        <v>6203</v>
      </c>
      <c r="B6264" s="138">
        <f>'Acct Summary 7-8'!J79</f>
        <v>285176</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277814</v>
      </c>
      <c r="D6266" s="2" t="str">
        <f t="shared" si="96"/>
        <v>Error?</v>
      </c>
      <c r="E6266" s="2" t="s">
        <v>199</v>
      </c>
    </row>
    <row r="6267" spans="1:5" x14ac:dyDescent="0.2">
      <c r="A6267">
        <v>6206</v>
      </c>
      <c r="B6267" s="138">
        <f>'Acct Summary 7-8'!C82</f>
        <v>-162919</v>
      </c>
      <c r="D6267" s="2" t="str">
        <f t="shared" si="96"/>
        <v>Error?</v>
      </c>
      <c r="E6267" s="2" t="s">
        <v>199</v>
      </c>
    </row>
    <row r="6268" spans="1:5" x14ac:dyDescent="0.2">
      <c r="A6268">
        <v>6207</v>
      </c>
      <c r="B6268" s="138">
        <f>'Acct Summary 7-8'!D82</f>
        <v>-78739</v>
      </c>
      <c r="D6268" s="2" t="str">
        <f t="shared" si="96"/>
        <v>Error?</v>
      </c>
      <c r="E6268" s="2" t="s">
        <v>199</v>
      </c>
    </row>
    <row r="6269" spans="1:5" x14ac:dyDescent="0.2">
      <c r="A6269">
        <v>6208</v>
      </c>
      <c r="B6269" s="138">
        <f>'Acct Summary 7-8'!E82</f>
        <v>-229549</v>
      </c>
      <c r="D6269" s="2" t="str">
        <f t="shared" si="96"/>
        <v>Error?</v>
      </c>
      <c r="E6269" s="2" t="s">
        <v>199</v>
      </c>
    </row>
    <row r="6270" spans="1:5" x14ac:dyDescent="0.2">
      <c r="A6270">
        <v>6209</v>
      </c>
      <c r="B6270" s="138">
        <f>'Acct Summary 7-8'!F82</f>
        <v>211736</v>
      </c>
      <c r="D6270" s="2" t="str">
        <f t="shared" si="96"/>
        <v>Error?</v>
      </c>
      <c r="E6270" s="2" t="s">
        <v>199</v>
      </c>
    </row>
    <row r="6271" spans="1:5" x14ac:dyDescent="0.2">
      <c r="A6271">
        <v>6210</v>
      </c>
      <c r="B6271" s="138">
        <f>'Acct Summary 7-8'!G82</f>
        <v>-93160</v>
      </c>
      <c r="D6271" s="2" t="str">
        <f t="shared" ref="D6271:D6334" si="97">IF(ISBLANK(B6271),"OK",IF(A6271-B6271=0,"OK","Error?"))</f>
        <v>Error?</v>
      </c>
      <c r="E6271" s="2" t="s">
        <v>199</v>
      </c>
    </row>
    <row r="6272" spans="1:5" x14ac:dyDescent="0.2">
      <c r="A6272">
        <v>6211</v>
      </c>
      <c r="B6272" s="138">
        <f>'Acct Summary 7-8'!H82</f>
        <v>-274581</v>
      </c>
      <c r="D6272" s="2" t="str">
        <f t="shared" si="97"/>
        <v>Error?</v>
      </c>
      <c r="E6272" s="2" t="s">
        <v>199</v>
      </c>
    </row>
    <row r="6273" spans="1:5" x14ac:dyDescent="0.2">
      <c r="A6273">
        <v>6212</v>
      </c>
      <c r="B6273" s="138">
        <f>'Acct Summary 7-8'!I82</f>
        <v>53265</v>
      </c>
      <c r="D6273" s="2" t="str">
        <f t="shared" si="97"/>
        <v>Error?</v>
      </c>
      <c r="E6273" s="2" t="s">
        <v>199</v>
      </c>
    </row>
    <row r="6274" spans="1:5" x14ac:dyDescent="0.2">
      <c r="A6274">
        <v>6213</v>
      </c>
      <c r="B6274" s="138">
        <f>'Acct Summary 7-8'!J82</f>
        <v>-7362</v>
      </c>
      <c r="D6274" s="2" t="str">
        <f t="shared" si="97"/>
        <v>Error?</v>
      </c>
      <c r="E6274" s="2" t="s">
        <v>199</v>
      </c>
    </row>
    <row r="6275" spans="1:5" x14ac:dyDescent="0.2">
      <c r="A6275">
        <v>6214</v>
      </c>
      <c r="B6275" s="138">
        <f>'Acct Summary 7-8'!K82</f>
        <v>91118</v>
      </c>
      <c r="D6275" s="2" t="str">
        <f t="shared" si="97"/>
        <v>Error?</v>
      </c>
      <c r="E6275" s="2" t="s">
        <v>199</v>
      </c>
    </row>
    <row r="6276" spans="1:5" x14ac:dyDescent="0.2">
      <c r="A6276">
        <v>6215</v>
      </c>
      <c r="B6276" s="138">
        <f>'Acct Summary 7-8'!C83</f>
        <v>-2.5794248284304645E-2</v>
      </c>
      <c r="D6276" s="2" t="str">
        <f t="shared" si="97"/>
        <v>Error?</v>
      </c>
      <c r="E6276" s="2" t="s">
        <v>199</v>
      </c>
    </row>
    <row r="6277" spans="1:5" x14ac:dyDescent="0.2">
      <c r="A6277">
        <v>6216</v>
      </c>
      <c r="B6277" s="138">
        <f>'Acct Summary 7-8'!D83</f>
        <v>-4.0931571565660296E-2</v>
      </c>
      <c r="D6277" s="2" t="str">
        <f t="shared" si="97"/>
        <v>Error?</v>
      </c>
      <c r="E6277" s="2" t="s">
        <v>199</v>
      </c>
    </row>
    <row r="6278" spans="1:5" x14ac:dyDescent="0.2">
      <c r="A6278">
        <v>6217</v>
      </c>
      <c r="B6278" s="138">
        <f>'Acct Summary 7-8'!E83</f>
        <v>31.657564473865673</v>
      </c>
      <c r="D6278" s="2" t="str">
        <f t="shared" si="97"/>
        <v>Error?</v>
      </c>
      <c r="E6278" s="2" t="s">
        <v>199</v>
      </c>
    </row>
    <row r="6279" spans="1:5" x14ac:dyDescent="0.2">
      <c r="A6279">
        <v>6218</v>
      </c>
      <c r="B6279" s="138">
        <f>'Acct Summary 7-8'!F83</f>
        <v>9.2771006738227385E-2</v>
      </c>
      <c r="D6279" s="2" t="str">
        <f t="shared" si="97"/>
        <v>Error?</v>
      </c>
      <c r="E6279" s="2" t="s">
        <v>199</v>
      </c>
    </row>
    <row r="6280" spans="1:5" x14ac:dyDescent="0.2">
      <c r="A6280">
        <v>6219</v>
      </c>
      <c r="B6280" s="138">
        <f>'Acct Summary 7-8'!G83</f>
        <v>-0.15704996906540433</v>
      </c>
      <c r="D6280" s="2" t="str">
        <f t="shared" si="97"/>
        <v>Error?</v>
      </c>
      <c r="E6280" s="2" t="s">
        <v>199</v>
      </c>
    </row>
    <row r="6281" spans="1:5" x14ac:dyDescent="0.2">
      <c r="A6281">
        <v>6220</v>
      </c>
      <c r="B6281" s="138">
        <f>'Acct Summary 7-8'!H83</f>
        <v>61.565246636771299</v>
      </c>
      <c r="D6281" s="2" t="str">
        <f t="shared" si="97"/>
        <v>Error?</v>
      </c>
      <c r="E6281" s="2" t="s">
        <v>199</v>
      </c>
    </row>
    <row r="6282" spans="1:5" x14ac:dyDescent="0.2">
      <c r="A6282">
        <v>6221</v>
      </c>
      <c r="B6282" s="138">
        <f>'Acct Summary 7-8'!I83</f>
        <v>5.6487558738471035E-2</v>
      </c>
      <c r="D6282" s="2" t="str">
        <f t="shared" si="97"/>
        <v>Error?</v>
      </c>
      <c r="E6282" s="2" t="s">
        <v>199</v>
      </c>
    </row>
    <row r="6283" spans="1:5" x14ac:dyDescent="0.2">
      <c r="A6283">
        <v>6222</v>
      </c>
      <c r="B6283" s="138">
        <f>'Acct Summary 7-8'!J83</f>
        <v>-2.6499744433325895E-2</v>
      </c>
      <c r="D6283" s="2" t="str">
        <f t="shared" si="97"/>
        <v>Error?</v>
      </c>
      <c r="E6283" s="2" t="s">
        <v>199</v>
      </c>
    </row>
    <row r="6284" spans="1:5" x14ac:dyDescent="0.2">
      <c r="A6284">
        <v>6223</v>
      </c>
      <c r="B6284" s="138">
        <f>'Acct Summary 7-8'!K83</f>
        <v>0.28781073312486183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776146</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776146</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2649</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2649</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9470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3664</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778795</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4041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4696</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209</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9318</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4905</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870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870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870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5775</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786157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778795</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900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900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2140</v>
      </c>
      <c r="D7067" s="2" t="str">
        <f t="shared" si="109"/>
        <v>Error?</v>
      </c>
    </row>
    <row r="7068" spans="1:4" x14ac:dyDescent="0.2">
      <c r="A7068">
        <v>7007</v>
      </c>
      <c r="B7068" s="138">
        <f>'Expenditures 15-22'!K205</f>
        <v>2140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900</v>
      </c>
      <c r="D7072" s="2" t="str">
        <f t="shared" si="109"/>
        <v>Error?</v>
      </c>
    </row>
    <row r="7073" spans="1:4" x14ac:dyDescent="0.2">
      <c r="A7073">
        <v>7012</v>
      </c>
      <c r="B7073" s="138">
        <f>'Expenditures 15-22'!D216</f>
        <v>644</v>
      </c>
      <c r="D7073" s="2" t="str">
        <f t="shared" si="109"/>
        <v>Error?</v>
      </c>
    </row>
    <row r="7074" spans="1:4" x14ac:dyDescent="0.2">
      <c r="A7074">
        <v>7013</v>
      </c>
      <c r="B7074" s="138">
        <f>'Expenditures 15-22'!K216</f>
        <v>644</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117</v>
      </c>
      <c r="D7079" s="2" t="str">
        <f t="shared" si="109"/>
        <v>Error?</v>
      </c>
    </row>
    <row r="7080" spans="1:4" x14ac:dyDescent="0.2">
      <c r="A7080">
        <v>7019</v>
      </c>
      <c r="B7080" s="138">
        <f>'Expenditures 15-22'!K226</f>
        <v>117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62325</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62325</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309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309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107710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107710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333780</v>
      </c>
      <c r="D7172" s="2" t="str">
        <f t="shared" si="111"/>
        <v>Error?</v>
      </c>
    </row>
    <row r="7173" spans="1:4" x14ac:dyDescent="0.2">
      <c r="A7173">
        <v>7112</v>
      </c>
      <c r="B7173" s="138">
        <f>'Expenditures 15-22'!D325</f>
        <v>61206</v>
      </c>
      <c r="D7173" s="2" t="str">
        <f t="shared" si="111"/>
        <v>Error?</v>
      </c>
    </row>
    <row r="7174" spans="1:4" x14ac:dyDescent="0.2">
      <c r="A7174">
        <v>7113</v>
      </c>
      <c r="B7174" s="138">
        <f>'Expenditures 15-22'!E325</f>
        <v>22645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135633</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553264</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62549</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62549</v>
      </c>
      <c r="D7198" s="2" t="str">
        <f t="shared" si="111"/>
        <v>Error?</v>
      </c>
    </row>
    <row r="7199" spans="1:4" x14ac:dyDescent="0.2">
      <c r="A7199">
        <v>7138</v>
      </c>
      <c r="B7199" s="138">
        <f>'Expenditures 15-22'!C330</f>
        <v>333780</v>
      </c>
      <c r="D7199" s="2" t="str">
        <f t="shared" si="111"/>
        <v>Error?</v>
      </c>
    </row>
    <row r="7200" spans="1:4" x14ac:dyDescent="0.2">
      <c r="A7200">
        <v>7139</v>
      </c>
      <c r="B7200" s="138">
        <f>'Expenditures 15-22'!D330</f>
        <v>61206</v>
      </c>
      <c r="D7200" s="2" t="str">
        <f t="shared" si="111"/>
        <v>Error?</v>
      </c>
    </row>
    <row r="7201" spans="1:4" x14ac:dyDescent="0.2">
      <c r="A7201">
        <v>7140</v>
      </c>
      <c r="B7201" s="138">
        <f>'Expenditures 15-22'!E330</f>
        <v>255538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135633</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786157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333780</v>
      </c>
      <c r="D7216" s="2" t="str">
        <f t="shared" si="111"/>
        <v>Error?</v>
      </c>
    </row>
    <row r="7217" spans="1:4" x14ac:dyDescent="0.2">
      <c r="A7217">
        <v>7156</v>
      </c>
      <c r="B7217" s="138">
        <f>'Expenditures 15-22'!D342</f>
        <v>61206</v>
      </c>
      <c r="D7217" s="2" t="str">
        <f t="shared" si="111"/>
        <v>Error?</v>
      </c>
    </row>
    <row r="7218" spans="1:4" x14ac:dyDescent="0.2">
      <c r="A7218">
        <v>7157</v>
      </c>
      <c r="B7218" s="138">
        <f>'Expenditures 15-22'!E342</f>
        <v>255538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135633</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786157</v>
      </c>
      <c r="D7224" s="2" t="str">
        <f t="shared" si="111"/>
        <v>Error?</v>
      </c>
    </row>
    <row r="7225" spans="1:4" x14ac:dyDescent="0.2">
      <c r="A7225">
        <v>7164</v>
      </c>
      <c r="B7225" s="138">
        <f>'Expenditures 15-22'!K343</f>
        <v>-7362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8309</v>
      </c>
      <c r="D7263" s="2" t="str">
        <f t="shared" si="112"/>
        <v>Error?</v>
      </c>
    </row>
    <row r="7264" spans="1:4" x14ac:dyDescent="0.2">
      <c r="A7264">
        <f t="shared" si="113"/>
        <v>7203</v>
      </c>
      <c r="B7264" s="138">
        <f>'Expenditures 15-22'!D17</f>
        <v>782</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227</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1093941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29249</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29249</v>
      </c>
      <c r="D7719" s="2" t="str">
        <f t="shared" si="126"/>
        <v>Error?</v>
      </c>
      <c r="E7719" s="2" t="s">
        <v>881</v>
      </c>
    </row>
    <row r="7720" spans="1:6" x14ac:dyDescent="0.2">
      <c r="A7720">
        <v>7659</v>
      </c>
      <c r="B7720" s="138">
        <f>'Rest Tax Levies-Tort Im 25'!H14</f>
        <v>100213</v>
      </c>
      <c r="D7720" s="2" t="str">
        <f t="shared" si="126"/>
        <v>Error?</v>
      </c>
      <c r="E7720" s="2" t="s">
        <v>881</v>
      </c>
    </row>
    <row r="7721" spans="1:6" x14ac:dyDescent="0.2">
      <c r="A7721">
        <v>7660</v>
      </c>
      <c r="B7721" s="138">
        <f>'Rest Tax Levies-Tort Im 25'!K14</f>
        <v>29249</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29'!D37</f>
        <v>283573</v>
      </c>
      <c r="D7797" s="2" t="str">
        <f t="shared" si="127"/>
        <v>Error?</v>
      </c>
      <c r="E7797" s="4" t="s">
        <v>2020</v>
      </c>
    </row>
    <row r="7798" spans="1:5" x14ac:dyDescent="0.2">
      <c r="A7798">
        <v>7737</v>
      </c>
      <c r="B7798" s="138">
        <f>'Contracts Paid in CY 29'!F37</f>
        <v>75000</v>
      </c>
      <c r="D7798" s="2" t="str">
        <f t="shared" si="127"/>
        <v>Error?</v>
      </c>
      <c r="E7798" s="4" t="s">
        <v>2020</v>
      </c>
    </row>
    <row r="7799" spans="1:5" x14ac:dyDescent="0.2">
      <c r="A7799">
        <v>7738</v>
      </c>
      <c r="B7799" s="138">
        <f>'Contracts Paid in CY 29'!G37</f>
        <v>208573</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18" t="s">
        <v>1253</v>
      </c>
      <c r="B2" s="2418"/>
      <c r="C2" s="2418"/>
      <c r="D2" s="2418"/>
      <c r="E2" s="2418"/>
      <c r="F2" s="2418"/>
      <c r="G2" s="2418"/>
      <c r="H2" s="2418"/>
      <c r="I2" s="2418"/>
      <c r="J2" s="2418"/>
      <c r="K2" s="2418"/>
      <c r="L2" s="2418"/>
    </row>
    <row r="3" spans="1:29" ht="13.5" customHeight="1" x14ac:dyDescent="0.2">
      <c r="A3" s="2404" t="s">
        <v>1252</v>
      </c>
      <c r="B3" s="2404"/>
      <c r="C3" s="2404"/>
      <c r="D3" s="2404"/>
      <c r="E3" s="2404"/>
      <c r="F3" s="2404"/>
      <c r="G3" s="2404"/>
      <c r="H3" s="2404"/>
      <c r="I3" s="2404"/>
      <c r="J3" s="2404"/>
      <c r="K3" s="2404"/>
      <c r="L3" s="2404"/>
    </row>
    <row r="4" spans="1:29" ht="13.5" customHeight="1" x14ac:dyDescent="0.2">
      <c r="A4" s="2418" t="s">
        <v>1799</v>
      </c>
      <c r="B4" s="2435"/>
      <c r="C4" s="2435"/>
      <c r="D4" s="2435"/>
      <c r="E4" s="2435"/>
      <c r="F4" s="2435"/>
      <c r="G4" s="2435"/>
      <c r="H4" s="2435"/>
      <c r="I4" s="2435"/>
      <c r="J4" s="2435"/>
      <c r="K4" s="2435"/>
      <c r="L4" s="2435"/>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398" t="str">
        <f>COVER!A17</f>
        <v xml:space="preserve">Pleasant Plains CUSD 8                  </v>
      </c>
      <c r="B7" s="2399"/>
      <c r="C7" s="2399"/>
      <c r="D7" s="2436"/>
      <c r="E7" s="2437">
        <f>COVER!A13</f>
        <v>51084008026</v>
      </c>
      <c r="F7" s="2438"/>
      <c r="G7" s="2405" t="str">
        <f>COVER!T23</f>
        <v>060-004845</v>
      </c>
      <c r="H7" s="2406"/>
      <c r="I7" s="2406"/>
      <c r="J7" s="2406"/>
      <c r="K7" s="2406"/>
      <c r="L7" s="2407"/>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08"/>
      <c r="B9" s="2409"/>
      <c r="C9" s="2409"/>
      <c r="D9" s="2409"/>
      <c r="E9" s="2409"/>
      <c r="F9" s="2410"/>
      <c r="G9" s="2411" t="str">
        <f>COVER!T13</f>
        <v xml:space="preserve">Pehlman and Dold, P.C.                   </v>
      </c>
      <c r="H9" s="2412"/>
      <c r="I9" s="2412"/>
      <c r="J9" s="2412"/>
      <c r="K9" s="2412"/>
      <c r="L9" s="2413"/>
    </row>
    <row r="10" spans="1:29" ht="13.5" customHeight="1" x14ac:dyDescent="0.2">
      <c r="A10" s="2395" t="str">
        <f>COVER!A38</f>
        <v>Matt Runge, Superintendent</v>
      </c>
      <c r="B10" s="2396"/>
      <c r="C10" s="2396"/>
      <c r="D10" s="2396"/>
      <c r="E10" s="2396"/>
      <c r="F10" s="2397"/>
      <c r="G10" s="2411" t="str">
        <f>COVER!T17</f>
        <v>100 North Amos Avenue</v>
      </c>
      <c r="H10" s="2424"/>
      <c r="I10" s="2424"/>
      <c r="J10" s="2424"/>
      <c r="K10" s="2424"/>
      <c r="L10" s="2425"/>
    </row>
    <row r="11" spans="1:29" ht="13.5" customHeight="1" x14ac:dyDescent="0.2">
      <c r="A11" s="1185" t="s">
        <v>1599</v>
      </c>
      <c r="B11" s="1186"/>
      <c r="C11" s="1187"/>
      <c r="D11" s="1192"/>
      <c r="E11" s="1187"/>
      <c r="F11" s="1191"/>
      <c r="G11" s="2411" t="str">
        <f>COVER!T19</f>
        <v>Springfield</v>
      </c>
      <c r="H11" s="2424"/>
      <c r="I11" s="2424"/>
      <c r="J11" s="2424"/>
      <c r="K11" s="2424"/>
      <c r="L11" s="2425"/>
    </row>
    <row r="12" spans="1:29" ht="13.5" customHeight="1" x14ac:dyDescent="0.2">
      <c r="A12" s="2429" t="s">
        <v>1598</v>
      </c>
      <c r="B12" s="2430"/>
      <c r="C12" s="2430"/>
      <c r="D12" s="2430"/>
      <c r="E12" s="2430"/>
      <c r="F12" s="2431"/>
      <c r="G12" s="2426"/>
      <c r="H12" s="2427"/>
      <c r="I12" s="2427"/>
      <c r="J12" s="2427"/>
      <c r="K12" s="2427"/>
      <c r="L12" s="2428"/>
    </row>
    <row r="13" spans="1:29" ht="13.5" customHeight="1" x14ac:dyDescent="0.2">
      <c r="A13" s="2411"/>
      <c r="B13" s="2424"/>
      <c r="C13" s="2424"/>
      <c r="D13" s="2424"/>
      <c r="E13" s="2424"/>
      <c r="F13" s="2425"/>
      <c r="G13" s="2419" t="s">
        <v>1600</v>
      </c>
      <c r="H13" s="2420"/>
      <c r="I13" s="2432" t="str">
        <f>COVER!T25</f>
        <v>dfitzgerald@p-dcpas.com</v>
      </c>
      <c r="J13" s="2433"/>
      <c r="K13" s="2433"/>
      <c r="L13" s="2434"/>
    </row>
    <row r="14" spans="1:29" ht="13.5" customHeight="1" x14ac:dyDescent="0.2">
      <c r="A14" s="2411" t="str">
        <f>COVER!A19</f>
        <v>315 West Church Street</v>
      </c>
      <c r="B14" s="2424"/>
      <c r="C14" s="2424"/>
      <c r="D14" s="2424"/>
      <c r="E14" s="2424"/>
      <c r="F14" s="2425"/>
      <c r="G14" s="1196" t="s">
        <v>1247</v>
      </c>
      <c r="H14" s="1194"/>
      <c r="I14" s="1194"/>
      <c r="J14" s="1194"/>
      <c r="K14" s="1194"/>
      <c r="L14" s="1195"/>
    </row>
    <row r="15" spans="1:29" ht="13.5" customHeight="1" x14ac:dyDescent="0.2">
      <c r="A15" s="2411" t="str">
        <f>COVER!A21</f>
        <v>Pleasant Plains</v>
      </c>
      <c r="B15" s="2424"/>
      <c r="C15" s="2424"/>
      <c r="D15" s="2424"/>
      <c r="E15" s="2424"/>
      <c r="F15" s="2425"/>
      <c r="G15" s="2421" t="str">
        <f>COVER!T15</f>
        <v>Dorinda L Fitzgerald</v>
      </c>
      <c r="H15" s="2422"/>
      <c r="I15" s="2422"/>
      <c r="J15" s="2422"/>
      <c r="K15" s="2422"/>
      <c r="L15" s="2423"/>
    </row>
    <row r="16" spans="1:29" ht="12.2" customHeight="1" x14ac:dyDescent="0.2">
      <c r="A16" s="2401">
        <f>COVER!A25</f>
        <v>62677</v>
      </c>
      <c r="B16" s="2402"/>
      <c r="C16" s="2402"/>
      <c r="D16" s="2402"/>
      <c r="E16" s="2402"/>
      <c r="F16" s="2403"/>
      <c r="G16" s="2414"/>
      <c r="H16" s="2415"/>
      <c r="I16" s="2415"/>
      <c r="J16" s="2415"/>
      <c r="K16" s="2415"/>
      <c r="L16" s="2416"/>
    </row>
    <row r="17" spans="1:13" ht="12.2" customHeight="1" x14ac:dyDescent="0.2">
      <c r="A17" s="2417"/>
      <c r="B17" s="2402"/>
      <c r="C17" s="2402"/>
      <c r="D17" s="2402"/>
      <c r="E17" s="2402"/>
      <c r="F17" s="2403"/>
      <c r="G17" s="1196" t="s">
        <v>1246</v>
      </c>
      <c r="H17" s="1194"/>
      <c r="I17" s="1194"/>
      <c r="J17" s="1194"/>
      <c r="K17" s="1198" t="s">
        <v>1245</v>
      </c>
      <c r="L17" s="1191"/>
      <c r="M17" s="1184"/>
    </row>
    <row r="18" spans="1:13" ht="12.2" customHeight="1" x14ac:dyDescent="0.2">
      <c r="A18" s="2395"/>
      <c r="B18" s="2396"/>
      <c r="C18" s="2396"/>
      <c r="D18" s="2396"/>
      <c r="E18" s="2396"/>
      <c r="F18" s="2397"/>
      <c r="G18" s="2398" t="str">
        <f>COVER!T21</f>
        <v>(217) 787-0563</v>
      </c>
      <c r="H18" s="2399"/>
      <c r="I18" s="2399"/>
      <c r="J18" s="2399"/>
      <c r="K18" s="2398" t="str">
        <f>COVER!X21</f>
        <v>(217) 787-9266</v>
      </c>
      <c r="L18" s="2400"/>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39" t="str">
        <f>'Single Audit Cover'!A7</f>
        <v xml:space="preserve">Pleasant Plains CUSD 8                  </v>
      </c>
      <c r="B1" s="2435"/>
      <c r="C1" s="2435"/>
      <c r="D1" s="2435"/>
    </row>
    <row r="2" spans="1:11" s="1215" customFormat="1" ht="12.75" x14ac:dyDescent="0.2">
      <c r="A2" s="2440">
        <f>'Single Audit Cover'!E7</f>
        <v>51084008026</v>
      </c>
      <c r="B2" s="2441"/>
      <c r="C2" s="2441"/>
      <c r="D2" s="2441"/>
    </row>
    <row r="3" spans="1:11" s="1215" customFormat="1" ht="12.75" x14ac:dyDescent="0.2">
      <c r="A3" s="2439" t="s">
        <v>1593</v>
      </c>
      <c r="B3" s="2435"/>
      <c r="C3" s="2435"/>
      <c r="D3" s="2435"/>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3" t="str">
        <f>'Single Audit Cover'!A7</f>
        <v xml:space="preserve">Pleasant Plains CUSD 8                  </v>
      </c>
      <c r="B1" s="2443"/>
      <c r="C1" s="2443"/>
      <c r="D1" s="2443"/>
      <c r="E1" s="2443"/>
    </row>
    <row r="2" spans="1:5" x14ac:dyDescent="0.2">
      <c r="A2" s="2444">
        <f>'Single Audit Cover'!E7</f>
        <v>51084008026</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60" t="s">
        <v>1305</v>
      </c>
    </row>
    <row r="10" spans="1:5" x14ac:dyDescent="0.2">
      <c r="A10" s="1261" t="s">
        <v>1304</v>
      </c>
      <c r="B10" s="1262" t="s">
        <v>1303</v>
      </c>
      <c r="C10" s="1262"/>
      <c r="D10" s="1263">
        <f>SUM('Acct Summary 7-8'!C7:K7)</f>
        <v>354355</v>
      </c>
    </row>
    <row r="11" spans="1:5" ht="18" customHeight="1" x14ac:dyDescent="0.2">
      <c r="A11" s="1261" t="s">
        <v>1302</v>
      </c>
      <c r="B11" s="1262"/>
      <c r="C11" s="1262"/>
    </row>
    <row r="12" spans="1:5" x14ac:dyDescent="0.2">
      <c r="A12" s="1261" t="s">
        <v>1301</v>
      </c>
      <c r="B12" s="1262" t="s">
        <v>1300</v>
      </c>
      <c r="C12" s="1262"/>
      <c r="D12" s="1264">
        <f>SUM('Revenues 9-14'!C112:D112,'Revenues 9-14'!F112:G112)</f>
        <v>154235</v>
      </c>
    </row>
    <row r="13" spans="1:5" x14ac:dyDescent="0.2">
      <c r="A13" s="1261" t="s">
        <v>1299</v>
      </c>
      <c r="B13" s="1262"/>
      <c r="C13" s="1262"/>
    </row>
    <row r="14" spans="1:5" x14ac:dyDescent="0.2">
      <c r="A14" s="1261" t="s">
        <v>1830</v>
      </c>
      <c r="B14" s="1262"/>
      <c r="C14" s="1262"/>
      <c r="D14" s="1264">
        <f>'ICR Computation 30'!E11</f>
        <v>33944</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-36968</v>
      </c>
    </row>
    <row r="19" spans="1:4" ht="13.5" thickBot="1" x14ac:dyDescent="0.25">
      <c r="A19" s="1265" t="s">
        <v>1297</v>
      </c>
      <c r="D19" s="1266">
        <f>SUM(D10:D17)</f>
        <v>505566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5"/>
      <c r="B24" s="2445"/>
      <c r="D24" s="1268"/>
    </row>
    <row r="25" spans="1:4" x14ac:dyDescent="0.2">
      <c r="A25" s="2442"/>
      <c r="B25" s="2442"/>
      <c r="D25" s="1268"/>
    </row>
    <row r="26" spans="1:4" x14ac:dyDescent="0.2">
      <c r="A26" s="2442"/>
      <c r="B26" s="2442"/>
      <c r="D26" s="1268"/>
    </row>
    <row r="27" spans="1:4" x14ac:dyDescent="0.2">
      <c r="A27" s="2442"/>
      <c r="B27" s="2442"/>
      <c r="D27" s="1268"/>
    </row>
    <row r="28" spans="1:4" x14ac:dyDescent="0.2">
      <c r="A28" s="2442"/>
      <c r="B28" s="2442"/>
      <c r="D28" s="1268"/>
    </row>
    <row r="29" spans="1:4" x14ac:dyDescent="0.2">
      <c r="A29" s="2442"/>
      <c r="B29" s="2442"/>
      <c r="D29" s="1268"/>
    </row>
    <row r="30" spans="1:4" x14ac:dyDescent="0.2">
      <c r="A30" s="2442"/>
      <c r="B30" s="2442"/>
      <c r="D30" s="1268"/>
    </row>
    <row r="32" spans="1:4" x14ac:dyDescent="0.2">
      <c r="A32" s="1260" t="s">
        <v>1295</v>
      </c>
      <c r="D32" s="1263">
        <f>SUM(D19:D30)</f>
        <v>505566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2"/>
      <c r="B40" s="2442"/>
      <c r="D40" s="1268"/>
    </row>
    <row r="41" spans="1:4" x14ac:dyDescent="0.2">
      <c r="A41" s="2442"/>
      <c r="B41" s="2442"/>
      <c r="D41" s="1271"/>
    </row>
    <row r="42" spans="1:4" x14ac:dyDescent="0.2">
      <c r="A42" s="2442"/>
      <c r="B42" s="2442"/>
      <c r="D42" s="1271"/>
    </row>
    <row r="43" spans="1:4" x14ac:dyDescent="0.2">
      <c r="A43" s="2442"/>
      <c r="B43" s="2442"/>
      <c r="D43" s="1271"/>
    </row>
    <row r="44" spans="1:4" x14ac:dyDescent="0.2">
      <c r="A44" s="2442"/>
      <c r="B44" s="2442"/>
      <c r="D44" s="1271"/>
    </row>
    <row r="45" spans="1:4" x14ac:dyDescent="0.2">
      <c r="A45" s="2442"/>
      <c r="B45" s="2442"/>
      <c r="D45" s="1271"/>
    </row>
    <row r="47" spans="1:4" x14ac:dyDescent="0.2">
      <c r="B47" s="1272" t="s">
        <v>1289</v>
      </c>
      <c r="C47" s="1272"/>
      <c r="D47" s="1273">
        <f>SUM(D35:D45)</f>
        <v>0</v>
      </c>
    </row>
    <row r="49" spans="2:4" x14ac:dyDescent="0.2">
      <c r="B49" s="1272" t="s">
        <v>1288</v>
      </c>
      <c r="C49" s="1272"/>
      <c r="D49" s="1273">
        <f>D32-D47</f>
        <v>505566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48" t="str">
        <f>'Single Audit Cover'!A7</f>
        <v xml:space="preserve">Pleasant Plains CUSD 8                  </v>
      </c>
      <c r="B1" s="2448"/>
      <c r="C1" s="2448"/>
      <c r="D1" s="2448"/>
      <c r="E1" s="2448"/>
      <c r="F1" s="2448"/>
    </row>
    <row r="2" spans="1:7" ht="13.5" customHeight="1" x14ac:dyDescent="0.2">
      <c r="A2" s="2449">
        <f>'Single Audit Cover'!E7</f>
        <v>51084008026</v>
      </c>
      <c r="B2" s="2449"/>
      <c r="C2" s="2449"/>
      <c r="D2" s="2449"/>
      <c r="E2" s="2449"/>
      <c r="F2" s="2449"/>
      <c r="G2" s="1275"/>
    </row>
    <row r="3" spans="1:7" ht="15.75" customHeight="1" x14ac:dyDescent="0.2">
      <c r="A3" s="2450" t="s">
        <v>1333</v>
      </c>
      <c r="B3" s="2450"/>
      <c r="C3" s="2450"/>
      <c r="D3" s="2450"/>
      <c r="E3" s="2450"/>
      <c r="F3" s="2450"/>
    </row>
    <row r="4" spans="1:7" ht="13.5" customHeight="1" x14ac:dyDescent="0.2">
      <c r="A4" s="2451" t="str">
        <f>'Single Audit Cover'!A4</f>
        <v>Year Ending June 30, 2018</v>
      </c>
      <c r="B4" s="2451"/>
      <c r="C4" s="2451"/>
      <c r="D4" s="2451"/>
      <c r="E4" s="2451"/>
      <c r="F4" s="2451"/>
    </row>
    <row r="5" spans="1:7" ht="8.25" customHeight="1" x14ac:dyDescent="0.2">
      <c r="C5" s="317"/>
      <c r="D5" s="317"/>
    </row>
    <row r="6" spans="1:7" ht="13.5" customHeight="1" x14ac:dyDescent="0.2">
      <c r="A6" s="1276" t="s">
        <v>1831</v>
      </c>
      <c r="C6" s="317"/>
      <c r="D6" s="317"/>
    </row>
    <row r="7" spans="1:7" ht="60.95" customHeight="1" x14ac:dyDescent="0.2">
      <c r="A7" s="2447" t="s">
        <v>1832</v>
      </c>
      <c r="B7" s="2447"/>
      <c r="C7" s="2447"/>
      <c r="D7" s="2447"/>
      <c r="E7" s="2447"/>
      <c r="F7" s="2447"/>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3"/>
      <c r="D11" s="1280"/>
      <c r="E11" s="1923"/>
      <c r="F11" s="1280"/>
      <c r="G11" s="1278"/>
    </row>
    <row r="12" spans="1:7" x14ac:dyDescent="0.2">
      <c r="A12" s="1276" t="s">
        <v>1669</v>
      </c>
      <c r="C12" s="1260"/>
      <c r="D12" s="1260"/>
    </row>
    <row r="13" spans="1:7" ht="15" customHeight="1" x14ac:dyDescent="0.2">
      <c r="A13" s="2447" t="s">
        <v>1834</v>
      </c>
      <c r="B13" s="2447"/>
      <c r="C13" s="2447"/>
      <c r="D13" s="2447"/>
      <c r="E13" s="2447"/>
      <c r="F13" s="2447"/>
    </row>
    <row r="14" spans="1:7" ht="9.75" customHeight="1" x14ac:dyDescent="0.2">
      <c r="C14" s="1260"/>
      <c r="D14" s="1260"/>
    </row>
    <row r="15" spans="1:7" ht="13.5" customHeight="1" x14ac:dyDescent="0.2">
      <c r="C15" s="1867" t="s">
        <v>1332</v>
      </c>
      <c r="D15" s="2453" t="s">
        <v>1331</v>
      </c>
      <c r="E15" s="2453"/>
      <c r="F15" s="2453"/>
    </row>
    <row r="16" spans="1:7" ht="13.5" customHeight="1" x14ac:dyDescent="0.2">
      <c r="A16" s="1282"/>
      <c r="B16" s="1276" t="s">
        <v>1330</v>
      </c>
      <c r="C16" s="1867" t="s">
        <v>1329</v>
      </c>
      <c r="D16" s="2454" t="s">
        <v>1670</v>
      </c>
      <c r="E16" s="2454"/>
      <c r="F16" s="2454"/>
    </row>
    <row r="17" spans="1:6" ht="20.45" customHeight="1" x14ac:dyDescent="0.2">
      <c r="A17" s="1283"/>
      <c r="B17" s="1284"/>
      <c r="C17" s="1285"/>
      <c r="D17" s="2452"/>
      <c r="E17" s="2452"/>
      <c r="F17" s="2452"/>
    </row>
    <row r="18" spans="1:6" ht="20.65" customHeight="1" x14ac:dyDescent="0.2">
      <c r="A18" s="1283"/>
      <c r="B18" s="1284"/>
      <c r="C18" s="1285"/>
      <c r="D18" s="2452"/>
      <c r="E18" s="2452"/>
      <c r="F18" s="2452"/>
    </row>
    <row r="19" spans="1:6" ht="20.65" customHeight="1" x14ac:dyDescent="0.2">
      <c r="A19" s="1283"/>
      <c r="B19" s="1284"/>
      <c r="C19" s="1285"/>
      <c r="D19" s="2452"/>
      <c r="E19" s="2452"/>
      <c r="F19" s="2452"/>
    </row>
    <row r="20" spans="1:6" ht="20.65" customHeight="1" x14ac:dyDescent="0.2">
      <c r="A20" s="1283"/>
      <c r="B20" s="1284"/>
      <c r="C20" s="1285"/>
      <c r="D20" s="2452"/>
      <c r="E20" s="2452"/>
      <c r="F20" s="2452"/>
    </row>
    <row r="21" spans="1:6" ht="20.65" customHeight="1" x14ac:dyDescent="0.2">
      <c r="A21" s="1283"/>
      <c r="B21" s="1284"/>
      <c r="C21" s="1285"/>
      <c r="D21" s="2452"/>
      <c r="E21" s="2452"/>
      <c r="F21" s="2452"/>
    </row>
    <row r="22" spans="1:6" ht="20.65" customHeight="1" x14ac:dyDescent="0.2">
      <c r="A22" s="1283"/>
      <c r="B22" s="1284"/>
      <c r="C22" s="1285"/>
      <c r="D22" s="2452"/>
      <c r="E22" s="2452"/>
      <c r="F22" s="2452"/>
    </row>
    <row r="23" spans="1:6" ht="20.65" customHeight="1" x14ac:dyDescent="0.2">
      <c r="A23" s="1283"/>
      <c r="B23" s="1284"/>
      <c r="C23" s="1285"/>
      <c r="D23" s="2452"/>
      <c r="E23" s="2452"/>
      <c r="F23" s="2452"/>
    </row>
    <row r="24" spans="1:6" ht="20.65" customHeight="1" x14ac:dyDescent="0.2">
      <c r="A24" s="1283"/>
      <c r="B24" s="1284"/>
      <c r="C24" s="1285"/>
      <c r="D24" s="2452"/>
      <c r="E24" s="2452"/>
      <c r="F24" s="2452"/>
    </row>
    <row r="25" spans="1:6" ht="20.65" customHeight="1" x14ac:dyDescent="0.2">
      <c r="A25" s="1283"/>
      <c r="B25" s="1284"/>
      <c r="C25" s="1285"/>
      <c r="D25" s="2452"/>
      <c r="E25" s="2452"/>
      <c r="F25" s="2452"/>
    </row>
    <row r="26" spans="1:6" ht="20.65" customHeight="1" x14ac:dyDescent="0.2">
      <c r="A26" s="1283"/>
      <c r="B26" s="1284"/>
      <c r="C26" s="1285"/>
      <c r="D26" s="2452"/>
      <c r="E26" s="2452"/>
      <c r="F26" s="2452"/>
    </row>
    <row r="27" spans="1:6" ht="20.65" customHeight="1" x14ac:dyDescent="0.2">
      <c r="A27" s="1283"/>
      <c r="B27" s="1284"/>
      <c r="C27" s="1285"/>
      <c r="D27" s="2452"/>
      <c r="E27" s="2452"/>
      <c r="F27" s="2452"/>
    </row>
    <row r="28" spans="1:6" ht="20.65" customHeight="1" x14ac:dyDescent="0.2">
      <c r="A28" s="1283"/>
      <c r="B28" s="1284"/>
      <c r="C28" s="1285"/>
      <c r="D28" s="2452"/>
      <c r="E28" s="2452"/>
      <c r="F28" s="2452"/>
    </row>
    <row r="29" spans="1:6" ht="20.65" customHeight="1" x14ac:dyDescent="0.2">
      <c r="A29" s="1283"/>
      <c r="B29" s="1284"/>
      <c r="C29" s="1285"/>
      <c r="D29" s="2452"/>
      <c r="E29" s="2452"/>
      <c r="F29" s="2452"/>
    </row>
    <row r="30" spans="1:6" ht="12" customHeight="1" x14ac:dyDescent="0.2">
      <c r="A30" s="328"/>
      <c r="B30" s="328"/>
      <c r="C30" s="1478"/>
      <c r="D30" s="1924"/>
      <c r="E30" s="1286"/>
    </row>
    <row r="31" spans="1:6" ht="12" customHeight="1" x14ac:dyDescent="0.2">
      <c r="A31" s="1287" t="s">
        <v>1630</v>
      </c>
      <c r="B31" s="328"/>
      <c r="C31" s="1478"/>
      <c r="D31" s="1924"/>
      <c r="E31" s="1286"/>
    </row>
    <row r="32" spans="1:6" ht="30" customHeight="1" x14ac:dyDescent="0.2">
      <c r="A32" s="2456" t="s">
        <v>1835</v>
      </c>
      <c r="B32" s="2456"/>
      <c r="C32" s="2456"/>
      <c r="D32" s="2456"/>
      <c r="E32" s="2456"/>
      <c r="F32" s="2456"/>
    </row>
    <row r="33" spans="1:6" ht="13.5" customHeight="1" x14ac:dyDescent="0.2">
      <c r="A33" s="328" t="s">
        <v>1509</v>
      </c>
      <c r="B33" s="328"/>
      <c r="C33" s="1288">
        <v>0</v>
      </c>
      <c r="D33" s="1924"/>
      <c r="E33" s="1286"/>
    </row>
    <row r="34" spans="1:6" ht="13.5" customHeight="1" x14ac:dyDescent="0.2">
      <c r="A34" s="328" t="s">
        <v>1949</v>
      </c>
      <c r="B34" s="328"/>
      <c r="C34" s="1289">
        <v>0</v>
      </c>
      <c r="D34" s="1924" t="s">
        <v>1671</v>
      </c>
      <c r="E34" s="2457">
        <f>+C33+C34</f>
        <v>0</v>
      </c>
      <c r="F34" s="2458"/>
    </row>
    <row r="35" spans="1:6" ht="12" customHeight="1" x14ac:dyDescent="0.2">
      <c r="A35" s="328"/>
      <c r="B35" s="328"/>
      <c r="C35" s="1925"/>
      <c r="D35" s="1924"/>
      <c r="E35" s="1290"/>
      <c r="F35" s="1291"/>
    </row>
    <row r="36" spans="1:6" ht="13.5" customHeight="1" x14ac:dyDescent="0.2">
      <c r="A36" s="1287" t="s">
        <v>1631</v>
      </c>
      <c r="B36" s="328"/>
      <c r="C36" s="1478"/>
      <c r="D36" s="1924"/>
      <c r="E36" s="1286"/>
    </row>
    <row r="37" spans="1:6" ht="14.25" customHeight="1" x14ac:dyDescent="0.2">
      <c r="A37" s="328" t="s">
        <v>1563</v>
      </c>
      <c r="B37" s="328"/>
      <c r="C37" s="1926"/>
      <c r="D37" s="1924"/>
      <c r="E37" s="1286"/>
    </row>
    <row r="38" spans="1:6" ht="14.25" customHeight="1" x14ac:dyDescent="0.2">
      <c r="A38" s="328"/>
      <c r="B38" s="328" t="s">
        <v>1510</v>
      </c>
      <c r="C38" s="1292"/>
      <c r="D38" s="1924"/>
      <c r="E38" s="1286"/>
    </row>
    <row r="39" spans="1:6" ht="14.25" customHeight="1" x14ac:dyDescent="0.2">
      <c r="A39" s="328"/>
      <c r="B39" s="328" t="s">
        <v>1511</v>
      </c>
      <c r="C39" s="1292"/>
      <c r="D39" s="1924"/>
      <c r="E39" s="1286"/>
    </row>
    <row r="40" spans="1:6" ht="14.25" customHeight="1" x14ac:dyDescent="0.2">
      <c r="A40" s="328"/>
      <c r="B40" s="328" t="s">
        <v>1512</v>
      </c>
      <c r="C40" s="1292"/>
      <c r="D40" s="1924"/>
      <c r="E40" s="1286"/>
    </row>
    <row r="41" spans="1:6" ht="14.25" customHeight="1" x14ac:dyDescent="0.2">
      <c r="A41" s="328"/>
      <c r="B41" s="328" t="s">
        <v>1513</v>
      </c>
      <c r="C41" s="1292"/>
      <c r="D41" s="1924"/>
      <c r="E41" s="1286"/>
    </row>
    <row r="42" spans="1:6" ht="14.25" customHeight="1" x14ac:dyDescent="0.2">
      <c r="A42" s="328" t="s">
        <v>1514</v>
      </c>
      <c r="B42" s="328"/>
      <c r="C42" s="1922"/>
      <c r="D42" s="1924"/>
      <c r="E42" s="1286"/>
    </row>
    <row r="43" spans="1:6" ht="14.25" customHeight="1" x14ac:dyDescent="0.2">
      <c r="A43" s="328" t="s">
        <v>1515</v>
      </c>
      <c r="B43" s="328"/>
      <c r="C43" s="1293"/>
      <c r="D43" s="1924"/>
      <c r="E43" s="1286"/>
    </row>
    <row r="44" spans="1:6" ht="14.25" customHeight="1" x14ac:dyDescent="0.2">
      <c r="A44" s="328"/>
      <c r="B44" s="328"/>
      <c r="C44" s="1926" t="s">
        <v>1516</v>
      </c>
      <c r="D44" s="1924"/>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9" t="s">
        <v>1672</v>
      </c>
      <c r="C49" s="2459"/>
      <c r="D49" s="2459"/>
      <c r="E49" s="1399"/>
    </row>
    <row r="50" spans="1:5" s="1300" customFormat="1" ht="3.75" customHeight="1" x14ac:dyDescent="0.2">
      <c r="A50" s="1299"/>
      <c r="B50" s="1866"/>
      <c r="C50" s="1866"/>
      <c r="D50" s="1866"/>
      <c r="E50" s="1399"/>
    </row>
    <row r="51" spans="1:5" s="1300" customFormat="1" ht="20.25" customHeight="1" x14ac:dyDescent="0.2">
      <c r="A51" s="1301">
        <v>6</v>
      </c>
      <c r="B51" s="2455" t="s">
        <v>1632</v>
      </c>
      <c r="C51" s="2455"/>
      <c r="D51" s="2455"/>
    </row>
    <row r="52" spans="1:5" ht="14.25" customHeight="1" x14ac:dyDescent="0.2">
      <c r="A52" s="1301"/>
      <c r="B52" s="2455"/>
      <c r="C52" s="2455"/>
      <c r="D52" s="2455"/>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4" t="str">
        <f>'Single Audit Cover'!A7</f>
        <v xml:space="preserve">Pleasant Plains CUSD 8                  </v>
      </c>
      <c r="C1" s="2460"/>
      <c r="D1" s="2460"/>
      <c r="E1" s="2460"/>
      <c r="F1" s="2460"/>
      <c r="G1" s="2460"/>
      <c r="H1" s="2460"/>
      <c r="I1" s="2460"/>
      <c r="J1" s="2460"/>
      <c r="K1" s="2460"/>
      <c r="L1" s="2460"/>
      <c r="M1" s="2460"/>
    </row>
    <row r="2" spans="2:14" ht="15" x14ac:dyDescent="0.2">
      <c r="B2" s="2449">
        <f>'Single Audit Cover'!E7</f>
        <v>51084008026</v>
      </c>
      <c r="C2" s="2449"/>
      <c r="D2" s="2449"/>
      <c r="E2" s="2449"/>
      <c r="F2" s="2449"/>
      <c r="G2" s="2449"/>
      <c r="H2" s="2449"/>
      <c r="I2" s="2449"/>
      <c r="J2" s="2449"/>
      <c r="K2" s="2449"/>
      <c r="L2" s="2449"/>
      <c r="M2" s="2449"/>
      <c r="N2" s="1302"/>
    </row>
    <row r="3" spans="2:14" ht="15" x14ac:dyDescent="0.2">
      <c r="B3" s="2461" t="s">
        <v>1281</v>
      </c>
      <c r="C3" s="2461"/>
      <c r="D3" s="2461"/>
      <c r="E3" s="2461"/>
      <c r="F3" s="2461"/>
      <c r="G3" s="2461"/>
      <c r="H3" s="2461"/>
      <c r="I3" s="2461"/>
      <c r="J3" s="2461"/>
      <c r="K3" s="2461"/>
      <c r="L3" s="2461"/>
      <c r="M3" s="2461"/>
      <c r="N3" s="1302"/>
    </row>
    <row r="4" spans="2:14" ht="15" x14ac:dyDescent="0.2">
      <c r="B4" s="2462" t="str">
        <f>'Single Audit Cover'!A4</f>
        <v>Year Ending June 30, 2018</v>
      </c>
      <c r="C4" s="2462"/>
      <c r="D4" s="2462"/>
      <c r="E4" s="2462"/>
      <c r="F4" s="2462"/>
      <c r="G4" s="2462"/>
      <c r="H4" s="2462"/>
      <c r="I4" s="2462"/>
      <c r="J4" s="2462"/>
      <c r="K4" s="2462"/>
      <c r="L4" s="2462"/>
      <c r="M4" s="2462"/>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8" t="s">
        <v>1230</v>
      </c>
      <c r="B2" s="2068"/>
      <c r="C2" s="2068"/>
      <c r="D2" s="2068"/>
      <c r="E2" s="2068"/>
      <c r="F2" s="2068"/>
      <c r="G2" s="2068"/>
      <c r="H2" s="2068"/>
      <c r="I2" s="2068"/>
      <c r="J2" s="206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2" t="s">
        <v>1731</v>
      </c>
      <c r="B35" s="2083"/>
      <c r="C35" s="2083"/>
      <c r="D35" s="2083"/>
      <c r="E35" s="2084"/>
      <c r="F35" s="2084"/>
      <c r="G35" s="2084"/>
      <c r="H35" s="2084"/>
      <c r="I35" s="208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2" t="s">
        <v>331</v>
      </c>
      <c r="B47" s="2085"/>
      <c r="C47" s="2085"/>
      <c r="D47" s="2085"/>
      <c r="E47" s="2086"/>
      <c r="F47" s="2086"/>
      <c r="G47" s="2086"/>
      <c r="H47" s="2086"/>
      <c r="I47" s="208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2084</v>
      </c>
      <c r="C53" s="179">
        <v>22</v>
      </c>
      <c r="D53" s="247" t="s">
        <v>1537</v>
      </c>
      <c r="E53" s="248"/>
      <c r="F53" s="249"/>
      <c r="G53" s="249" t="s">
        <v>1536</v>
      </c>
      <c r="H53" s="250">
        <v>35431</v>
      </c>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9" t="s">
        <v>2094</v>
      </c>
      <c r="C57" s="2090"/>
      <c r="D57" s="2090"/>
      <c r="E57" s="2090"/>
      <c r="F57" s="2090"/>
      <c r="G57" s="2090"/>
      <c r="H57" s="2090"/>
      <c r="I57" s="2090"/>
      <c r="J57" s="2091"/>
    </row>
    <row r="58" spans="1:10" s="181" customFormat="1" x14ac:dyDescent="0.2">
      <c r="A58" s="253"/>
      <c r="B58" s="2092"/>
      <c r="C58" s="2093"/>
      <c r="D58" s="2093"/>
      <c r="E58" s="2093"/>
      <c r="F58" s="2093"/>
      <c r="G58" s="2093"/>
      <c r="H58" s="2093"/>
      <c r="I58" s="2093"/>
      <c r="J58" s="2094"/>
    </row>
    <row r="59" spans="1:10" s="181" customFormat="1" x14ac:dyDescent="0.2">
      <c r="A59" s="253"/>
      <c r="B59" s="2092"/>
      <c r="C59" s="2093"/>
      <c r="D59" s="2093"/>
      <c r="E59" s="2093"/>
      <c r="F59" s="2093"/>
      <c r="G59" s="2093"/>
      <c r="H59" s="2093"/>
      <c r="I59" s="2093"/>
      <c r="J59" s="2094"/>
    </row>
    <row r="60" spans="1:10" s="181" customFormat="1" x14ac:dyDescent="0.2">
      <c r="A60" s="253"/>
      <c r="B60" s="2092"/>
      <c r="C60" s="2093"/>
      <c r="D60" s="2093"/>
      <c r="E60" s="2093"/>
      <c r="F60" s="2093"/>
      <c r="G60" s="2093"/>
      <c r="H60" s="2093"/>
      <c r="I60" s="2093"/>
      <c r="J60" s="2094"/>
    </row>
    <row r="61" spans="1:10" s="181" customFormat="1" x14ac:dyDescent="0.2">
      <c r="A61" s="253"/>
      <c r="B61" s="2092"/>
      <c r="C61" s="2093"/>
      <c r="D61" s="2093"/>
      <c r="E61" s="2093"/>
      <c r="F61" s="2093"/>
      <c r="G61" s="2093"/>
      <c r="H61" s="2093"/>
      <c r="I61" s="2093"/>
      <c r="J61" s="2094"/>
    </row>
    <row r="62" spans="1:10" s="181" customFormat="1" x14ac:dyDescent="0.2">
      <c r="A62" s="253"/>
      <c r="B62" s="2092"/>
      <c r="C62" s="2093"/>
      <c r="D62" s="2093"/>
      <c r="E62" s="2093"/>
      <c r="F62" s="2093"/>
      <c r="G62" s="2093"/>
      <c r="H62" s="2093"/>
      <c r="I62" s="2093"/>
      <c r="J62" s="2094"/>
    </row>
    <row r="63" spans="1:10" s="181" customFormat="1" x14ac:dyDescent="0.2">
      <c r="A63" s="253"/>
      <c r="B63" s="2092"/>
      <c r="C63" s="2093"/>
      <c r="D63" s="2093"/>
      <c r="E63" s="2093"/>
      <c r="F63" s="2093"/>
      <c r="G63" s="2093"/>
      <c r="H63" s="2093"/>
      <c r="I63" s="2093"/>
      <c r="J63" s="2094"/>
    </row>
    <row r="64" spans="1:10" s="181" customFormat="1" x14ac:dyDescent="0.2">
      <c r="A64" s="253"/>
      <c r="B64" s="2092"/>
      <c r="C64" s="2093"/>
      <c r="D64" s="2093"/>
      <c r="E64" s="2093"/>
      <c r="F64" s="2093"/>
      <c r="G64" s="2093"/>
      <c r="H64" s="2093"/>
      <c r="I64" s="2093"/>
      <c r="J64" s="2094"/>
    </row>
    <row r="65" spans="1:10" s="181" customFormat="1" x14ac:dyDescent="0.2">
      <c r="A65" s="253"/>
      <c r="B65" s="2092"/>
      <c r="C65" s="2093"/>
      <c r="D65" s="2093"/>
      <c r="E65" s="2093"/>
      <c r="F65" s="2093"/>
      <c r="G65" s="2093"/>
      <c r="H65" s="2093"/>
      <c r="I65" s="2093"/>
      <c r="J65" s="2094"/>
    </row>
    <row r="66" spans="1:10" s="181" customFormat="1" x14ac:dyDescent="0.2">
      <c r="A66" s="253"/>
      <c r="B66" s="2092"/>
      <c r="C66" s="2093"/>
      <c r="D66" s="2093"/>
      <c r="E66" s="2093"/>
      <c r="F66" s="2093"/>
      <c r="G66" s="2093"/>
      <c r="H66" s="2093"/>
      <c r="I66" s="2093"/>
      <c r="J66" s="2094"/>
    </row>
    <row r="67" spans="1:10" s="181" customFormat="1" ht="9" customHeight="1" x14ac:dyDescent="0.2">
      <c r="A67" s="254"/>
      <c r="B67" s="2095"/>
      <c r="C67" s="2096"/>
      <c r="D67" s="2096"/>
      <c r="E67" s="2096"/>
      <c r="F67" s="2096"/>
      <c r="G67" s="2096"/>
      <c r="H67" s="2096"/>
      <c r="I67" s="2096"/>
      <c r="J67" s="209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2" t="s">
        <v>1390</v>
      </c>
      <c r="B70" s="2085"/>
      <c r="C70" s="2085"/>
      <c r="D70" s="2085"/>
      <c r="E70" s="2086"/>
      <c r="F70" s="2086"/>
      <c r="G70" s="2086"/>
      <c r="H70" s="2086"/>
      <c r="I70" s="208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9"/>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7" t="s">
        <v>1387</v>
      </c>
      <c r="B83" s="2087"/>
      <c r="C83" s="2087"/>
      <c r="D83" s="208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9"/>
      <c r="C102" s="2070"/>
      <c r="D102" s="2070"/>
      <c r="E102" s="2070"/>
      <c r="F102" s="2070"/>
      <c r="G102" s="2070"/>
      <c r="H102" s="2070"/>
      <c r="I102" s="2071"/>
    </row>
    <row r="103" spans="1:9" s="181" customFormat="1" ht="11.25" customHeight="1" x14ac:dyDescent="0.2">
      <c r="A103" s="316"/>
      <c r="B103" s="2072"/>
      <c r="C103" s="2073"/>
      <c r="D103" s="2073"/>
      <c r="E103" s="2073"/>
      <c r="F103" s="2073"/>
      <c r="G103" s="2073"/>
      <c r="H103" s="2073"/>
      <c r="I103" s="2074"/>
    </row>
    <row r="104" spans="1:9" s="181" customFormat="1" ht="11.25" customHeight="1" x14ac:dyDescent="0.2">
      <c r="A104" s="316"/>
      <c r="B104" s="2072"/>
      <c r="C104" s="2073"/>
      <c r="D104" s="2073"/>
      <c r="E104" s="2073"/>
      <c r="F104" s="2073"/>
      <c r="G104" s="2073"/>
      <c r="H104" s="2073"/>
      <c r="I104" s="2074"/>
    </row>
    <row r="105" spans="1:9" s="181" customFormat="1" x14ac:dyDescent="0.2">
      <c r="A105" s="316"/>
      <c r="B105" s="2072"/>
      <c r="C105" s="2073"/>
      <c r="D105" s="2073"/>
      <c r="E105" s="2073"/>
      <c r="F105" s="2073"/>
      <c r="G105" s="2073"/>
      <c r="H105" s="2073"/>
      <c r="I105" s="2074"/>
    </row>
    <row r="106" spans="1:9" s="181" customFormat="1" ht="11.25" customHeight="1" x14ac:dyDescent="0.2">
      <c r="A106" s="316"/>
      <c r="B106" s="2072"/>
      <c r="C106" s="2073"/>
      <c r="D106" s="2073"/>
      <c r="E106" s="2073"/>
      <c r="F106" s="2073"/>
      <c r="G106" s="2073"/>
      <c r="H106" s="2073"/>
      <c r="I106" s="2074"/>
    </row>
    <row r="107" spans="1:9" s="181" customFormat="1" ht="11.25" customHeight="1" x14ac:dyDescent="0.2">
      <c r="A107" s="316"/>
      <c r="B107" s="2072"/>
      <c r="C107" s="2073"/>
      <c r="D107" s="2073"/>
      <c r="E107" s="2073"/>
      <c r="F107" s="2073"/>
      <c r="G107" s="2073"/>
      <c r="H107" s="2073"/>
      <c r="I107" s="2074"/>
    </row>
    <row r="108" spans="1:9" s="181" customFormat="1" ht="11.25" customHeight="1" x14ac:dyDescent="0.2">
      <c r="A108" s="316"/>
      <c r="B108" s="2072"/>
      <c r="C108" s="2073"/>
      <c r="D108" s="2073"/>
      <c r="E108" s="2073"/>
      <c r="F108" s="2073"/>
      <c r="G108" s="2073"/>
      <c r="H108" s="2073"/>
      <c r="I108" s="2074"/>
    </row>
    <row r="109" spans="1:9" s="181" customFormat="1" ht="11.25" customHeight="1" x14ac:dyDescent="0.2">
      <c r="A109" s="316"/>
      <c r="B109" s="2072"/>
      <c r="C109" s="2073"/>
      <c r="D109" s="2073"/>
      <c r="E109" s="2073"/>
      <c r="F109" s="2073"/>
      <c r="G109" s="2073"/>
      <c r="H109" s="2073"/>
      <c r="I109" s="2074"/>
    </row>
    <row r="110" spans="1:9" s="181" customFormat="1" ht="11.25" customHeight="1" x14ac:dyDescent="0.2">
      <c r="A110" s="316"/>
      <c r="B110" s="2072"/>
      <c r="C110" s="2073"/>
      <c r="D110" s="2073"/>
      <c r="E110" s="2073"/>
      <c r="F110" s="2073"/>
      <c r="G110" s="2073"/>
      <c r="H110" s="2073"/>
      <c r="I110" s="2074"/>
    </row>
    <row r="111" spans="1:9" s="181" customFormat="1" ht="11.25" customHeight="1" x14ac:dyDescent="0.2">
      <c r="A111" s="316"/>
      <c r="B111" s="2072"/>
      <c r="C111" s="2073"/>
      <c r="D111" s="2073"/>
      <c r="E111" s="2073"/>
      <c r="F111" s="2073"/>
      <c r="G111" s="2073"/>
      <c r="H111" s="2073"/>
      <c r="I111" s="2074"/>
    </row>
    <row r="112" spans="1:9" s="181" customFormat="1" ht="11.25" customHeight="1" x14ac:dyDescent="0.2">
      <c r="A112" s="316"/>
      <c r="B112" s="2075"/>
      <c r="C112" s="2076"/>
      <c r="D112" s="2076"/>
      <c r="E112" s="2076"/>
      <c r="F112" s="2076"/>
      <c r="G112" s="2076"/>
      <c r="H112" s="2076"/>
      <c r="I112" s="207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8" t="s">
        <v>2077</v>
      </c>
      <c r="D114" s="207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9" t="s">
        <v>1397</v>
      </c>
      <c r="D117" s="2080"/>
      <c r="E117" s="2081"/>
      <c r="F117" s="2081"/>
      <c r="G117" s="2081"/>
      <c r="H117" s="2081"/>
      <c r="I117" s="304"/>
    </row>
    <row r="118" spans="1:9" s="181" customFormat="1" ht="24" customHeight="1" x14ac:dyDescent="0.2">
      <c r="A118" s="316"/>
      <c r="B118" s="316"/>
      <c r="C118" s="316"/>
      <c r="D118" s="323" t="s">
        <v>2121</v>
      </c>
      <c r="E118" s="322"/>
      <c r="F118" s="324"/>
      <c r="G118" s="1861"/>
      <c r="H118" s="322"/>
      <c r="I118" s="304"/>
    </row>
    <row r="119" spans="1:9" s="181" customFormat="1" ht="11.25" customHeight="1" x14ac:dyDescent="0.2">
      <c r="A119" s="325"/>
      <c r="B119" s="325"/>
      <c r="C119" s="326"/>
      <c r="D119" s="327" t="s">
        <v>379</v>
      </c>
      <c r="E119" s="310"/>
      <c r="F119" s="1860"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7" t="str">
        <f>'Single Audit Cover'!A7</f>
        <v xml:space="preserve">Pleasant Plains CUSD 8                  </v>
      </c>
      <c r="C1" s="2468"/>
      <c r="D1" s="2468"/>
      <c r="E1" s="2468"/>
      <c r="F1" s="2468"/>
      <c r="G1" s="2468"/>
      <c r="H1" s="2468"/>
      <c r="I1" s="2468"/>
      <c r="J1" s="1422"/>
    </row>
    <row r="2" spans="2:10" s="317" customFormat="1" ht="12.75" customHeight="1" x14ac:dyDescent="0.2">
      <c r="B2" s="2469">
        <f>'Single Audit Cover'!E7</f>
        <v>51084008026</v>
      </c>
      <c r="C2" s="2470"/>
      <c r="D2" s="2470"/>
      <c r="E2" s="2470"/>
      <c r="F2" s="2470"/>
      <c r="G2" s="2470"/>
      <c r="H2" s="2470"/>
      <c r="I2" s="2470"/>
      <c r="J2" s="1422"/>
    </row>
    <row r="3" spans="2:10" s="317" customFormat="1" ht="12.75" customHeight="1" x14ac:dyDescent="0.2">
      <c r="B3" s="2471" t="s">
        <v>1347</v>
      </c>
      <c r="C3" s="2472"/>
      <c r="D3" s="2472"/>
      <c r="E3" s="2472"/>
      <c r="F3" s="2472"/>
      <c r="G3" s="2472"/>
      <c r="H3" s="2472"/>
      <c r="I3" s="2472"/>
      <c r="J3" s="1423"/>
    </row>
    <row r="4" spans="2:10" s="317" customFormat="1" ht="12.75" customHeight="1" x14ac:dyDescent="0.2">
      <c r="B4" s="2471" t="str">
        <f>'Single Audit Cover'!A4</f>
        <v>Year Ending June 30, 2018</v>
      </c>
      <c r="C4" s="2472"/>
      <c r="D4" s="2472"/>
      <c r="E4" s="2472"/>
      <c r="F4" s="2472"/>
      <c r="G4" s="2472"/>
      <c r="H4" s="2472"/>
      <c r="I4" s="247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1" t="s">
        <v>1346</v>
      </c>
      <c r="C7" s="2472"/>
      <c r="D7" s="2472"/>
      <c r="E7" s="2472"/>
      <c r="F7" s="2472"/>
      <c r="G7" s="2472"/>
      <c r="H7" s="2472"/>
      <c r="I7" s="247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3"/>
      <c r="D11" s="247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4"/>
      <c r="E29" s="2474"/>
      <c r="F29" s="2474"/>
      <c r="G29" s="2474"/>
      <c r="H29" s="2474"/>
      <c r="I29" s="2474"/>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5" t="s">
        <v>1854</v>
      </c>
      <c r="D37" s="2476"/>
      <c r="E37" s="2476"/>
      <c r="F37" s="2477"/>
      <c r="G37" s="2475" t="s">
        <v>1674</v>
      </c>
      <c r="H37" s="2476"/>
      <c r="I37" s="2477"/>
    </row>
    <row r="38" spans="2:9" ht="16.5" customHeight="1" x14ac:dyDescent="0.2">
      <c r="B38" s="1444"/>
      <c r="C38" s="2463"/>
      <c r="D38" s="2464"/>
      <c r="E38" s="2464"/>
      <c r="F38" s="2465"/>
      <c r="G38" s="2478"/>
      <c r="H38" s="2479"/>
      <c r="I38" s="2480"/>
    </row>
    <row r="39" spans="2:9" ht="16.5" customHeight="1" x14ac:dyDescent="0.2">
      <c r="B39" s="1444"/>
      <c r="C39" s="2463"/>
      <c r="D39" s="2464"/>
      <c r="E39" s="2464"/>
      <c r="F39" s="2465"/>
      <c r="G39" s="2466"/>
      <c r="H39" s="2466"/>
      <c r="I39" s="2466"/>
    </row>
    <row r="40" spans="2:9" ht="16.5" customHeight="1" x14ac:dyDescent="0.2">
      <c r="B40" s="1444"/>
      <c r="C40" s="2463"/>
      <c r="D40" s="2464"/>
      <c r="E40" s="2464"/>
      <c r="F40" s="2465"/>
      <c r="G40" s="2466"/>
      <c r="H40" s="2466"/>
      <c r="I40" s="2466"/>
    </row>
    <row r="41" spans="2:9" ht="16.5" customHeight="1" x14ac:dyDescent="0.2">
      <c r="B41" s="1444"/>
      <c r="C41" s="2463"/>
      <c r="D41" s="2464"/>
      <c r="E41" s="2464"/>
      <c r="F41" s="2465"/>
      <c r="G41" s="2466"/>
      <c r="H41" s="2466"/>
      <c r="I41" s="2466"/>
    </row>
    <row r="42" spans="2:9" ht="16.5" customHeight="1" x14ac:dyDescent="0.2">
      <c r="B42" s="1444"/>
      <c r="C42" s="2463"/>
      <c r="D42" s="2464"/>
      <c r="E42" s="2464"/>
      <c r="F42" s="2465"/>
      <c r="G42" s="2466"/>
      <c r="H42" s="2466"/>
      <c r="I42" s="2466"/>
    </row>
    <row r="43" spans="2:9" ht="16.5" customHeight="1" x14ac:dyDescent="0.2">
      <c r="B43" s="1444"/>
      <c r="C43" s="2481" t="s">
        <v>1675</v>
      </c>
      <c r="D43" s="2482"/>
      <c r="E43" s="2482"/>
      <c r="F43" s="2483"/>
      <c r="G43" s="2484">
        <f>SUM(G38:I42)</f>
        <v>0</v>
      </c>
      <c r="H43" s="2484"/>
      <c r="I43" s="2484"/>
    </row>
    <row r="44" spans="2:9" ht="12.75" customHeight="1" x14ac:dyDescent="0.2"/>
    <row r="45" spans="2:9" ht="12.75" customHeight="1" x14ac:dyDescent="0.2">
      <c r="B45" s="1435" t="s">
        <v>1952</v>
      </c>
      <c r="D45" s="2485">
        <v>0</v>
      </c>
      <c r="E45" s="2486"/>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7"/>
      <c r="F49" s="2487"/>
      <c r="G49" s="2487"/>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7" t="str">
        <f>'Single Audit Cover'!A7</f>
        <v xml:space="preserve">Pleasant Plains CUSD 8                  </v>
      </c>
      <c r="C1" s="2467"/>
      <c r="D1" s="2467"/>
      <c r="E1" s="2467"/>
      <c r="F1" s="2467"/>
      <c r="G1" s="2467"/>
      <c r="H1" s="2467"/>
      <c r="I1" s="2467"/>
      <c r="J1" s="2467"/>
      <c r="K1" s="2467"/>
      <c r="L1" s="1374"/>
      <c r="M1" s="1374"/>
    </row>
    <row r="2" spans="1:13" ht="12" customHeight="1" x14ac:dyDescent="0.2">
      <c r="B2" s="2469">
        <f>'Single Audit Cover'!E7</f>
        <v>51084008026</v>
      </c>
      <c r="C2" s="2469"/>
      <c r="D2" s="2469"/>
      <c r="E2" s="2469"/>
      <c r="F2" s="2469"/>
      <c r="G2" s="2469"/>
      <c r="H2" s="2469"/>
      <c r="I2" s="2469"/>
      <c r="J2" s="2469"/>
      <c r="K2" s="2469"/>
      <c r="L2" s="1375"/>
      <c r="M2" s="1376"/>
    </row>
    <row r="3" spans="1:13" ht="10.35" customHeight="1" x14ac:dyDescent="0.2">
      <c r="B3" s="2490" t="s">
        <v>1347</v>
      </c>
      <c r="C3" s="2490"/>
      <c r="D3" s="2490"/>
      <c r="E3" s="2490"/>
      <c r="F3" s="2490"/>
      <c r="G3" s="2490"/>
      <c r="H3" s="2490"/>
      <c r="I3" s="2490"/>
      <c r="J3" s="2490"/>
      <c r="K3" s="2490"/>
      <c r="L3" s="1377"/>
      <c r="M3" s="1377"/>
    </row>
    <row r="4" spans="1:13" ht="14.25" customHeight="1" x14ac:dyDescent="0.2">
      <c r="B4" s="2491" t="str">
        <f>'Single Audit Cover'!A4</f>
        <v>Year Ending June 30, 2018</v>
      </c>
      <c r="C4" s="2491"/>
      <c r="D4" s="2491"/>
      <c r="E4" s="2491"/>
      <c r="F4" s="2491"/>
      <c r="G4" s="2491"/>
      <c r="H4" s="2491"/>
      <c r="I4" s="2491"/>
      <c r="J4" s="2491"/>
      <c r="K4" s="2491"/>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1" t="s">
        <v>1363</v>
      </c>
      <c r="C7" s="2491"/>
      <c r="D7" s="2492"/>
      <c r="E7" s="2492"/>
      <c r="F7" s="2492"/>
      <c r="G7" s="2492"/>
      <c r="H7" s="2492"/>
      <c r="I7" s="2492"/>
      <c r="J7" s="2492"/>
      <c r="K7" s="2492"/>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89"/>
      <c r="C14" s="2489"/>
      <c r="D14" s="2489"/>
      <c r="E14" s="2489"/>
      <c r="F14" s="2489"/>
      <c r="G14" s="2489"/>
      <c r="H14" s="2489"/>
      <c r="I14" s="2489"/>
      <c r="J14" s="2489"/>
      <c r="K14" s="2489"/>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89"/>
      <c r="C17" s="2489"/>
      <c r="D17" s="2489"/>
      <c r="E17" s="2489"/>
      <c r="F17" s="2489"/>
      <c r="G17" s="2489"/>
      <c r="H17" s="2489"/>
      <c r="I17" s="2489"/>
      <c r="J17" s="2489"/>
      <c r="K17" s="2489"/>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3"/>
      <c r="C20" s="2493"/>
      <c r="D20" s="2489"/>
      <c r="E20" s="2489"/>
      <c r="F20" s="2489"/>
      <c r="G20" s="2489"/>
      <c r="H20" s="2489"/>
      <c r="I20" s="2489"/>
      <c r="J20" s="2489"/>
      <c r="K20" s="2489"/>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89"/>
      <c r="C23" s="2489"/>
      <c r="D23" s="2489"/>
      <c r="E23" s="2489"/>
      <c r="F23" s="2489"/>
      <c r="G23" s="2489"/>
      <c r="H23" s="2489"/>
      <c r="I23" s="2489"/>
      <c r="J23" s="2489"/>
      <c r="K23" s="2489"/>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89"/>
      <c r="C26" s="2489"/>
      <c r="D26" s="2489"/>
      <c r="E26" s="2489"/>
      <c r="F26" s="2489"/>
      <c r="G26" s="2489"/>
      <c r="H26" s="2489"/>
      <c r="I26" s="2489"/>
      <c r="J26" s="2489"/>
      <c r="K26" s="2489"/>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88"/>
      <c r="C29" s="2488"/>
      <c r="D29" s="2489"/>
      <c r="E29" s="2489"/>
      <c r="F29" s="2489"/>
      <c r="G29" s="2489"/>
      <c r="H29" s="2489"/>
      <c r="I29" s="2489"/>
      <c r="J29" s="2489"/>
      <c r="K29" s="2489"/>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88"/>
      <c r="C32" s="2488"/>
      <c r="D32" s="2489"/>
      <c r="E32" s="2489"/>
      <c r="F32" s="2489"/>
      <c r="G32" s="2489"/>
      <c r="H32" s="2489"/>
      <c r="I32" s="2489"/>
      <c r="J32" s="2489"/>
      <c r="K32" s="2489"/>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4" t="str">
        <f>'Single Audit Cover'!A7</f>
        <v xml:space="preserve">Pleasant Plains CUSD 8                  </v>
      </c>
      <c r="C1" s="2494"/>
      <c r="D1" s="2494"/>
      <c r="E1" s="2494"/>
      <c r="F1" s="2494"/>
      <c r="G1" s="2494"/>
      <c r="H1" s="2494"/>
      <c r="I1" s="2494"/>
      <c r="J1" s="2494"/>
      <c r="K1" s="2494"/>
      <c r="L1" s="1465"/>
    </row>
    <row r="2" spans="1:12" ht="12.75" customHeight="1" x14ac:dyDescent="0.2">
      <c r="B2" s="2495">
        <f>'Single Audit Cover'!E7</f>
        <v>51084008026</v>
      </c>
      <c r="C2" s="2495"/>
      <c r="D2" s="2495"/>
      <c r="E2" s="2495"/>
      <c r="F2" s="2495"/>
      <c r="G2" s="2495"/>
      <c r="H2" s="2495"/>
      <c r="I2" s="2495"/>
      <c r="J2" s="2495"/>
      <c r="K2" s="2495"/>
      <c r="L2" s="1466"/>
    </row>
    <row r="3" spans="1:12" ht="12.75" customHeight="1" x14ac:dyDescent="0.2">
      <c r="B3" s="2490" t="s">
        <v>1347</v>
      </c>
      <c r="C3" s="2490"/>
      <c r="D3" s="2490"/>
      <c r="E3" s="2490"/>
      <c r="F3" s="2490"/>
      <c r="G3" s="2490"/>
      <c r="H3" s="2490"/>
      <c r="I3" s="2490"/>
      <c r="J3" s="2490"/>
      <c r="K3" s="2490"/>
      <c r="L3" s="1377"/>
    </row>
    <row r="4" spans="1:12" ht="12.75" customHeight="1" x14ac:dyDescent="0.2">
      <c r="B4" s="2490" t="str">
        <f>'Single Audit Cover'!A4</f>
        <v>Year Ending June 30, 2018</v>
      </c>
      <c r="C4" s="2490"/>
      <c r="D4" s="2490"/>
      <c r="E4" s="2490"/>
      <c r="F4" s="2490"/>
      <c r="G4" s="2490"/>
      <c r="H4" s="2490"/>
      <c r="I4" s="2490"/>
      <c r="J4" s="2490"/>
      <c r="K4" s="2490"/>
      <c r="L4" s="1377"/>
    </row>
    <row r="5" spans="1:12" ht="5.25" customHeight="1" x14ac:dyDescent="0.2">
      <c r="B5" s="1260" t="s">
        <v>1231</v>
      </c>
      <c r="C5" s="1260"/>
      <c r="L5" s="322"/>
    </row>
    <row r="6" spans="1:12" ht="30.75" customHeight="1" x14ac:dyDescent="0.2">
      <c r="A6" s="322"/>
      <c r="B6" s="2496" t="s">
        <v>1375</v>
      </c>
      <c r="C6" s="2496"/>
      <c r="D6" s="2496"/>
      <c r="E6" s="2496"/>
      <c r="F6" s="2496"/>
      <c r="G6" s="2496"/>
      <c r="H6" s="2496"/>
      <c r="I6" s="2496"/>
      <c r="J6" s="2496"/>
      <c r="K6" s="2496"/>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4"/>
      <c r="G12" s="2474"/>
      <c r="H12" s="2474"/>
      <c r="I12" s="2474"/>
      <c r="J12" s="2474"/>
      <c r="K12" s="247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89"/>
      <c r="C20" s="2489"/>
      <c r="D20" s="2489"/>
      <c r="E20" s="2489"/>
      <c r="F20" s="2489"/>
      <c r="G20" s="2489"/>
      <c r="H20" s="2489"/>
      <c r="I20" s="2489"/>
      <c r="J20" s="2489"/>
      <c r="K20" s="2489"/>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89"/>
      <c r="C23" s="2489"/>
      <c r="D23" s="2489"/>
      <c r="E23" s="2489"/>
      <c r="F23" s="2489"/>
      <c r="G23" s="2489"/>
      <c r="H23" s="2489"/>
      <c r="I23" s="2489"/>
      <c r="J23" s="2489"/>
      <c r="K23" s="2489"/>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89"/>
      <c r="C26" s="2489"/>
      <c r="D26" s="2489"/>
      <c r="E26" s="2489"/>
      <c r="F26" s="2489"/>
      <c r="G26" s="2489"/>
      <c r="H26" s="2489"/>
      <c r="I26" s="2489"/>
      <c r="J26" s="2489"/>
      <c r="K26" s="2489"/>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89"/>
      <c r="C29" s="2489"/>
      <c r="D29" s="2489"/>
      <c r="E29" s="2489"/>
      <c r="F29" s="2489"/>
      <c r="G29" s="2489"/>
      <c r="H29" s="2489"/>
      <c r="I29" s="2489"/>
      <c r="J29" s="2489"/>
      <c r="K29" s="2489"/>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89"/>
      <c r="C32" s="2489"/>
      <c r="D32" s="2489"/>
      <c r="E32" s="2489"/>
      <c r="F32" s="2489"/>
      <c r="G32" s="2489"/>
      <c r="H32" s="2489"/>
      <c r="I32" s="2489"/>
      <c r="J32" s="2489"/>
      <c r="K32" s="2489"/>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89"/>
      <c r="C35" s="2489"/>
      <c r="D35" s="2489"/>
      <c r="E35" s="2489"/>
      <c r="F35" s="2489"/>
      <c r="G35" s="2489"/>
      <c r="H35" s="2489"/>
      <c r="I35" s="2489"/>
      <c r="J35" s="2489"/>
      <c r="K35" s="2489"/>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89"/>
      <c r="C38" s="2489"/>
      <c r="D38" s="2489"/>
      <c r="E38" s="2489"/>
      <c r="F38" s="2489"/>
      <c r="G38" s="2489"/>
      <c r="H38" s="2489"/>
      <c r="I38" s="2489"/>
      <c r="J38" s="2489"/>
      <c r="K38" s="2489"/>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89"/>
      <c r="C41" s="2489"/>
      <c r="D41" s="2489"/>
      <c r="E41" s="2489"/>
      <c r="F41" s="2489"/>
      <c r="G41" s="2489"/>
      <c r="H41" s="2489"/>
      <c r="I41" s="2489"/>
      <c r="J41" s="2489"/>
      <c r="K41" s="2489"/>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7" t="str">
        <f>'Single Audit Cover'!A7</f>
        <v xml:space="preserve">Pleasant Plains CUSD 8                  </v>
      </c>
      <c r="C1" s="2467"/>
      <c r="D1" s="2467"/>
      <c r="E1" s="1491"/>
    </row>
    <row r="2" spans="2:5" s="1282" customFormat="1" ht="12.75" customHeight="1" x14ac:dyDescent="0.2">
      <c r="B2" s="2469">
        <f>'Single Audit Cover'!E7</f>
        <v>51084008026</v>
      </c>
      <c r="C2" s="2469"/>
      <c r="D2" s="2469"/>
      <c r="E2" s="1492"/>
    </row>
    <row r="3" spans="2:5" ht="12.75" customHeight="1" x14ac:dyDescent="0.2">
      <c r="B3" s="2490" t="s">
        <v>1869</v>
      </c>
      <c r="C3" s="2490"/>
      <c r="D3" s="2490"/>
      <c r="E3" s="1274"/>
    </row>
    <row r="4" spans="2:5" s="1282" customFormat="1" ht="12.75" customHeight="1" x14ac:dyDescent="0.2">
      <c r="B4" s="2500" t="str">
        <f>'Single Audit Cover'!A4</f>
        <v>Year Ending June 30, 2018</v>
      </c>
      <c r="C4" s="2500"/>
      <c r="D4" s="2500"/>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8" t="s">
        <v>404</v>
      </c>
      <c r="B1" s="2098"/>
      <c r="C1" s="2098"/>
      <c r="D1" s="2098"/>
      <c r="E1" s="2098"/>
      <c r="F1" s="2098"/>
      <c r="G1" s="2098"/>
      <c r="H1" s="2098"/>
      <c r="I1" s="2098"/>
      <c r="J1" s="2098"/>
      <c r="K1" s="2098"/>
      <c r="L1" s="2098"/>
      <c r="M1" s="209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220384118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3.1572999999999997E-2</v>
      </c>
      <c r="E10" s="356" t="s">
        <v>1062</v>
      </c>
      <c r="F10" s="355">
        <v>6.6039999999999996E-3</v>
      </c>
      <c r="G10" s="356" t="s">
        <v>1062</v>
      </c>
      <c r="H10" s="355">
        <v>2.333E-3</v>
      </c>
      <c r="I10" s="356" t="s">
        <v>1063</v>
      </c>
      <c r="J10" s="1752">
        <f>ROUND(D10+F10+H10,5)</f>
        <v>4.0509999999999997E-2</v>
      </c>
      <c r="K10" s="222"/>
      <c r="L10" s="355">
        <v>2.4800000000000001E-4</v>
      </c>
      <c r="M10" s="222"/>
    </row>
    <row r="11" spans="1:14" ht="7.5" customHeight="1" x14ac:dyDescent="0.2">
      <c r="B11" s="222"/>
      <c r="C11" s="222"/>
      <c r="D11" s="2108" t="str">
        <f>IF(SUM(J10)&lt;=0.0999999,"","Enter the Tax Rates by moving the decimal two places to the left.")</f>
        <v/>
      </c>
      <c r="E11" s="2109"/>
      <c r="F11" s="2109"/>
      <c r="G11" s="2109"/>
      <c r="H11" s="2109"/>
      <c r="I11" s="2109"/>
      <c r="J11" s="210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3">
        <f>SUM('Acct Summary 7-8'!C8,'Acct Summary 7-8'!D8,'Acct Summary 7-8'!F8,'Acct Summary 7-8'!I8)</f>
        <v>13088886</v>
      </c>
      <c r="E16" s="356"/>
      <c r="F16" s="1753">
        <f>SUM('Acct Summary 7-8'!C17,'Acct Summary 7-8'!D17,'Acct Summary 7-8'!F17)</f>
        <v>13065543</v>
      </c>
      <c r="G16" s="356"/>
      <c r="H16" s="1753">
        <f>SUM(D16-F16)</f>
        <v>23343</v>
      </c>
      <c r="I16" s="222"/>
      <c r="J16" s="1753">
        <f>SUM('Acct Summary 7-8'!C81,'Acct Summary 7-8'!D81,'Acct Summary 7-8'!F81,'Acct Summary 7-8'!I81)</f>
        <v>11465074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5">
        <f>IF(B31="X",(J7*0.069),IF(B32="X",(J7*0.138),"Enter x in a.or b."))</f>
        <v>30413008.284000002</v>
      </c>
      <c r="I31" s="368"/>
      <c r="J31" s="222"/>
      <c r="K31" s="222"/>
      <c r="L31" s="222"/>
      <c r="M31" s="222"/>
    </row>
    <row r="32" spans="1:13" ht="13.35" customHeight="1" x14ac:dyDescent="0.2">
      <c r="B32" s="369" t="s">
        <v>2084</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4">
        <f>'Assets-Liab 5-6'!N36</f>
        <v>4000000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9"/>
      <c r="C54" s="2100"/>
      <c r="D54" s="2100"/>
      <c r="E54" s="2100"/>
      <c r="F54" s="2100"/>
      <c r="G54" s="2100"/>
      <c r="H54" s="2100"/>
      <c r="I54" s="2100"/>
      <c r="J54" s="2100"/>
      <c r="K54" s="2100"/>
      <c r="L54" s="2101"/>
      <c r="M54" s="380"/>
    </row>
    <row r="55" spans="1:13" ht="12.75" customHeight="1" x14ac:dyDescent="0.2">
      <c r="B55" s="2102"/>
      <c r="C55" s="2103"/>
      <c r="D55" s="2103"/>
      <c r="E55" s="2103"/>
      <c r="F55" s="2103"/>
      <c r="G55" s="2103"/>
      <c r="H55" s="2103"/>
      <c r="I55" s="2103"/>
      <c r="J55" s="2103"/>
      <c r="K55" s="2103"/>
      <c r="L55" s="2104"/>
      <c r="M55" s="380"/>
    </row>
    <row r="56" spans="1:13" ht="12.75" customHeight="1" x14ac:dyDescent="0.2">
      <c r="B56" s="2102"/>
      <c r="C56" s="2103"/>
      <c r="D56" s="2103"/>
      <c r="E56" s="2103"/>
      <c r="F56" s="2103"/>
      <c r="G56" s="2103"/>
      <c r="H56" s="2103"/>
      <c r="I56" s="2103"/>
      <c r="J56" s="2103"/>
      <c r="K56" s="2103"/>
      <c r="L56" s="2104"/>
      <c r="M56" s="222"/>
    </row>
    <row r="57" spans="1:13" ht="12.75" customHeight="1" x14ac:dyDescent="0.2">
      <c r="B57" s="2102"/>
      <c r="C57" s="2103"/>
      <c r="D57" s="2103"/>
      <c r="E57" s="2103"/>
      <c r="F57" s="2103"/>
      <c r="G57" s="2103"/>
      <c r="H57" s="2103"/>
      <c r="I57" s="2103"/>
      <c r="J57" s="2103"/>
      <c r="K57" s="2103"/>
      <c r="L57" s="2104"/>
      <c r="M57" s="222"/>
    </row>
    <row r="58" spans="1:13" x14ac:dyDescent="0.2">
      <c r="B58" s="2105"/>
      <c r="C58" s="2106"/>
      <c r="D58" s="2106"/>
      <c r="E58" s="2106"/>
      <c r="F58" s="2106"/>
      <c r="G58" s="2106"/>
      <c r="H58" s="2106"/>
      <c r="I58" s="2106"/>
      <c r="J58" s="2106"/>
      <c r="K58" s="2106"/>
      <c r="L58" s="210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0"/>
      <c r="D61" s="211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3"/>
      <c r="B1" s="2114"/>
      <c r="C1" s="2114"/>
      <c r="D1" s="384"/>
      <c r="E1" s="384"/>
      <c r="F1" s="384"/>
      <c r="G1" s="384"/>
      <c r="H1" s="384"/>
      <c r="I1" s="384"/>
      <c r="J1" s="384"/>
      <c r="K1" s="384"/>
      <c r="L1" s="384"/>
      <c r="M1" s="384"/>
      <c r="N1" s="384"/>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 xml:space="preserve">Pleasant Plains CUSD 8                  </v>
      </c>
      <c r="E7" s="391"/>
      <c r="G7" s="252"/>
      <c r="H7" s="387"/>
      <c r="I7" s="387"/>
      <c r="J7" s="387"/>
      <c r="K7" s="387"/>
      <c r="L7" s="329"/>
      <c r="M7" s="329"/>
      <c r="N7" s="329"/>
      <c r="O7" s="329"/>
      <c r="P7" s="329"/>
    </row>
    <row r="8" spans="1:18" ht="12.75" x14ac:dyDescent="0.2">
      <c r="A8" s="329"/>
      <c r="B8" s="329"/>
      <c r="C8" s="389" t="s">
        <v>1187</v>
      </c>
      <c r="D8" s="392">
        <f>COVER!A13</f>
        <v>51084008026</v>
      </c>
      <c r="E8" s="393"/>
      <c r="G8" s="329"/>
      <c r="H8" s="329"/>
      <c r="I8" s="329"/>
      <c r="J8" s="329"/>
      <c r="K8" s="329"/>
      <c r="L8" s="329"/>
      <c r="M8" s="329"/>
      <c r="N8" s="329"/>
      <c r="O8" s="329"/>
      <c r="P8" s="329"/>
    </row>
    <row r="9" spans="1:18" ht="12.75" x14ac:dyDescent="0.2">
      <c r="A9" s="329"/>
      <c r="B9" s="329"/>
      <c r="C9" s="389" t="s">
        <v>737</v>
      </c>
      <c r="D9" s="394" t="str">
        <f>COVER!A15</f>
        <v>Sangamon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11465074</v>
      </c>
      <c r="I12" s="404"/>
      <c r="J12" s="404"/>
      <c r="K12" s="405">
        <f>TRUNC((H12/H13*100000),5)/100000</f>
        <v>0.875939633</v>
      </c>
      <c r="L12" s="406"/>
      <c r="M12" s="360" t="s">
        <v>1206</v>
      </c>
      <c r="N12" s="360"/>
      <c r="O12" s="407">
        <v>0.35</v>
      </c>
      <c r="P12" s="218"/>
      <c r="Q12" s="218"/>
    </row>
    <row r="13" spans="1:18" s="408" customFormat="1" ht="12.75" x14ac:dyDescent="0.2">
      <c r="A13" s="218"/>
      <c r="B13" s="401"/>
      <c r="C13" s="2115" t="s">
        <v>1391</v>
      </c>
      <c r="D13" s="2116"/>
      <c r="E13" s="218"/>
      <c r="F13" s="409" t="s">
        <v>826</v>
      </c>
      <c r="G13" s="402"/>
      <c r="H13" s="403">
        <f>SUM('Acct Summary 7-8'!C8+'Acct Summary 7-8'!D8+'Acct Summary 7-8'!F8+'Acct Summary 7-8'!I8)+H14</f>
        <v>13088886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13065543</v>
      </c>
      <c r="I17" s="404"/>
      <c r="J17" s="416"/>
      <c r="K17" s="405">
        <f>TRUNC((H17/H18*100000),5)/100000</f>
        <v>0.99821657850000001</v>
      </c>
      <c r="L17" s="406"/>
      <c r="M17" s="417" t="s">
        <v>1233</v>
      </c>
      <c r="O17" s="418" t="str">
        <f>IF(AND(O16="2", J20 &gt; 2),"1",IF(AND(O16 = "1", J20 &gt; 2),"2",IF(AND(O16="1", J20 &gt;1),"1","0")))</f>
        <v>0</v>
      </c>
      <c r="P17" s="218"/>
    </row>
    <row r="18" spans="1:18" s="408" customFormat="1" ht="11.25" x14ac:dyDescent="0.2">
      <c r="A18" s="218"/>
      <c r="B18" s="401"/>
      <c r="C18" s="2115" t="s">
        <v>1384</v>
      </c>
      <c r="D18" s="2116"/>
      <c r="E18" s="218"/>
      <c r="F18" s="419" t="s">
        <v>827</v>
      </c>
      <c r="G18" s="402"/>
      <c r="H18" s="403">
        <f>SUM('Acct Summary 7-8'!C8+'Acct Summary 7-8'!D8+'Acct Summary 7-8'!F8+'Acct Summary 7-8'!I8)+H19</f>
        <v>13088886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2" t="s">
        <v>1479</v>
      </c>
      <c r="D24" s="2112"/>
      <c r="E24" s="218"/>
      <c r="F24" s="218" t="s">
        <v>465</v>
      </c>
      <c r="G24" s="402"/>
      <c r="H24" s="403">
        <f>SUM('Assets-Liab 5-6'!C4+'Assets-Liab 5-6'!D4+'Assets-Liab 5-6'!F4+'Assets-Liab 5-6'!I4+'Assets-Liab 5-6'!C5+'Assets-Liab 5-6'!D5+'Assets-Liab 5-6'!F5+'Assets-Liab 5-6'!I5)</f>
        <v>11490641</v>
      </c>
      <c r="I24" s="422"/>
      <c r="J24" s="422"/>
      <c r="K24" s="423">
        <f>TRUNC(((H24/H25*100000)/100000),2)</f>
        <v>316.60000000000002</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36293.175000000003</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7588596.5271500004</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4000000</v>
      </c>
      <c r="I32" s="420"/>
      <c r="J32" s="420"/>
      <c r="K32" s="423">
        <f>TRUNC(100-((((H32/H33*100))*100)/100),2)</f>
        <v>86.84</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30413008.284000002</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T14" sqref="T14"/>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2" t="s">
        <v>1030</v>
      </c>
      <c r="B3" s="2123"/>
      <c r="C3" s="1581"/>
      <c r="D3" s="1582"/>
      <c r="E3" s="1582"/>
      <c r="F3" s="1582"/>
      <c r="G3" s="1582"/>
      <c r="H3" s="1582"/>
      <c r="I3" s="1582"/>
      <c r="J3" s="1582"/>
      <c r="K3" s="1582"/>
      <c r="L3" s="1582"/>
      <c r="M3" s="1583"/>
      <c r="N3" s="1584"/>
    </row>
    <row r="4" spans="1:14" ht="13.5" customHeight="1" x14ac:dyDescent="0.2">
      <c r="A4" s="463" t="s">
        <v>1750</v>
      </c>
      <c r="B4" s="464"/>
      <c r="C4" s="465">
        <v>4182197</v>
      </c>
      <c r="D4" s="466">
        <v>1880412</v>
      </c>
      <c r="E4" s="466"/>
      <c r="F4" s="466">
        <v>2135284</v>
      </c>
      <c r="G4" s="466">
        <v>388708</v>
      </c>
      <c r="H4" s="466"/>
      <c r="I4" s="466">
        <v>862300</v>
      </c>
      <c r="J4" s="467">
        <v>120210</v>
      </c>
      <c r="K4" s="466">
        <v>255186</v>
      </c>
      <c r="L4" s="466">
        <v>447444</v>
      </c>
      <c r="M4" s="468"/>
      <c r="N4" s="469"/>
    </row>
    <row r="5" spans="1:14" x14ac:dyDescent="0.2">
      <c r="A5" s="463" t="s">
        <v>1049</v>
      </c>
      <c r="B5" s="470">
        <v>120</v>
      </c>
      <c r="C5" s="465">
        <v>2166133</v>
      </c>
      <c r="D5" s="466">
        <v>45498</v>
      </c>
      <c r="E5" s="466">
        <v>5001</v>
      </c>
      <c r="F5" s="466">
        <v>138166</v>
      </c>
      <c r="G5" s="466">
        <v>204479</v>
      </c>
      <c r="H5" s="466"/>
      <c r="I5" s="466">
        <v>80651</v>
      </c>
      <c r="J5" s="467">
        <v>157604</v>
      </c>
      <c r="K5" s="471">
        <v>61404</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v>164</v>
      </c>
      <c r="D12" s="466"/>
      <c r="E12" s="466"/>
      <c r="F12" s="466">
        <v>8901</v>
      </c>
      <c r="G12" s="466"/>
      <c r="H12" s="466"/>
      <c r="I12" s="466"/>
      <c r="J12" s="467"/>
      <c r="K12" s="466"/>
      <c r="L12" s="466"/>
      <c r="M12" s="469"/>
      <c r="N12" s="469"/>
    </row>
    <row r="13" spans="1:14" ht="13.5" customHeight="1" thickBot="1" x14ac:dyDescent="0.25">
      <c r="A13" s="1756" t="s">
        <v>665</v>
      </c>
      <c r="B13" s="1729"/>
      <c r="C13" s="1757">
        <f>SUM(C4:C12)</f>
        <v>6348494</v>
      </c>
      <c r="D13" s="1757">
        <f t="shared" ref="D13:L13" si="0">SUM(D4:D12)</f>
        <v>1925910</v>
      </c>
      <c r="E13" s="1757">
        <f t="shared" si="0"/>
        <v>5001</v>
      </c>
      <c r="F13" s="1757">
        <f t="shared" si="0"/>
        <v>2282351</v>
      </c>
      <c r="G13" s="1757">
        <f t="shared" si="0"/>
        <v>593187</v>
      </c>
      <c r="H13" s="1757">
        <f t="shared" si="0"/>
        <v>0</v>
      </c>
      <c r="I13" s="1757">
        <f t="shared" si="0"/>
        <v>942951</v>
      </c>
      <c r="J13" s="1757">
        <f t="shared" si="0"/>
        <v>277814</v>
      </c>
      <c r="K13" s="1757">
        <f t="shared" si="0"/>
        <v>316590</v>
      </c>
      <c r="L13" s="1757">
        <f t="shared" si="0"/>
        <v>447444</v>
      </c>
      <c r="M13" s="468"/>
      <c r="N13" s="469"/>
    </row>
    <row r="14" spans="1:14" ht="18" customHeight="1" thickTop="1" x14ac:dyDescent="0.2">
      <c r="A14" s="2124" t="s">
        <v>149</v>
      </c>
      <c r="B14" s="2125"/>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767974</v>
      </c>
      <c r="N16" s="484"/>
    </row>
    <row r="17" spans="1:14" s="485" customFormat="1" ht="12.75" customHeight="1" x14ac:dyDescent="0.2">
      <c r="A17" s="482" t="s">
        <v>1470</v>
      </c>
      <c r="B17" s="483">
        <v>230</v>
      </c>
      <c r="C17" s="477"/>
      <c r="D17" s="477"/>
      <c r="E17" s="477"/>
      <c r="F17" s="477"/>
      <c r="G17" s="477"/>
      <c r="H17" s="477"/>
      <c r="I17" s="477"/>
      <c r="J17" s="477"/>
      <c r="K17" s="477"/>
      <c r="L17" s="477"/>
      <c r="M17" s="467">
        <v>835659</v>
      </c>
      <c r="N17" s="484"/>
    </row>
    <row r="18" spans="1:14" s="485" customFormat="1" ht="12.75" customHeight="1" x14ac:dyDescent="0.2">
      <c r="A18" s="482" t="s">
        <v>1471</v>
      </c>
      <c r="B18" s="483">
        <v>240</v>
      </c>
      <c r="C18" s="477"/>
      <c r="D18" s="477"/>
      <c r="E18" s="477"/>
      <c r="F18" s="477"/>
      <c r="G18" s="477"/>
      <c r="H18" s="477"/>
      <c r="I18" s="477"/>
      <c r="J18" s="477"/>
      <c r="K18" s="477"/>
      <c r="L18" s="477"/>
      <c r="M18" s="467">
        <v>37986782</v>
      </c>
      <c r="N18" s="484"/>
    </row>
    <row r="19" spans="1:14" s="485" customFormat="1" ht="12.75" customHeight="1" x14ac:dyDescent="0.2">
      <c r="A19" s="482" t="s">
        <v>1472</v>
      </c>
      <c r="B19" s="483">
        <v>250</v>
      </c>
      <c r="C19" s="477"/>
      <c r="D19" s="477"/>
      <c r="E19" s="477"/>
      <c r="F19" s="477"/>
      <c r="G19" s="477"/>
      <c r="H19" s="477"/>
      <c r="I19" s="477"/>
      <c r="J19" s="477"/>
      <c r="K19" s="477"/>
      <c r="L19" s="477"/>
      <c r="M19" s="467">
        <v>3208077</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4000000</v>
      </c>
    </row>
    <row r="23" spans="1:14" ht="13.5" customHeight="1" thickBot="1" x14ac:dyDescent="0.25">
      <c r="A23" s="1756" t="s">
        <v>664</v>
      </c>
      <c r="B23" s="1761"/>
      <c r="C23" s="468"/>
      <c r="D23" s="468"/>
      <c r="E23" s="468"/>
      <c r="F23" s="468"/>
      <c r="G23" s="468"/>
      <c r="H23" s="468"/>
      <c r="I23" s="468"/>
      <c r="J23" s="468"/>
      <c r="K23" s="468"/>
      <c r="L23" s="468"/>
      <c r="M23" s="1708">
        <f>SUM(M15:M22)</f>
        <v>42798492</v>
      </c>
      <c r="N23" s="1708">
        <f>SUM(N21:N22)</f>
        <v>4000000</v>
      </c>
    </row>
    <row r="24" spans="1:14" ht="18" customHeight="1" thickTop="1" x14ac:dyDescent="0.2">
      <c r="A24" s="2126" t="s">
        <v>619</v>
      </c>
      <c r="B24" s="2127"/>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v>12252</v>
      </c>
      <c r="F27" s="467"/>
      <c r="G27" s="467"/>
      <c r="H27" s="467">
        <v>4460</v>
      </c>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32396</v>
      </c>
      <c r="D31" s="467">
        <v>2236</v>
      </c>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207365</v>
      </c>
      <c r="M33" s="468"/>
      <c r="N33" s="469"/>
    </row>
    <row r="34" spans="1:14" ht="13.5" customHeight="1" thickBot="1" x14ac:dyDescent="0.25">
      <c r="A34" s="1758" t="s">
        <v>675</v>
      </c>
      <c r="B34" s="1759"/>
      <c r="C34" s="1760">
        <f>SUM(C25:C33)</f>
        <v>32396</v>
      </c>
      <c r="D34" s="1760">
        <f t="shared" ref="D34:K34" si="1">SUM(D25:D33)</f>
        <v>2236</v>
      </c>
      <c r="E34" s="1760">
        <f t="shared" si="1"/>
        <v>12252</v>
      </c>
      <c r="F34" s="1760">
        <f t="shared" si="1"/>
        <v>0</v>
      </c>
      <c r="G34" s="1760">
        <f t="shared" si="1"/>
        <v>0</v>
      </c>
      <c r="H34" s="1760">
        <f t="shared" si="1"/>
        <v>4460</v>
      </c>
      <c r="I34" s="1760">
        <f t="shared" si="1"/>
        <v>0</v>
      </c>
      <c r="J34" s="1760">
        <f t="shared" si="1"/>
        <v>0</v>
      </c>
      <c r="K34" s="1760">
        <f t="shared" si="1"/>
        <v>0</v>
      </c>
      <c r="L34" s="1741">
        <f>SUM(L33)</f>
        <v>207365</v>
      </c>
      <c r="M34" s="468"/>
      <c r="N34" s="480"/>
    </row>
    <row r="35" spans="1:14" ht="18" customHeight="1" thickTop="1" x14ac:dyDescent="0.2">
      <c r="A35" s="2128" t="s">
        <v>550</v>
      </c>
      <c r="B35" s="2129"/>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4000000</v>
      </c>
    </row>
    <row r="37" spans="1:14" ht="13.5" thickBot="1" x14ac:dyDescent="0.25">
      <c r="A37" s="1756" t="s">
        <v>674</v>
      </c>
      <c r="B37" s="1761"/>
      <c r="C37" s="477"/>
      <c r="D37" s="477"/>
      <c r="E37" s="477"/>
      <c r="F37" s="477"/>
      <c r="G37" s="477"/>
      <c r="H37" s="477"/>
      <c r="I37" s="477"/>
      <c r="J37" s="477"/>
      <c r="K37" s="477"/>
      <c r="L37" s="480"/>
      <c r="M37" s="468"/>
      <c r="N37" s="1708">
        <f>SUM(N36:N36)</f>
        <v>4000000</v>
      </c>
    </row>
    <row r="38" spans="1:14" s="329" customFormat="1" ht="13.5" customHeight="1" thickTop="1" x14ac:dyDescent="0.2">
      <c r="A38" s="496" t="s">
        <v>440</v>
      </c>
      <c r="B38" s="483">
        <v>714</v>
      </c>
      <c r="C38" s="466"/>
      <c r="D38" s="466">
        <v>8128</v>
      </c>
      <c r="E38" s="466"/>
      <c r="F38" s="466"/>
      <c r="G38" s="466"/>
      <c r="H38" s="466"/>
      <c r="I38" s="466"/>
      <c r="J38" s="467"/>
      <c r="K38" s="466"/>
      <c r="L38" s="481">
        <v>240079</v>
      </c>
      <c r="M38" s="497"/>
      <c r="N38" s="497"/>
    </row>
    <row r="39" spans="1:14" s="329" customFormat="1" ht="13.5" customHeight="1" x14ac:dyDescent="0.2">
      <c r="A39" s="496" t="s">
        <v>360</v>
      </c>
      <c r="B39" s="483">
        <v>730</v>
      </c>
      <c r="C39" s="466">
        <v>6316098</v>
      </c>
      <c r="D39" s="466">
        <v>1915546</v>
      </c>
      <c r="E39" s="466">
        <v>-7251</v>
      </c>
      <c r="F39" s="466">
        <v>2282351</v>
      </c>
      <c r="G39" s="466">
        <v>593187</v>
      </c>
      <c r="H39" s="466">
        <v>-4460</v>
      </c>
      <c r="I39" s="466">
        <v>942951</v>
      </c>
      <c r="J39" s="467">
        <v>277814</v>
      </c>
      <c r="K39" s="466">
        <v>316590</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42798492</v>
      </c>
      <c r="N40" s="497"/>
    </row>
    <row r="41" spans="1:14" ht="13.5" customHeight="1" thickBot="1" x14ac:dyDescent="0.25">
      <c r="A41" s="1756" t="s">
        <v>676</v>
      </c>
      <c r="B41" s="1726"/>
      <c r="C41" s="1708">
        <f>(SUM(C34,C37,C38,C39))</f>
        <v>6348494</v>
      </c>
      <c r="D41" s="1708">
        <f t="shared" ref="D41:L41" si="2">SUM(D34,D37,D38:D39)</f>
        <v>1925910</v>
      </c>
      <c r="E41" s="1708">
        <f t="shared" si="2"/>
        <v>5001</v>
      </c>
      <c r="F41" s="1708">
        <f t="shared" si="2"/>
        <v>2282351</v>
      </c>
      <c r="G41" s="1708">
        <f t="shared" si="2"/>
        <v>593187</v>
      </c>
      <c r="H41" s="1708">
        <f t="shared" si="2"/>
        <v>0</v>
      </c>
      <c r="I41" s="1708">
        <f t="shared" si="2"/>
        <v>942951</v>
      </c>
      <c r="J41" s="1708">
        <f t="shared" si="2"/>
        <v>277814</v>
      </c>
      <c r="K41" s="1708">
        <f t="shared" si="2"/>
        <v>316590</v>
      </c>
      <c r="L41" s="1708">
        <f t="shared" si="2"/>
        <v>447444</v>
      </c>
      <c r="M41" s="1708">
        <f>SUM(M40)</f>
        <v>42798492</v>
      </c>
      <c r="N41" s="1708">
        <f>SUM(N37)</f>
        <v>4000000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&amp;F&amp;RThe notes to the financial statments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T14" sqref="T14"/>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0" t="s">
        <v>1237</v>
      </c>
      <c r="B3" s="2151"/>
      <c r="C3" s="1595"/>
      <c r="D3" s="1596"/>
      <c r="E3" s="1596"/>
      <c r="F3" s="1596"/>
      <c r="G3" s="1596"/>
      <c r="H3" s="1596"/>
      <c r="I3" s="1596"/>
      <c r="J3" s="1596"/>
      <c r="K3" s="1597"/>
      <c r="L3" s="506"/>
    </row>
    <row r="4" spans="1:13" ht="15.75" customHeight="1" x14ac:dyDescent="0.2">
      <c r="A4" s="1950" t="s">
        <v>1579</v>
      </c>
      <c r="B4" s="1951">
        <v>1000</v>
      </c>
      <c r="C4" s="1762">
        <f>'Revenues 9-14'!C109</f>
        <v>7955213</v>
      </c>
      <c r="D4" s="1762">
        <f>'Revenues 9-14'!D109</f>
        <v>1474275</v>
      </c>
      <c r="E4" s="1762">
        <f>'Revenues 9-14'!E109</f>
        <v>746229</v>
      </c>
      <c r="F4" s="1762">
        <f>'Revenues 9-14'!F109</f>
        <v>526606</v>
      </c>
      <c r="G4" s="1762">
        <f>'Revenues 9-14'!G109</f>
        <v>332195</v>
      </c>
      <c r="H4" s="1762">
        <f>'Revenues 9-14'!H109</f>
        <v>0</v>
      </c>
      <c r="I4" s="1762">
        <f>'Revenues 9-14'!I109</f>
        <v>53265</v>
      </c>
      <c r="J4" s="1762">
        <f>'Revenues 9-14'!J109</f>
        <v>778795</v>
      </c>
      <c r="K4" s="1762">
        <f>'Revenues 9-14'!K109</f>
        <v>143916</v>
      </c>
      <c r="L4" s="347"/>
    </row>
    <row r="5" spans="1:13" ht="15.75" customHeight="1" x14ac:dyDescent="0.2">
      <c r="A5" s="1598" t="s">
        <v>1580</v>
      </c>
      <c r="B5" s="1599">
        <v>2000</v>
      </c>
      <c r="C5" s="1763">
        <f>'Revenues 9-14'!C114</f>
        <v>182948</v>
      </c>
      <c r="D5" s="1763">
        <f>'Revenues 9-14'!D114</f>
        <v>0</v>
      </c>
      <c r="E5" s="508"/>
      <c r="F5" s="1763">
        <f>'Revenues 9-14'!F114</f>
        <v>0</v>
      </c>
      <c r="G5" s="1763">
        <f>'Revenues 9-14'!G114</f>
        <v>0</v>
      </c>
      <c r="H5" s="509" t="s">
        <v>1231</v>
      </c>
      <c r="I5" s="510" t="s">
        <v>1231</v>
      </c>
      <c r="J5" s="511" t="s">
        <v>1231</v>
      </c>
      <c r="K5" s="512" t="s">
        <v>1231</v>
      </c>
      <c r="L5" s="347"/>
    </row>
    <row r="6" spans="1:13" ht="15.75" customHeight="1" x14ac:dyDescent="0.2">
      <c r="A6" s="1598" t="s">
        <v>1581</v>
      </c>
      <c r="B6" s="1600">
        <v>3000</v>
      </c>
      <c r="C6" s="1763">
        <f>'Revenues 9-14'!C173</f>
        <v>1974752</v>
      </c>
      <c r="D6" s="1763">
        <f>'Revenues 9-14'!D173</f>
        <v>0</v>
      </c>
      <c r="E6" s="1763">
        <f>'Revenues 9-14'!E173</f>
        <v>0</v>
      </c>
      <c r="F6" s="1763">
        <f>'Revenues 9-14'!F173</f>
        <v>567472</v>
      </c>
      <c r="G6" s="1763">
        <f>'Revenues 9-14'!G173</f>
        <v>0</v>
      </c>
      <c r="H6" s="1763">
        <f>'Revenues 9-14'!H173</f>
        <v>0</v>
      </c>
      <c r="I6" s="1763">
        <f>'Revenues 9-14'!I173</f>
        <v>0</v>
      </c>
      <c r="J6" s="1763">
        <f>'Revenues 9-14'!J173</f>
        <v>0</v>
      </c>
      <c r="K6" s="1763">
        <f>'Revenues 9-14'!K173</f>
        <v>0</v>
      </c>
      <c r="L6" s="347"/>
      <c r="M6" s="513"/>
    </row>
    <row r="7" spans="1:13" ht="15.75" customHeight="1" x14ac:dyDescent="0.2">
      <c r="A7" s="1598" t="s">
        <v>1582</v>
      </c>
      <c r="B7" s="1600">
        <v>4000</v>
      </c>
      <c r="C7" s="1763">
        <f>'Revenues 9-14'!C274</f>
        <v>354355</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1234</v>
      </c>
      <c r="B8" s="1729"/>
      <c r="C8" s="1708">
        <f>SUM(C4:C7)</f>
        <v>10467268</v>
      </c>
      <c r="D8" s="1708">
        <f t="shared" ref="D8:K8" si="0">SUM(D4:D7)</f>
        <v>1474275</v>
      </c>
      <c r="E8" s="1708">
        <f t="shared" si="0"/>
        <v>746229</v>
      </c>
      <c r="F8" s="1708">
        <f t="shared" si="0"/>
        <v>1094078</v>
      </c>
      <c r="G8" s="1708">
        <f t="shared" si="0"/>
        <v>332195</v>
      </c>
      <c r="H8" s="1708">
        <f t="shared" si="0"/>
        <v>0</v>
      </c>
      <c r="I8" s="1708">
        <f t="shared" si="0"/>
        <v>53265</v>
      </c>
      <c r="J8" s="1708">
        <f t="shared" si="0"/>
        <v>778795</v>
      </c>
      <c r="K8" s="1708">
        <f t="shared" si="0"/>
        <v>143916</v>
      </c>
      <c r="L8" s="347"/>
    </row>
    <row r="9" spans="1:13" ht="15.75" thickTop="1" x14ac:dyDescent="0.2">
      <c r="A9" s="514" t="s">
        <v>1752</v>
      </c>
      <c r="B9" s="515">
        <v>3998</v>
      </c>
      <c r="C9" s="481">
        <v>6548281</v>
      </c>
      <c r="D9" s="516"/>
      <c r="E9" s="481"/>
      <c r="F9" s="481"/>
      <c r="G9" s="517"/>
      <c r="H9" s="481"/>
      <c r="I9" s="509" t="s">
        <v>1231</v>
      </c>
      <c r="J9" s="478"/>
      <c r="K9" s="481"/>
      <c r="L9" s="347"/>
    </row>
    <row r="10" spans="1:13" s="519" customFormat="1" ht="13.5" thickBot="1" x14ac:dyDescent="0.25">
      <c r="A10" s="1756" t="s">
        <v>1235</v>
      </c>
      <c r="B10" s="1729"/>
      <c r="C10" s="1708">
        <f>SUM(C8:C9)</f>
        <v>17015549</v>
      </c>
      <c r="D10" s="1708">
        <f t="shared" ref="D10:K10" si="1">SUM(D8:D9)</f>
        <v>1474275</v>
      </c>
      <c r="E10" s="1708">
        <f t="shared" si="1"/>
        <v>746229</v>
      </c>
      <c r="F10" s="1708">
        <f t="shared" si="1"/>
        <v>1094078</v>
      </c>
      <c r="G10" s="1708">
        <f t="shared" si="1"/>
        <v>332195</v>
      </c>
      <c r="H10" s="1708">
        <f t="shared" si="1"/>
        <v>0</v>
      </c>
      <c r="I10" s="1708">
        <f t="shared" si="1"/>
        <v>53265</v>
      </c>
      <c r="J10" s="1708">
        <f t="shared" si="1"/>
        <v>778795</v>
      </c>
      <c r="K10" s="1708">
        <f t="shared" si="1"/>
        <v>143916</v>
      </c>
      <c r="L10" s="518"/>
    </row>
    <row r="11" spans="1:13" s="519" customFormat="1" ht="16.7" customHeight="1" thickTop="1" x14ac:dyDescent="0.2">
      <c r="A11" s="2124" t="s">
        <v>1238</v>
      </c>
      <c r="B11" s="2125"/>
      <c r="C11" s="1592"/>
      <c r="D11" s="1593"/>
      <c r="E11" s="1593"/>
      <c r="F11" s="1593"/>
      <c r="G11" s="1593"/>
      <c r="H11" s="1593"/>
      <c r="I11" s="1593"/>
      <c r="J11" s="1593"/>
      <c r="K11" s="1594"/>
      <c r="L11" s="518"/>
    </row>
    <row r="12" spans="1:13" ht="15.75" customHeight="1" x14ac:dyDescent="0.2">
      <c r="A12" s="1598" t="s">
        <v>476</v>
      </c>
      <c r="B12" s="1600">
        <v>1000</v>
      </c>
      <c r="C12" s="1762">
        <f>'Expenditures 15-22'!K33</f>
        <v>7273908</v>
      </c>
      <c r="D12" s="520" t="s">
        <v>1231</v>
      </c>
      <c r="E12" s="468" t="s">
        <v>1231</v>
      </c>
      <c r="F12" s="468" t="s">
        <v>1231</v>
      </c>
      <c r="G12" s="1762">
        <f>'Expenditures 15-22'!K229</f>
        <v>147755</v>
      </c>
      <c r="H12" s="521"/>
      <c r="I12" s="468" t="s">
        <v>1231</v>
      </c>
      <c r="J12" s="468" t="s">
        <v>1231</v>
      </c>
      <c r="K12" s="521" t="s">
        <v>1231</v>
      </c>
      <c r="L12" s="347"/>
    </row>
    <row r="13" spans="1:13" ht="15.75" customHeight="1" x14ac:dyDescent="0.2">
      <c r="A13" s="1598" t="s">
        <v>477</v>
      </c>
      <c r="B13" s="1600">
        <v>2000</v>
      </c>
      <c r="C13" s="1763">
        <f>'Expenditures 15-22'!K74</f>
        <v>2462863</v>
      </c>
      <c r="D13" s="1763">
        <f>'Expenditures 15-22'!K129</f>
        <v>1548170</v>
      </c>
      <c r="E13" s="469" t="s">
        <v>1231</v>
      </c>
      <c r="F13" s="1763">
        <f>'Expenditures 15-22'!K184</f>
        <v>820040</v>
      </c>
      <c r="G13" s="1763">
        <f>'Expenditures 15-22'!K279</f>
        <v>258132</v>
      </c>
      <c r="H13" s="1763">
        <f>'Expenditures 15-22'!K303</f>
        <v>274581</v>
      </c>
      <c r="I13" s="468" t="s">
        <v>1231</v>
      </c>
      <c r="J13" s="1763">
        <f>'Expenditures 15-22'!K330</f>
        <v>786157</v>
      </c>
      <c r="K13" s="1767">
        <f>'Expenditures 15-22'!K352</f>
        <v>52798</v>
      </c>
      <c r="L13" s="347"/>
    </row>
    <row r="14" spans="1:13" ht="15.75" customHeight="1" x14ac:dyDescent="0.2">
      <c r="A14" s="1598" t="s">
        <v>469</v>
      </c>
      <c r="B14" s="1600">
        <v>3000</v>
      </c>
      <c r="C14" s="1763">
        <f>'Expenditures 15-22'!K75</f>
        <v>326397</v>
      </c>
      <c r="D14" s="1763">
        <f>'Expenditures 15-22'!K130</f>
        <v>0</v>
      </c>
      <c r="E14" s="520" t="s">
        <v>1231</v>
      </c>
      <c r="F14" s="1763">
        <f>'Expenditures 15-22'!K185</f>
        <v>0</v>
      </c>
      <c r="G14" s="1763">
        <f>'Expenditures 15-22'!K280</f>
        <v>19468</v>
      </c>
      <c r="H14" s="512"/>
      <c r="I14" s="468" t="s">
        <v>1231</v>
      </c>
      <c r="J14" s="468" t="s">
        <v>1231</v>
      </c>
      <c r="K14" s="512" t="s">
        <v>1231</v>
      </c>
      <c r="L14" s="347"/>
    </row>
    <row r="15" spans="1:13" ht="15.75" customHeight="1" x14ac:dyDescent="0.2">
      <c r="A15" s="1598" t="s">
        <v>109</v>
      </c>
      <c r="B15" s="1600">
        <v>4000</v>
      </c>
      <c r="C15" s="1763">
        <f>'Expenditures 15-22'!K102</f>
        <v>567019</v>
      </c>
      <c r="D15" s="1763">
        <f>'Expenditures 15-22'!K139</f>
        <v>4844</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x14ac:dyDescent="0.2">
      <c r="A16" s="1598" t="s">
        <v>470</v>
      </c>
      <c r="B16" s="1600">
        <v>5000</v>
      </c>
      <c r="C16" s="1763">
        <f>'Expenditures 15-22'!K112</f>
        <v>0</v>
      </c>
      <c r="D16" s="1763">
        <f>'Expenditures 15-22'!K149</f>
        <v>0</v>
      </c>
      <c r="E16" s="1763">
        <f>'Expenditures 15-22'!K172</f>
        <v>975778</v>
      </c>
      <c r="F16" s="1763">
        <f>'Expenditures 15-22'!K208</f>
        <v>62302</v>
      </c>
      <c r="G16" s="1763">
        <f>'Expenditures 15-22'!K293</f>
        <v>0</v>
      </c>
      <c r="H16" s="523"/>
      <c r="I16" s="468" t="s">
        <v>1231</v>
      </c>
      <c r="J16" s="1768">
        <f>'Expenditures 15-22'!K340</f>
        <v>0</v>
      </c>
      <c r="K16" s="1763">
        <f>'Expenditures 15-22'!K365</f>
        <v>0</v>
      </c>
      <c r="L16" s="347"/>
    </row>
    <row r="17" spans="1:12" ht="13.5" thickBot="1" x14ac:dyDescent="0.25">
      <c r="A17" s="1728" t="s">
        <v>50</v>
      </c>
      <c r="B17" s="1729"/>
      <c r="C17" s="1708">
        <f t="shared" ref="C17:H17" si="2">SUM(C12:C16)</f>
        <v>10630187</v>
      </c>
      <c r="D17" s="1708">
        <f t="shared" si="2"/>
        <v>1553014</v>
      </c>
      <c r="E17" s="1708">
        <f t="shared" si="2"/>
        <v>975778</v>
      </c>
      <c r="F17" s="1708">
        <f t="shared" si="2"/>
        <v>882342</v>
      </c>
      <c r="G17" s="1708">
        <f t="shared" si="2"/>
        <v>425355</v>
      </c>
      <c r="H17" s="1708">
        <f t="shared" si="2"/>
        <v>274581</v>
      </c>
      <c r="I17" s="468"/>
      <c r="J17" s="1708">
        <f>SUM(J12:J16)</f>
        <v>786157</v>
      </c>
      <c r="K17" s="1708">
        <f>SUM(K12:K16)</f>
        <v>52798</v>
      </c>
      <c r="L17" s="347"/>
    </row>
    <row r="18" spans="1:12" ht="15" customHeight="1" thickTop="1" x14ac:dyDescent="0.2">
      <c r="A18" s="1764" t="s">
        <v>1753</v>
      </c>
      <c r="B18" s="1765">
        <v>4180</v>
      </c>
      <c r="C18" s="1762">
        <f t="shared" ref="C18:H18" si="3">C9</f>
        <v>6548281</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526</v>
      </c>
      <c r="B19" s="1729"/>
      <c r="C19" s="1708">
        <f t="shared" ref="C19:H19" si="4">SUM(C17:C18)</f>
        <v>17178468</v>
      </c>
      <c r="D19" s="1708">
        <f t="shared" si="4"/>
        <v>1553014</v>
      </c>
      <c r="E19" s="1708">
        <f t="shared" si="4"/>
        <v>975778</v>
      </c>
      <c r="F19" s="1708">
        <f t="shared" si="4"/>
        <v>882342</v>
      </c>
      <c r="G19" s="1708">
        <f t="shared" si="4"/>
        <v>425355</v>
      </c>
      <c r="H19" s="1708">
        <f t="shared" si="4"/>
        <v>274581</v>
      </c>
      <c r="I19" s="468"/>
      <c r="J19" s="1708">
        <f>SUM(J17:J18)</f>
        <v>786157</v>
      </c>
      <c r="K19" s="1708">
        <f>SUM(K17:K18)</f>
        <v>52798</v>
      </c>
      <c r="L19" s="347"/>
    </row>
    <row r="20" spans="1:12" ht="16.5" thickTop="1" thickBot="1" x14ac:dyDescent="0.25">
      <c r="A20" s="2140" t="s">
        <v>1754</v>
      </c>
      <c r="B20" s="2141"/>
      <c r="C20" s="1766">
        <f>C8-C17</f>
        <v>-162919</v>
      </c>
      <c r="D20" s="1766">
        <f t="shared" ref="D20:K20" si="5">D8-D17</f>
        <v>-78739</v>
      </c>
      <c r="E20" s="1766">
        <f t="shared" si="5"/>
        <v>-229549</v>
      </c>
      <c r="F20" s="1766">
        <f t="shared" si="5"/>
        <v>211736</v>
      </c>
      <c r="G20" s="1766">
        <f t="shared" si="5"/>
        <v>-93160</v>
      </c>
      <c r="H20" s="1766">
        <f t="shared" si="5"/>
        <v>-274581</v>
      </c>
      <c r="I20" s="1766">
        <f t="shared" si="5"/>
        <v>53265</v>
      </c>
      <c r="J20" s="1766">
        <f t="shared" si="5"/>
        <v>-7362</v>
      </c>
      <c r="K20" s="1766">
        <f t="shared" si="5"/>
        <v>91118</v>
      </c>
      <c r="L20" s="347"/>
    </row>
    <row r="21" spans="1:12" ht="16.7" customHeight="1" thickTop="1" x14ac:dyDescent="0.2">
      <c r="A21" s="2152" t="s">
        <v>616</v>
      </c>
      <c r="B21" s="2153"/>
      <c r="C21" s="1592"/>
      <c r="D21" s="1593"/>
      <c r="E21" s="1593"/>
      <c r="F21" s="1593"/>
      <c r="G21" s="1593"/>
      <c r="H21" s="1593"/>
      <c r="I21" s="1593"/>
      <c r="J21" s="1593"/>
      <c r="K21" s="1594"/>
      <c r="L21" s="524"/>
    </row>
    <row r="22" spans="1:12" ht="15.75" customHeight="1" collapsed="1" x14ac:dyDescent="0.2">
      <c r="A22" s="2148" t="s">
        <v>617</v>
      </c>
      <c r="B22" s="2149"/>
      <c r="C22" s="477"/>
      <c r="D22" s="477"/>
      <c r="E22" s="477"/>
      <c r="F22" s="477"/>
      <c r="G22" s="477"/>
      <c r="H22" s="477"/>
      <c r="I22" s="477"/>
      <c r="J22" s="477"/>
      <c r="K22" s="477"/>
      <c r="L22" s="347"/>
    </row>
    <row r="23" spans="1:12" s="485" customFormat="1" ht="15.75" customHeight="1" x14ac:dyDescent="0.2">
      <c r="A23" s="2144" t="s">
        <v>311</v>
      </c>
      <c r="B23" s="2145"/>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6" t="s">
        <v>1038</v>
      </c>
      <c r="B32" s="2147"/>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3">
        <f>SUM(C54:D57,H54:H57)</f>
        <v>0</v>
      </c>
      <c r="F37" s="475"/>
      <c r="G37" s="475"/>
      <c r="H37" s="475"/>
      <c r="I37" s="477"/>
      <c r="J37" s="475"/>
      <c r="K37" s="475"/>
      <c r="L37" s="524"/>
    </row>
    <row r="38" spans="1:12" s="485" customFormat="1" x14ac:dyDescent="0.2">
      <c r="A38" s="1511" t="s">
        <v>462</v>
      </c>
      <c r="B38" s="525">
        <v>7500</v>
      </c>
      <c r="C38" s="477"/>
      <c r="D38" s="477"/>
      <c r="E38" s="1763">
        <f>SUM(C58:D61,H58:H61)</f>
        <v>0</v>
      </c>
      <c r="F38" s="477"/>
      <c r="G38" s="477"/>
      <c r="H38" s="477"/>
      <c r="I38" s="477"/>
      <c r="J38" s="477"/>
      <c r="K38" s="477"/>
      <c r="L38" s="524"/>
    </row>
    <row r="39" spans="1:12" s="485" customFormat="1" x14ac:dyDescent="0.2">
      <c r="A39" s="1511" t="s">
        <v>463</v>
      </c>
      <c r="B39" s="525">
        <v>7600</v>
      </c>
      <c r="C39" s="477"/>
      <c r="D39" s="477"/>
      <c r="E39" s="1763">
        <f>SUM(C62:D65)</f>
        <v>0</v>
      </c>
      <c r="F39" s="477"/>
      <c r="G39" s="477"/>
      <c r="H39" s="477"/>
      <c r="I39" s="477"/>
      <c r="J39" s="477"/>
      <c r="K39" s="477"/>
      <c r="L39" s="524"/>
    </row>
    <row r="40" spans="1:12" s="485" customFormat="1" ht="13.5" customHeight="1" x14ac:dyDescent="0.2">
      <c r="A40" s="1511" t="s">
        <v>663</v>
      </c>
      <c r="B40" s="483">
        <v>7700</v>
      </c>
      <c r="C40" s="477"/>
      <c r="D40" s="477"/>
      <c r="E40" s="1763">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3">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4" t="s">
        <v>392</v>
      </c>
      <c r="B44" s="2155"/>
      <c r="C44" s="1723">
        <f>SUM(C24:C43)</f>
        <v>0</v>
      </c>
      <c r="D44" s="1723">
        <f t="shared" ref="D44:K44" si="6">SUM(D24:D43)</f>
        <v>0</v>
      </c>
      <c r="E44" s="1723">
        <f t="shared" si="6"/>
        <v>0</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48" t="s">
        <v>110</v>
      </c>
      <c r="B45" s="2149"/>
      <c r="C45" s="528"/>
      <c r="D45" s="528"/>
      <c r="E45" s="528"/>
      <c r="F45" s="528"/>
      <c r="G45" s="528"/>
      <c r="H45" s="528"/>
      <c r="I45" s="528"/>
      <c r="J45" s="528"/>
      <c r="K45" s="528"/>
      <c r="L45" s="347"/>
    </row>
    <row r="46" spans="1:12" s="485" customFormat="1" ht="15.75" customHeight="1" x14ac:dyDescent="0.2">
      <c r="A46" s="2156" t="s">
        <v>111</v>
      </c>
      <c r="B46" s="2157"/>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3">
        <f>SUM(C24,C25:H25,J25:K25)</f>
        <v>0</v>
      </c>
      <c r="J47" s="477"/>
      <c r="K47" s="477"/>
      <c r="L47" s="529"/>
    </row>
    <row r="48" spans="1:12" s="485" customFormat="1" ht="15" x14ac:dyDescent="0.2">
      <c r="A48" s="1512" t="s">
        <v>1759</v>
      </c>
      <c r="B48" s="483">
        <v>8120</v>
      </c>
      <c r="C48" s="480"/>
      <c r="D48" s="480"/>
      <c r="E48" s="477"/>
      <c r="F48" s="480"/>
      <c r="G48" s="477"/>
      <c r="H48" s="477"/>
      <c r="I48" s="1763">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3">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3">
        <f>D30</f>
        <v>0</v>
      </c>
      <c r="L52" s="524"/>
    </row>
    <row r="53" spans="1:12" s="485" customFormat="1" ht="26.25" x14ac:dyDescent="0.2">
      <c r="A53" s="1512" t="s">
        <v>1899</v>
      </c>
      <c r="B53" s="483">
        <v>8170</v>
      </c>
      <c r="C53" s="480"/>
      <c r="D53" s="480"/>
      <c r="E53" s="477"/>
      <c r="F53" s="477"/>
      <c r="G53" s="477"/>
      <c r="H53" s="480"/>
      <c r="I53" s="477"/>
      <c r="J53" s="477"/>
      <c r="K53" s="1763">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0" t="s">
        <v>460</v>
      </c>
      <c r="B76" s="2131"/>
      <c r="C76" s="1723">
        <f t="shared" ref="C76:K76" si="7">SUM(C47:C75)</f>
        <v>0</v>
      </c>
      <c r="D76" s="1723">
        <f t="shared" si="7"/>
        <v>0</v>
      </c>
      <c r="E76" s="1723">
        <f t="shared" si="7"/>
        <v>0</v>
      </c>
      <c r="F76" s="1723">
        <f t="shared" si="7"/>
        <v>0</v>
      </c>
      <c r="G76" s="1723">
        <f t="shared" si="7"/>
        <v>0</v>
      </c>
      <c r="H76" s="1723">
        <f t="shared" si="7"/>
        <v>0</v>
      </c>
      <c r="I76" s="1723">
        <f t="shared" si="7"/>
        <v>0</v>
      </c>
      <c r="J76" s="1723">
        <f t="shared" si="7"/>
        <v>0</v>
      </c>
      <c r="K76" s="1723">
        <f t="shared" si="7"/>
        <v>0</v>
      </c>
      <c r="L76" s="524"/>
    </row>
    <row r="77" spans="1:12" ht="14.25" thickTop="1" thickBot="1" x14ac:dyDescent="0.25">
      <c r="A77" s="2132" t="s">
        <v>1239</v>
      </c>
      <c r="B77" s="2133"/>
      <c r="C77" s="1723">
        <f t="shared" ref="C77:K77" si="8">C44-C76</f>
        <v>0</v>
      </c>
      <c r="D77" s="1723">
        <f t="shared" si="8"/>
        <v>0</v>
      </c>
      <c r="E77" s="1723">
        <f t="shared" si="8"/>
        <v>0</v>
      </c>
      <c r="F77" s="1723">
        <f t="shared" si="8"/>
        <v>0</v>
      </c>
      <c r="G77" s="1723">
        <f t="shared" si="8"/>
        <v>0</v>
      </c>
      <c r="H77" s="1723">
        <f t="shared" si="8"/>
        <v>0</v>
      </c>
      <c r="I77" s="1723">
        <f t="shared" si="8"/>
        <v>0</v>
      </c>
      <c r="J77" s="1723">
        <f t="shared" si="8"/>
        <v>0</v>
      </c>
      <c r="K77" s="1723">
        <f t="shared" si="8"/>
        <v>0</v>
      </c>
      <c r="L77" s="347"/>
    </row>
    <row r="78" spans="1:12" ht="21.75" customHeight="1" thickTop="1" thickBot="1" x14ac:dyDescent="0.25">
      <c r="A78" s="2136" t="s">
        <v>618</v>
      </c>
      <c r="B78" s="2137"/>
      <c r="C78" s="1722">
        <f t="shared" ref="C78:K78" si="9">C20+C77</f>
        <v>-162919</v>
      </c>
      <c r="D78" s="1722">
        <f t="shared" si="9"/>
        <v>-78739</v>
      </c>
      <c r="E78" s="1722">
        <f t="shared" si="9"/>
        <v>-229549</v>
      </c>
      <c r="F78" s="1722">
        <f t="shared" si="9"/>
        <v>211736</v>
      </c>
      <c r="G78" s="1722">
        <f t="shared" si="9"/>
        <v>-93160</v>
      </c>
      <c r="H78" s="1722">
        <f t="shared" si="9"/>
        <v>-274581</v>
      </c>
      <c r="I78" s="1722">
        <f t="shared" si="9"/>
        <v>53265</v>
      </c>
      <c r="J78" s="1722">
        <f t="shared" si="9"/>
        <v>-7362</v>
      </c>
      <c r="K78" s="1722">
        <f t="shared" si="9"/>
        <v>91118</v>
      </c>
      <c r="L78" s="533"/>
    </row>
    <row r="79" spans="1:12" ht="13.5" thickTop="1" x14ac:dyDescent="0.2">
      <c r="A79" s="1516" t="s">
        <v>2073</v>
      </c>
      <c r="B79" s="534"/>
      <c r="C79" s="478">
        <v>6479017</v>
      </c>
      <c r="D79" s="535">
        <v>2002413</v>
      </c>
      <c r="E79" s="535">
        <v>222298</v>
      </c>
      <c r="F79" s="535">
        <v>2070615</v>
      </c>
      <c r="G79" s="535">
        <v>686347</v>
      </c>
      <c r="H79" s="535">
        <v>270121</v>
      </c>
      <c r="I79" s="535">
        <v>889686</v>
      </c>
      <c r="J79" s="535">
        <v>285176</v>
      </c>
      <c r="K79" s="535">
        <v>225472</v>
      </c>
      <c r="L79" s="347"/>
    </row>
    <row r="80" spans="1:12" x14ac:dyDescent="0.2">
      <c r="A80" s="2142" t="s">
        <v>1898</v>
      </c>
      <c r="B80" s="2143"/>
      <c r="C80" s="467"/>
      <c r="D80" s="467"/>
      <c r="E80" s="467"/>
      <c r="F80" s="467"/>
      <c r="G80" s="467"/>
      <c r="H80" s="467"/>
      <c r="I80" s="467"/>
      <c r="J80" s="467"/>
      <c r="K80" s="467"/>
      <c r="L80" s="347"/>
    </row>
    <row r="81" spans="1:12" ht="13.5" thickBot="1" x14ac:dyDescent="0.25">
      <c r="A81" s="2134" t="s">
        <v>2074</v>
      </c>
      <c r="B81" s="2135"/>
      <c r="C81" s="1708">
        <f>(SUM(C78:C80))</f>
        <v>6316098</v>
      </c>
      <c r="D81" s="1708">
        <f>SUM(D78:D80)</f>
        <v>1923674</v>
      </c>
      <c r="E81" s="1708">
        <f t="shared" ref="E81:K81" si="10">SUM(E78:E80)</f>
        <v>-7251</v>
      </c>
      <c r="F81" s="1708">
        <f t="shared" si="10"/>
        <v>2282351</v>
      </c>
      <c r="G81" s="1708">
        <f t="shared" si="10"/>
        <v>593187</v>
      </c>
      <c r="H81" s="1708">
        <f t="shared" si="10"/>
        <v>-4460</v>
      </c>
      <c r="I81" s="1708">
        <f t="shared" si="10"/>
        <v>942951</v>
      </c>
      <c r="J81" s="1708">
        <f t="shared" si="10"/>
        <v>277814</v>
      </c>
      <c r="K81" s="1708">
        <f t="shared" si="10"/>
        <v>316590</v>
      </c>
      <c r="L81" s="347"/>
    </row>
    <row r="82" spans="1:12" ht="0.75" customHeight="1" thickTop="1" thickBot="1" x14ac:dyDescent="0.25">
      <c r="A82" s="536" t="s">
        <v>361</v>
      </c>
      <c r="B82" s="537"/>
      <c r="C82" s="538">
        <f>(C81-C79)</f>
        <v>-162919</v>
      </c>
      <c r="D82" s="538">
        <f t="shared" ref="D82:K82" si="11">(D81-D79)</f>
        <v>-78739</v>
      </c>
      <c r="E82" s="538">
        <f t="shared" si="11"/>
        <v>-229549</v>
      </c>
      <c r="F82" s="538">
        <f t="shared" si="11"/>
        <v>211736</v>
      </c>
      <c r="G82" s="538">
        <f t="shared" si="11"/>
        <v>-93160</v>
      </c>
      <c r="H82" s="538">
        <f t="shared" si="11"/>
        <v>-274581</v>
      </c>
      <c r="I82" s="538">
        <f t="shared" si="11"/>
        <v>53265</v>
      </c>
      <c r="J82" s="538">
        <f t="shared" si="11"/>
        <v>-7362</v>
      </c>
      <c r="K82" s="538">
        <f t="shared" si="11"/>
        <v>91118</v>
      </c>
    </row>
    <row r="83" spans="1:12" ht="14.25" hidden="1" thickTop="1" thickBot="1" x14ac:dyDescent="0.25">
      <c r="A83" s="539" t="s">
        <v>362</v>
      </c>
      <c r="B83" s="464"/>
      <c r="C83" s="540">
        <f>C82/C81</f>
        <v>-2.5794248284304645E-2</v>
      </c>
      <c r="D83" s="540">
        <f t="shared" ref="D83:K83" si="12">D82/D81</f>
        <v>-4.0931571565660296E-2</v>
      </c>
      <c r="E83" s="540">
        <f t="shared" si="12"/>
        <v>31.657564473865673</v>
      </c>
      <c r="F83" s="540">
        <f t="shared" si="12"/>
        <v>9.2771006738227385E-2</v>
      </c>
      <c r="G83" s="540">
        <f t="shared" si="12"/>
        <v>-0.15704996906540433</v>
      </c>
      <c r="H83" s="540">
        <f t="shared" si="12"/>
        <v>61.565246636771299</v>
      </c>
      <c r="I83" s="540">
        <f t="shared" si="12"/>
        <v>5.6487558738471035E-2</v>
      </c>
      <c r="J83" s="540">
        <f t="shared" si="12"/>
        <v>-2.6499744433325895E-2</v>
      </c>
      <c r="K83" s="540">
        <f t="shared" si="12"/>
        <v>0.28781073312486183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&amp;F&amp;RThe notes to the financial statments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5" activePane="bottomLeft" state="frozen"/>
      <selection activeCell="T14" sqref="T14"/>
      <selection pane="bottomLeft" activeCell="C7" sqref="C7"/>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8" t="s">
        <v>1905</v>
      </c>
      <c r="B1" s="452"/>
      <c r="C1" s="453" t="s">
        <v>445</v>
      </c>
      <c r="D1" s="453" t="s">
        <v>446</v>
      </c>
      <c r="E1" s="453" t="s">
        <v>447</v>
      </c>
      <c r="F1" s="453" t="s">
        <v>448</v>
      </c>
      <c r="G1" s="453" t="s">
        <v>449</v>
      </c>
      <c r="H1" s="453" t="s">
        <v>450</v>
      </c>
      <c r="I1" s="453" t="s">
        <v>451</v>
      </c>
      <c r="J1" s="453" t="s">
        <v>452</v>
      </c>
      <c r="K1" s="453" t="s">
        <v>780</v>
      </c>
    </row>
    <row r="2" spans="1:12" ht="36" x14ac:dyDescent="0.2">
      <c r="A2" s="213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6646398</v>
      </c>
      <c r="D5" s="481">
        <v>1372475</v>
      </c>
      <c r="E5" s="466">
        <v>745836</v>
      </c>
      <c r="F5" s="548">
        <v>477956</v>
      </c>
      <c r="G5" s="466">
        <v>54524</v>
      </c>
      <c r="H5" s="466"/>
      <c r="I5" s="466">
        <v>52558</v>
      </c>
      <c r="J5" s="467">
        <v>776146</v>
      </c>
      <c r="K5" s="466">
        <v>143610</v>
      </c>
    </row>
    <row r="6" spans="1:12" ht="15" x14ac:dyDescent="0.2">
      <c r="A6" s="463" t="s">
        <v>1761</v>
      </c>
      <c r="B6" s="470">
        <v>1130</v>
      </c>
      <c r="C6" s="466"/>
      <c r="D6" s="466"/>
      <c r="E6" s="475"/>
      <c r="F6" s="475"/>
      <c r="G6" s="468"/>
      <c r="H6" s="468"/>
      <c r="I6" s="468"/>
      <c r="J6" s="468"/>
      <c r="K6" s="468"/>
    </row>
    <row r="7" spans="1:12" x14ac:dyDescent="0.2">
      <c r="A7" s="463" t="s">
        <v>112</v>
      </c>
      <c r="B7" s="549">
        <v>1140</v>
      </c>
      <c r="C7" s="466">
        <v>100213</v>
      </c>
      <c r="D7" s="466"/>
      <c r="E7" s="468"/>
      <c r="F7" s="467"/>
      <c r="G7" s="467"/>
      <c r="H7" s="467"/>
      <c r="I7" s="468"/>
      <c r="J7" s="468"/>
      <c r="K7" s="468"/>
    </row>
    <row r="8" spans="1:12" x14ac:dyDescent="0.2">
      <c r="A8" s="463" t="s">
        <v>433</v>
      </c>
      <c r="B8" s="470">
        <v>1150</v>
      </c>
      <c r="C8" s="475"/>
      <c r="D8" s="475"/>
      <c r="E8" s="477"/>
      <c r="F8" s="477"/>
      <c r="G8" s="481">
        <v>272301</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5" t="s">
        <v>29</v>
      </c>
      <c r="B12" s="1726"/>
      <c r="C12" s="1727">
        <f t="shared" ref="C12:K12" si="0">SUM(C5:C11)</f>
        <v>6746611</v>
      </c>
      <c r="D12" s="1727">
        <f t="shared" si="0"/>
        <v>1372475</v>
      </c>
      <c r="E12" s="1727">
        <f t="shared" si="0"/>
        <v>745836</v>
      </c>
      <c r="F12" s="1727">
        <f t="shared" si="0"/>
        <v>477956</v>
      </c>
      <c r="G12" s="1727">
        <f t="shared" si="0"/>
        <v>326825</v>
      </c>
      <c r="H12" s="1727">
        <f t="shared" si="0"/>
        <v>0</v>
      </c>
      <c r="I12" s="1727">
        <f t="shared" si="0"/>
        <v>52558</v>
      </c>
      <c r="J12" s="1727">
        <f t="shared" si="0"/>
        <v>776146</v>
      </c>
      <c r="K12" s="1708">
        <f t="shared" si="0"/>
        <v>143610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74475</v>
      </c>
      <c r="D16" s="466"/>
      <c r="E16" s="466"/>
      <c r="F16" s="466"/>
      <c r="G16" s="466">
        <v>2200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8" t="s">
        <v>558</v>
      </c>
      <c r="B18" s="1729"/>
      <c r="C18" s="1730">
        <f>SUM(C14:C17)</f>
        <v>74475</v>
      </c>
      <c r="D18" s="1730">
        <f t="shared" ref="D18:K18" si="1">SUM(D14:D17)</f>
        <v>0</v>
      </c>
      <c r="E18" s="1730">
        <f t="shared" si="1"/>
        <v>0</v>
      </c>
      <c r="F18" s="1730">
        <f t="shared" si="1"/>
        <v>0</v>
      </c>
      <c r="G18" s="1730">
        <f t="shared" si="1"/>
        <v>2200</v>
      </c>
      <c r="H18" s="1730">
        <f t="shared" si="1"/>
        <v>0</v>
      </c>
      <c r="I18" s="1730">
        <f t="shared" si="1"/>
        <v>0</v>
      </c>
      <c r="J18" s="1730">
        <f t="shared" si="1"/>
        <v>0</v>
      </c>
      <c r="K18" s="1731">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28" t="s">
        <v>559</v>
      </c>
      <c r="B40" s="1729"/>
      <c r="C40" s="1708">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v>45000</v>
      </c>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28" t="s">
        <v>506</v>
      </c>
      <c r="B63" s="1729"/>
      <c r="C63" s="468"/>
      <c r="D63" s="468"/>
      <c r="E63" s="468"/>
      <c r="F63" s="1708">
        <f>SUM(F42:F62)</f>
        <v>45000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120519</v>
      </c>
      <c r="D65" s="466">
        <v>2925</v>
      </c>
      <c r="E65" s="466">
        <v>393</v>
      </c>
      <c r="F65" s="467">
        <v>1830</v>
      </c>
      <c r="G65" s="466">
        <v>3170</v>
      </c>
      <c r="H65" s="466"/>
      <c r="I65" s="466">
        <v>707</v>
      </c>
      <c r="J65" s="467">
        <v>2649</v>
      </c>
      <c r="K65" s="466">
        <v>306</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8" t="s">
        <v>507</v>
      </c>
      <c r="B67" s="1729"/>
      <c r="C67" s="1708">
        <f>SUM(C65:C66)</f>
        <v>120519</v>
      </c>
      <c r="D67" s="1708">
        <f t="shared" ref="D67:K67" si="2">SUM(D65:D66)</f>
        <v>2925</v>
      </c>
      <c r="E67" s="1708">
        <f t="shared" si="2"/>
        <v>393</v>
      </c>
      <c r="F67" s="1708">
        <f t="shared" si="2"/>
        <v>1830</v>
      </c>
      <c r="G67" s="1708">
        <f t="shared" si="2"/>
        <v>3170</v>
      </c>
      <c r="H67" s="1708">
        <f t="shared" si="2"/>
        <v>0</v>
      </c>
      <c r="I67" s="1708">
        <f t="shared" si="2"/>
        <v>707</v>
      </c>
      <c r="J67" s="1708">
        <f t="shared" si="2"/>
        <v>2649</v>
      </c>
      <c r="K67" s="1708">
        <f t="shared" si="2"/>
        <v>306</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382535</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7015</v>
      </c>
      <c r="D73" s="468"/>
      <c r="E73" s="468"/>
      <c r="F73" s="468"/>
      <c r="G73" s="468"/>
      <c r="H73" s="468"/>
      <c r="I73" s="468"/>
      <c r="J73" s="468"/>
      <c r="K73" s="468"/>
    </row>
    <row r="74" spans="1:11" ht="12.75" customHeight="1" x14ac:dyDescent="0.2">
      <c r="A74" s="463" t="s">
        <v>25</v>
      </c>
      <c r="B74" s="470">
        <v>1690</v>
      </c>
      <c r="C74" s="551">
        <v>4325</v>
      </c>
      <c r="D74" s="468"/>
      <c r="E74" s="468"/>
      <c r="F74" s="468"/>
      <c r="G74" s="468"/>
      <c r="H74" s="468"/>
      <c r="I74" s="468"/>
      <c r="J74" s="468"/>
      <c r="K74" s="468"/>
    </row>
    <row r="75" spans="1:11" ht="12.75" customHeight="1" thickBot="1" x14ac:dyDescent="0.25">
      <c r="A75" s="1728" t="s">
        <v>569</v>
      </c>
      <c r="B75" s="1729"/>
      <c r="C75" s="1708">
        <f>SUM(C69:C74)</f>
        <v>393875</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38133</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18965</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1087</v>
      </c>
      <c r="D81" s="466"/>
      <c r="E81" s="468"/>
      <c r="F81" s="468"/>
      <c r="G81" s="468"/>
      <c r="H81" s="468"/>
      <c r="I81" s="468"/>
      <c r="J81" s="468"/>
      <c r="K81" s="468"/>
    </row>
    <row r="82" spans="1:11" ht="12.75" customHeight="1" thickBot="1" x14ac:dyDescent="0.25">
      <c r="A82" s="1728" t="s">
        <v>259</v>
      </c>
      <c r="B82" s="1729"/>
      <c r="C82" s="1727">
        <f>SUM(C77:C81)</f>
        <v>58185</v>
      </c>
      <c r="D82" s="1708">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102541</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v>6736</v>
      </c>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8" t="s">
        <v>261</v>
      </c>
      <c r="B93" s="1729"/>
      <c r="C93" s="1708">
        <f>SUM(C84:C92)</f>
        <v>109277</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63046</v>
      </c>
      <c r="E95" s="521"/>
      <c r="F95" s="521"/>
      <c r="G95" s="521"/>
      <c r="H95" s="521"/>
      <c r="I95" s="521"/>
      <c r="J95" s="521"/>
      <c r="K95" s="521"/>
    </row>
    <row r="96" spans="1:11" ht="12.75" customHeight="1" x14ac:dyDescent="0.2">
      <c r="A96" s="463" t="s">
        <v>409</v>
      </c>
      <c r="B96" s="470">
        <v>1920</v>
      </c>
      <c r="C96" s="551">
        <v>783</v>
      </c>
      <c r="D96" s="551">
        <v>10000</v>
      </c>
      <c r="E96" s="479"/>
      <c r="F96" s="478"/>
      <c r="G96" s="478"/>
      <c r="H96" s="478"/>
      <c r="I96" s="478"/>
      <c r="J96" s="478"/>
      <c r="K96" s="478"/>
    </row>
    <row r="97" spans="1:12" ht="12.75" customHeight="1" x14ac:dyDescent="0.2">
      <c r="A97" s="1517" t="s">
        <v>262</v>
      </c>
      <c r="B97" s="559">
        <v>1930</v>
      </c>
      <c r="C97" s="489"/>
      <c r="D97" s="467">
        <v>9470</v>
      </c>
      <c r="E97" s="474"/>
      <c r="F97" s="467"/>
      <c r="G97" s="467"/>
      <c r="H97" s="467"/>
      <c r="I97" s="467"/>
      <c r="J97" s="467"/>
      <c r="K97" s="467"/>
    </row>
    <row r="98" spans="1:12" ht="12.75" customHeight="1" x14ac:dyDescent="0.2">
      <c r="A98" s="463" t="s">
        <v>198</v>
      </c>
      <c r="B98" s="470">
        <v>1940</v>
      </c>
      <c r="C98" s="489">
        <v>1550</v>
      </c>
      <c r="D98" s="466"/>
      <c r="E98" s="512"/>
      <c r="F98" s="466"/>
      <c r="G98" s="512"/>
      <c r="H98" s="512"/>
      <c r="I98" s="510"/>
      <c r="J98" s="512"/>
      <c r="K98" s="512"/>
    </row>
    <row r="99" spans="1:12" ht="12.75" customHeight="1" x14ac:dyDescent="0.2">
      <c r="A99" s="463" t="s">
        <v>875</v>
      </c>
      <c r="B99" s="470">
        <v>1950</v>
      </c>
      <c r="C99" s="489">
        <v>153841</v>
      </c>
      <c r="D99" s="466">
        <v>16359</v>
      </c>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v>3664</v>
      </c>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292256</v>
      </c>
      <c r="D106" s="489"/>
      <c r="E106" s="467"/>
      <c r="F106" s="467"/>
      <c r="G106" s="467"/>
      <c r="H106" s="467"/>
      <c r="I106" s="521"/>
      <c r="J106" s="467"/>
      <c r="K106" s="467"/>
    </row>
    <row r="107" spans="1:12" ht="12.75" customHeight="1" x14ac:dyDescent="0.2">
      <c r="A107" s="463" t="s">
        <v>80</v>
      </c>
      <c r="B107" s="470">
        <v>1999</v>
      </c>
      <c r="C107" s="551">
        <v>177</v>
      </c>
      <c r="D107" s="466"/>
      <c r="E107" s="466"/>
      <c r="F107" s="466">
        <v>1820</v>
      </c>
      <c r="G107" s="466"/>
      <c r="H107" s="466"/>
      <c r="I107" s="466"/>
      <c r="J107" s="467"/>
      <c r="K107" s="466"/>
    </row>
    <row r="108" spans="1:12" ht="12.75" customHeight="1" thickBot="1" x14ac:dyDescent="0.25">
      <c r="A108" s="1728" t="s">
        <v>508</v>
      </c>
      <c r="B108" s="1732"/>
      <c r="C108" s="1727">
        <f>SUM(C95:C107)</f>
        <v>452271</v>
      </c>
      <c r="D108" s="1727">
        <f t="shared" ref="D108:K108" si="3">SUM(D95:D107)</f>
        <v>98875</v>
      </c>
      <c r="E108" s="1727">
        <f t="shared" si="3"/>
        <v>0</v>
      </c>
      <c r="F108" s="1727">
        <f t="shared" si="3"/>
        <v>1820</v>
      </c>
      <c r="G108" s="1727">
        <f t="shared" si="3"/>
        <v>0</v>
      </c>
      <c r="H108" s="1727">
        <f t="shared" si="3"/>
        <v>0</v>
      </c>
      <c r="I108" s="1727">
        <f t="shared" si="3"/>
        <v>0</v>
      </c>
      <c r="J108" s="1727">
        <f t="shared" si="3"/>
        <v>0</v>
      </c>
      <c r="K108" s="1708">
        <f t="shared" si="3"/>
        <v>0</v>
      </c>
    </row>
    <row r="109" spans="1:12" ht="14.25" thickTop="1" thickBot="1" x14ac:dyDescent="0.25">
      <c r="A109" s="1733" t="s">
        <v>266</v>
      </c>
      <c r="B109" s="1734" t="s">
        <v>591</v>
      </c>
      <c r="C109" s="1735">
        <f t="shared" ref="C109:K109" si="4">SUM(C12,C18,C40,C63,C67,C75,C82,C93,C108,)</f>
        <v>7955213</v>
      </c>
      <c r="D109" s="1735">
        <f t="shared" si="4"/>
        <v>1474275</v>
      </c>
      <c r="E109" s="1735">
        <f t="shared" si="4"/>
        <v>746229</v>
      </c>
      <c r="F109" s="1735">
        <f t="shared" si="4"/>
        <v>526606</v>
      </c>
      <c r="G109" s="1735">
        <f t="shared" si="4"/>
        <v>332195</v>
      </c>
      <c r="H109" s="1735">
        <f t="shared" si="4"/>
        <v>0</v>
      </c>
      <c r="I109" s="1735">
        <f t="shared" si="4"/>
        <v>53265</v>
      </c>
      <c r="J109" s="1735">
        <f t="shared" si="4"/>
        <v>778795</v>
      </c>
      <c r="K109" s="1722">
        <f t="shared" si="4"/>
        <v>143916</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28713</v>
      </c>
      <c r="D111" s="481"/>
      <c r="E111" s="561"/>
      <c r="F111" s="481"/>
      <c r="G111" s="481"/>
      <c r="H111" s="561"/>
      <c r="I111" s="468"/>
      <c r="J111" s="468"/>
      <c r="K111" s="468"/>
    </row>
    <row r="112" spans="1:12" ht="12.75" customHeight="1" x14ac:dyDescent="0.2">
      <c r="A112" s="463" t="s">
        <v>878</v>
      </c>
      <c r="B112" s="470">
        <v>2200</v>
      </c>
      <c r="C112" s="551">
        <v>154235</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6" t="s">
        <v>839</v>
      </c>
      <c r="B114" s="1737" t="s">
        <v>590</v>
      </c>
      <c r="C114" s="1738">
        <f>SUM(C111:C113)</f>
        <v>182948</v>
      </c>
      <c r="D114" s="1738">
        <f>SUM(D111:D113)</f>
        <v>0</v>
      </c>
      <c r="E114" s="561" t="s">
        <v>1231</v>
      </c>
      <c r="F114" s="1738">
        <f>SUM(F111:F113)</f>
        <v>0</v>
      </c>
      <c r="G114" s="1738">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1662147</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28" t="s">
        <v>509</v>
      </c>
      <c r="B121" s="1739"/>
      <c r="C121" s="1727">
        <f t="shared" ref="C121:H121" si="5">SUM(C117:C120)</f>
        <v>1662147</v>
      </c>
      <c r="D121" s="1727">
        <f t="shared" si="5"/>
        <v>0</v>
      </c>
      <c r="E121" s="1727">
        <f t="shared" si="5"/>
        <v>0</v>
      </c>
      <c r="F121" s="1727">
        <f t="shared" si="5"/>
        <v>0</v>
      </c>
      <c r="G121" s="1727">
        <f t="shared" si="5"/>
        <v>0</v>
      </c>
      <c r="H121" s="1727">
        <f t="shared" si="5"/>
        <v>0</v>
      </c>
      <c r="I121" s="468"/>
      <c r="J121" s="1727">
        <f>SUM(J117:J120)</f>
        <v>0</v>
      </c>
      <c r="K121" s="1708">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677</v>
      </c>
      <c r="D124" s="561"/>
      <c r="E124" s="468"/>
      <c r="F124" s="548"/>
      <c r="G124" s="468"/>
      <c r="H124" s="468"/>
      <c r="I124" s="468"/>
      <c r="J124" s="468"/>
      <c r="K124" s="468"/>
    </row>
    <row r="125" spans="1:11" ht="12.75" customHeight="1" x14ac:dyDescent="0.2">
      <c r="A125" s="463" t="s">
        <v>1521</v>
      </c>
      <c r="B125" s="562">
        <v>3105</v>
      </c>
      <c r="C125" s="466">
        <v>77052</v>
      </c>
      <c r="D125" s="561"/>
      <c r="E125" s="468"/>
      <c r="F125" s="466"/>
      <c r="G125" s="468"/>
      <c r="H125" s="468"/>
      <c r="I125" s="468"/>
      <c r="J125" s="468"/>
      <c r="K125" s="468"/>
    </row>
    <row r="126" spans="1:11" ht="12.75" customHeight="1" x14ac:dyDescent="0.2">
      <c r="A126" s="463" t="s">
        <v>922</v>
      </c>
      <c r="B126" s="562">
        <v>3110</v>
      </c>
      <c r="C126" s="551">
        <v>30159</v>
      </c>
      <c r="D126" s="466"/>
      <c r="E126" s="468"/>
      <c r="F126" s="466"/>
      <c r="G126" s="468"/>
      <c r="H126" s="468"/>
      <c r="I126" s="468"/>
      <c r="J126" s="468"/>
      <c r="K126" s="468"/>
    </row>
    <row r="127" spans="1:11" ht="12.75" customHeight="1" x14ac:dyDescent="0.2">
      <c r="A127" s="463" t="s">
        <v>107</v>
      </c>
      <c r="B127" s="562">
        <v>3120</v>
      </c>
      <c r="C127" s="466">
        <v>10686</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73</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8" t="s">
        <v>1092</v>
      </c>
      <c r="B131" s="1740"/>
      <c r="C131" s="1727">
        <f>SUM(C124:C130)</f>
        <v>118647</v>
      </c>
      <c r="D131" s="1727">
        <f>SUM(D124:D130)</f>
        <v>0</v>
      </c>
      <c r="E131" s="469" t="s">
        <v>1231</v>
      </c>
      <c r="F131" s="1727">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4041</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8" t="s">
        <v>624</v>
      </c>
      <c r="B140" s="1740"/>
      <c r="C140" s="1727">
        <f>SUM(C133:C139)</f>
        <v>4041</v>
      </c>
      <c r="D140" s="1727">
        <f>SUM(D133:D139)</f>
        <v>0</v>
      </c>
      <c r="E140" s="561" t="s">
        <v>1231</v>
      </c>
      <c r="F140" s="477"/>
      <c r="G140" s="1727">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8" t="s">
        <v>414</v>
      </c>
      <c r="B144" s="1740"/>
      <c r="C144" s="1708">
        <f>SUM(C142:C143)</f>
        <v>0</v>
      </c>
      <c r="D144" s="468"/>
      <c r="E144" s="509"/>
      <c r="F144" s="468"/>
      <c r="G144" s="1741">
        <f>SUM(G142:G143)</f>
        <v>0</v>
      </c>
      <c r="H144" s="468"/>
      <c r="I144" s="468"/>
      <c r="J144" s="468"/>
      <c r="K144" s="468"/>
    </row>
    <row r="145" spans="1:11" s="202" customFormat="1" ht="12.75" customHeight="1" thickTop="1" x14ac:dyDescent="0.2">
      <c r="A145" s="1520" t="s">
        <v>1116</v>
      </c>
      <c r="B145" s="568">
        <v>3360</v>
      </c>
      <c r="C145" s="569">
        <v>912</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29249</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477881</v>
      </c>
      <c r="G151" s="467"/>
      <c r="H151" s="468"/>
      <c r="I151" s="468"/>
      <c r="J151" s="468"/>
      <c r="K151" s="468"/>
    </row>
    <row r="152" spans="1:11" ht="12.75" customHeight="1" x14ac:dyDescent="0.2">
      <c r="A152" s="463" t="s">
        <v>1117</v>
      </c>
      <c r="B152" s="562">
        <v>3510</v>
      </c>
      <c r="C152" s="551"/>
      <c r="D152" s="466"/>
      <c r="E152" s="561"/>
      <c r="F152" s="466">
        <v>89591</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8" t="s">
        <v>96</v>
      </c>
      <c r="B154" s="1740"/>
      <c r="C154" s="1727">
        <f>SUM(C151:C153)</f>
        <v>0</v>
      </c>
      <c r="D154" s="1727">
        <f>SUM(D151:D153)</f>
        <v>0</v>
      </c>
      <c r="E154" s="561"/>
      <c r="F154" s="1727">
        <f>SUM(F151:F153)</f>
        <v>567472</v>
      </c>
      <c r="G154" s="1727">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147482</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12274</v>
      </c>
      <c r="D171" s="580"/>
      <c r="E171" s="580"/>
      <c r="F171" s="580"/>
      <c r="G171" s="581"/>
      <c r="H171" s="582"/>
      <c r="I171" s="581"/>
      <c r="J171" s="581"/>
      <c r="K171" s="582"/>
    </row>
    <row r="172" spans="1:11" ht="12.75" customHeight="1" thickTop="1" thickBot="1" x14ac:dyDescent="0.25">
      <c r="A172" s="2158" t="s">
        <v>418</v>
      </c>
      <c r="B172" s="2159"/>
      <c r="C172" s="1742">
        <f t="shared" ref="C172:K172" si="6">SUM(C131,C140,C144,C145:C149,C154,C155:C170,C171)</f>
        <v>312605</v>
      </c>
      <c r="D172" s="1742">
        <f t="shared" si="6"/>
        <v>0</v>
      </c>
      <c r="E172" s="1742">
        <f t="shared" si="6"/>
        <v>0</v>
      </c>
      <c r="F172" s="1742">
        <f t="shared" si="6"/>
        <v>567472</v>
      </c>
      <c r="G172" s="1742">
        <f t="shared" si="6"/>
        <v>0</v>
      </c>
      <c r="H172" s="1742">
        <f t="shared" si="6"/>
        <v>0</v>
      </c>
      <c r="I172" s="1742">
        <f t="shared" si="6"/>
        <v>0</v>
      </c>
      <c r="J172" s="1742">
        <f t="shared" si="6"/>
        <v>0</v>
      </c>
      <c r="K172" s="1723">
        <f t="shared" si="6"/>
        <v>0</v>
      </c>
    </row>
    <row r="173" spans="1:11" ht="12.75" customHeight="1" thickTop="1" thickBot="1" x14ac:dyDescent="0.25">
      <c r="A173" s="1728" t="s">
        <v>419</v>
      </c>
      <c r="B173" s="1734" t="s">
        <v>596</v>
      </c>
      <c r="C173" s="1735">
        <f>SUM(C121,C172)</f>
        <v>1974752</v>
      </c>
      <c r="D173" s="1735">
        <f>SUM(D121,D172)</f>
        <v>0</v>
      </c>
      <c r="E173" s="1735">
        <f>SUM(E121,E172)</f>
        <v>0</v>
      </c>
      <c r="F173" s="1735">
        <f t="shared" ref="F173:K173" si="7">SUM(F121,F172)</f>
        <v>567472</v>
      </c>
      <c r="G173" s="1735">
        <f t="shared" si="7"/>
        <v>0</v>
      </c>
      <c r="H173" s="1735">
        <f t="shared" si="7"/>
        <v>0</v>
      </c>
      <c r="I173" s="1735">
        <f t="shared" si="7"/>
        <v>0</v>
      </c>
      <c r="J173" s="1735">
        <f t="shared" si="7"/>
        <v>0</v>
      </c>
      <c r="K173" s="1722">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0" t="s">
        <v>1572</v>
      </c>
      <c r="B175" s="2161"/>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4" t="s">
        <v>1764</v>
      </c>
      <c r="B178" s="2165"/>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68" t="s">
        <v>1763</v>
      </c>
      <c r="B179" s="2169"/>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6" t="s">
        <v>818</v>
      </c>
      <c r="B184" s="2167"/>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62" t="s">
        <v>1906</v>
      </c>
      <c r="B185" s="2163"/>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8" t="s">
        <v>1697</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94621</v>
      </c>
      <c r="D194" s="468"/>
      <c r="E194" s="561"/>
      <c r="F194" s="468"/>
      <c r="G194" s="585"/>
      <c r="H194" s="468"/>
      <c r="I194" s="468"/>
      <c r="J194" s="468"/>
      <c r="K194" s="468"/>
    </row>
    <row r="195" spans="1:11" ht="12.75" customHeight="1" x14ac:dyDescent="0.2">
      <c r="A195" s="463" t="s">
        <v>1107</v>
      </c>
      <c r="B195" s="470">
        <v>4215</v>
      </c>
      <c r="C195" s="551">
        <v>3578</v>
      </c>
      <c r="D195" s="468"/>
      <c r="E195" s="561"/>
      <c r="F195" s="468"/>
      <c r="G195" s="585"/>
      <c r="H195" s="468"/>
      <c r="I195" s="468"/>
      <c r="J195" s="468"/>
      <c r="K195" s="468"/>
    </row>
    <row r="196" spans="1:11" ht="12.75" customHeight="1" x14ac:dyDescent="0.2">
      <c r="A196" s="463" t="s">
        <v>1119</v>
      </c>
      <c r="B196" s="470">
        <v>4220</v>
      </c>
      <c r="C196" s="551">
        <v>11400</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8" t="s">
        <v>569</v>
      </c>
      <c r="B201" s="1729"/>
      <c r="C201" s="1708">
        <f>SUM(C193:C200)</f>
        <v>109599</v>
      </c>
      <c r="D201" s="468"/>
      <c r="E201" s="468"/>
      <c r="F201" s="468"/>
      <c r="G201" s="1708">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114217</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8" t="s">
        <v>420</v>
      </c>
      <c r="B211" s="1729"/>
      <c r="C211" s="1727">
        <f>SUM(C203:C210)</f>
        <v>114217</v>
      </c>
      <c r="D211" s="1727">
        <f>SUM(D203:D210)</f>
        <v>0</v>
      </c>
      <c r="E211" s="468"/>
      <c r="F211" s="1727">
        <f>SUM(F203:F210)</f>
        <v>0</v>
      </c>
      <c r="G211" s="1727">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8" t="s">
        <v>944</v>
      </c>
      <c r="B216" s="1729"/>
      <c r="C216" s="1727">
        <f>SUM(C213:C215)</f>
        <v>0</v>
      </c>
      <c r="D216" s="1727">
        <f>SUM(D213:D215)</f>
        <v>0</v>
      </c>
      <c r="E216" s="468" t="s">
        <v>1231</v>
      </c>
      <c r="F216" s="1727">
        <f>SUM(F213:F215)</f>
        <v>0</v>
      </c>
      <c r="G216" s="1727">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v>61192</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28" t="s">
        <v>467</v>
      </c>
      <c r="B224" s="1729"/>
      <c r="C224" s="1727">
        <f>SUM(C218:C223)</f>
        <v>61192</v>
      </c>
      <c r="D224" s="1727">
        <f>SUM(D218:D223)</f>
        <v>0</v>
      </c>
      <c r="E224" s="468"/>
      <c r="F224" s="1727">
        <f>SUM(F218:F223)</f>
        <v>0</v>
      </c>
      <c r="G224" s="1727">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3" t="s">
        <v>1145</v>
      </c>
      <c r="B228" s="1744"/>
      <c r="C228" s="1727">
        <f>SUM(C226:C227)</f>
        <v>0</v>
      </c>
      <c r="D228" s="1727">
        <f>SUM(D226:D227)</f>
        <v>0</v>
      </c>
      <c r="E228" s="468"/>
      <c r="F228" s="468"/>
      <c r="G228" s="1727">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5" t="s">
        <v>798</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32379</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v>36968</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8" t="s">
        <v>1765</v>
      </c>
      <c r="B273" s="1747"/>
      <c r="C273" s="1735">
        <f t="shared" ref="C273:H273" si="10">SUM(C191,C201,C211,C216,C224,C228,C229,C259:C272)</f>
        <v>354355</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1147</v>
      </c>
      <c r="B274" s="1749" t="s">
        <v>915</v>
      </c>
      <c r="C274" s="1735">
        <f>SUM(C178,C184,C273)</f>
        <v>354355</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10467268</v>
      </c>
      <c r="D275" s="1735">
        <f t="shared" si="12"/>
        <v>1474275</v>
      </c>
      <c r="E275" s="1735">
        <f t="shared" si="12"/>
        <v>746229</v>
      </c>
      <c r="F275" s="1735">
        <f t="shared" si="12"/>
        <v>1094078</v>
      </c>
      <c r="G275" s="1735">
        <f t="shared" si="12"/>
        <v>332195</v>
      </c>
      <c r="H275" s="1735">
        <f t="shared" si="12"/>
        <v>0</v>
      </c>
      <c r="I275" s="1735">
        <f t="shared" si="12"/>
        <v>53265</v>
      </c>
      <c r="J275" s="1735">
        <f t="shared" si="12"/>
        <v>778795</v>
      </c>
      <c r="K275" s="1722">
        <f t="shared" si="12"/>
        <v>143916</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&amp;F&amp;RThe notes to the financial statments are an integral part of this statement.</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T14" sqref="T14"/>
      <selection pane="bottomLeft" sqref="A1:A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8"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4446478</v>
      </c>
      <c r="D5" s="466">
        <v>1116169</v>
      </c>
      <c r="E5" s="466">
        <v>4471</v>
      </c>
      <c r="F5" s="466">
        <v>131475</v>
      </c>
      <c r="G5" s="466"/>
      <c r="H5" s="466">
        <v>10881</v>
      </c>
      <c r="I5" s="467"/>
      <c r="J5" s="467">
        <v>4696</v>
      </c>
      <c r="K5" s="1691">
        <f>SUM(C5:J5)</f>
        <v>5714170</v>
      </c>
      <c r="L5" s="466">
        <v>5734057</v>
      </c>
    </row>
    <row r="6" spans="1:14" x14ac:dyDescent="0.2">
      <c r="A6" s="1526" t="s">
        <v>1508</v>
      </c>
      <c r="B6" s="615" t="s">
        <v>1506</v>
      </c>
      <c r="C6" s="477"/>
      <c r="D6" s="477"/>
      <c r="E6" s="466"/>
      <c r="F6" s="477"/>
      <c r="G6" s="477"/>
      <c r="H6" s="477"/>
      <c r="I6" s="477"/>
      <c r="J6" s="477"/>
      <c r="K6" s="1691">
        <f>SUM(C6,E6)</f>
        <v>0</v>
      </c>
      <c r="L6" s="466"/>
    </row>
    <row r="7" spans="1:14" x14ac:dyDescent="0.2">
      <c r="A7" s="1526" t="s">
        <v>165</v>
      </c>
      <c r="B7" s="615" t="s">
        <v>1024</v>
      </c>
      <c r="C7" s="467"/>
      <c r="D7" s="467"/>
      <c r="E7" s="467"/>
      <c r="F7" s="467"/>
      <c r="G7" s="467"/>
      <c r="H7" s="467"/>
      <c r="I7" s="467"/>
      <c r="J7" s="467"/>
      <c r="K7" s="1691">
        <f t="shared" ref="K7:K32" si="0">SUM(C7:J7)</f>
        <v>0</v>
      </c>
      <c r="L7" s="466">
        <v>60753</v>
      </c>
    </row>
    <row r="8" spans="1:14" x14ac:dyDescent="0.2">
      <c r="A8" s="1526" t="s">
        <v>166</v>
      </c>
      <c r="B8" s="615">
        <v>1200</v>
      </c>
      <c r="C8" s="466">
        <v>486750</v>
      </c>
      <c r="D8" s="466">
        <v>92547</v>
      </c>
      <c r="E8" s="466">
        <v>16549</v>
      </c>
      <c r="F8" s="466">
        <v>3729</v>
      </c>
      <c r="G8" s="466"/>
      <c r="H8" s="466"/>
      <c r="I8" s="467"/>
      <c r="J8" s="467">
        <v>209</v>
      </c>
      <c r="K8" s="1691">
        <f t="shared" si="0"/>
        <v>599784</v>
      </c>
      <c r="L8" s="466">
        <v>633296</v>
      </c>
    </row>
    <row r="9" spans="1:14" x14ac:dyDescent="0.2">
      <c r="A9" s="1526" t="s">
        <v>745</v>
      </c>
      <c r="B9" s="615" t="s">
        <v>1025</v>
      </c>
      <c r="C9" s="467"/>
      <c r="D9" s="467"/>
      <c r="E9" s="467"/>
      <c r="F9" s="467"/>
      <c r="G9" s="467"/>
      <c r="H9" s="467"/>
      <c r="I9" s="467"/>
      <c r="J9" s="467"/>
      <c r="K9" s="1691">
        <f t="shared" si="0"/>
        <v>0</v>
      </c>
      <c r="L9" s="466"/>
    </row>
    <row r="10" spans="1:14" x14ac:dyDescent="0.2">
      <c r="A10" s="1526" t="s">
        <v>746</v>
      </c>
      <c r="B10" s="615">
        <v>1250</v>
      </c>
      <c r="C10" s="466">
        <v>95029</v>
      </c>
      <c r="D10" s="466">
        <v>20865</v>
      </c>
      <c r="E10" s="466"/>
      <c r="F10" s="466"/>
      <c r="G10" s="466"/>
      <c r="H10" s="466"/>
      <c r="I10" s="467"/>
      <c r="J10" s="467"/>
      <c r="K10" s="1691">
        <f t="shared" si="0"/>
        <v>115894</v>
      </c>
      <c r="L10" s="466">
        <v>120491</v>
      </c>
    </row>
    <row r="11" spans="1:14" x14ac:dyDescent="0.2">
      <c r="A11" s="1526" t="s">
        <v>1192</v>
      </c>
      <c r="B11" s="615" t="s">
        <v>163</v>
      </c>
      <c r="C11" s="467"/>
      <c r="D11" s="467"/>
      <c r="E11" s="467"/>
      <c r="F11" s="467"/>
      <c r="G11" s="467"/>
      <c r="H11" s="467"/>
      <c r="I11" s="467"/>
      <c r="J11" s="467"/>
      <c r="K11" s="1691">
        <f t="shared" si="0"/>
        <v>0</v>
      </c>
      <c r="L11" s="466"/>
    </row>
    <row r="12" spans="1:14" x14ac:dyDescent="0.2">
      <c r="A12" s="1526" t="s">
        <v>1019</v>
      </c>
      <c r="B12" s="615">
        <v>1300</v>
      </c>
      <c r="C12" s="466"/>
      <c r="D12" s="466"/>
      <c r="E12" s="466"/>
      <c r="F12" s="466"/>
      <c r="G12" s="466"/>
      <c r="H12" s="466"/>
      <c r="I12" s="467"/>
      <c r="J12" s="467"/>
      <c r="K12" s="1691">
        <f t="shared" si="0"/>
        <v>0</v>
      </c>
      <c r="L12" s="466"/>
    </row>
    <row r="13" spans="1:14" x14ac:dyDescent="0.2">
      <c r="A13" s="1526" t="s">
        <v>747</v>
      </c>
      <c r="B13" s="615">
        <v>1400</v>
      </c>
      <c r="C13" s="466">
        <v>284183</v>
      </c>
      <c r="D13" s="466">
        <v>70227</v>
      </c>
      <c r="E13" s="466">
        <v>3840</v>
      </c>
      <c r="F13" s="466">
        <v>9264</v>
      </c>
      <c r="G13" s="466"/>
      <c r="H13" s="466"/>
      <c r="I13" s="467"/>
      <c r="J13" s="467"/>
      <c r="K13" s="1691">
        <f t="shared" si="0"/>
        <v>367514</v>
      </c>
      <c r="L13" s="466">
        <v>371994</v>
      </c>
    </row>
    <row r="14" spans="1:14" x14ac:dyDescent="0.2">
      <c r="A14" s="1526" t="s">
        <v>1020</v>
      </c>
      <c r="B14" s="615">
        <v>1500</v>
      </c>
      <c r="C14" s="466">
        <v>274932</v>
      </c>
      <c r="D14" s="466">
        <v>38692</v>
      </c>
      <c r="E14" s="466">
        <v>31815</v>
      </c>
      <c r="F14" s="466">
        <v>12935</v>
      </c>
      <c r="G14" s="466">
        <v>5599</v>
      </c>
      <c r="H14" s="466">
        <v>11964</v>
      </c>
      <c r="I14" s="467"/>
      <c r="J14" s="467"/>
      <c r="K14" s="1691">
        <f t="shared" si="0"/>
        <v>375937</v>
      </c>
      <c r="L14" s="466">
        <v>411716</v>
      </c>
    </row>
    <row r="15" spans="1:14" x14ac:dyDescent="0.2">
      <c r="A15" s="1526" t="s">
        <v>1021</v>
      </c>
      <c r="B15" s="615">
        <v>1600</v>
      </c>
      <c r="C15" s="466"/>
      <c r="D15" s="466"/>
      <c r="E15" s="466"/>
      <c r="F15" s="466"/>
      <c r="G15" s="466"/>
      <c r="H15" s="466"/>
      <c r="I15" s="467"/>
      <c r="J15" s="467"/>
      <c r="K15" s="1691">
        <f t="shared" si="0"/>
        <v>0</v>
      </c>
      <c r="L15" s="466"/>
    </row>
    <row r="16" spans="1:14" x14ac:dyDescent="0.2">
      <c r="A16" s="1526" t="s">
        <v>1044</v>
      </c>
      <c r="B16" s="615" t="s">
        <v>444</v>
      </c>
      <c r="C16" s="466">
        <v>74790</v>
      </c>
      <c r="D16" s="466">
        <v>16086</v>
      </c>
      <c r="E16" s="466"/>
      <c r="F16" s="466">
        <v>415</v>
      </c>
      <c r="G16" s="466"/>
      <c r="H16" s="466"/>
      <c r="I16" s="467"/>
      <c r="J16" s="467"/>
      <c r="K16" s="1691">
        <f t="shared" si="0"/>
        <v>91291</v>
      </c>
      <c r="L16" s="466">
        <v>90168</v>
      </c>
    </row>
    <row r="17" spans="1:12" x14ac:dyDescent="0.2">
      <c r="A17" s="1526" t="s">
        <v>748</v>
      </c>
      <c r="B17" s="615" t="s">
        <v>164</v>
      </c>
      <c r="C17" s="467">
        <v>8309</v>
      </c>
      <c r="D17" s="467">
        <v>782</v>
      </c>
      <c r="E17" s="467"/>
      <c r="F17" s="467">
        <v>227</v>
      </c>
      <c r="G17" s="467"/>
      <c r="H17" s="467"/>
      <c r="I17" s="467"/>
      <c r="J17" s="467"/>
      <c r="K17" s="1691">
        <f t="shared" si="0"/>
        <v>9318</v>
      </c>
      <c r="L17" s="466">
        <v>9637</v>
      </c>
    </row>
    <row r="18" spans="1:12" x14ac:dyDescent="0.2">
      <c r="A18" s="1526" t="s">
        <v>1148</v>
      </c>
      <c r="B18" s="615">
        <v>1800</v>
      </c>
      <c r="C18" s="466"/>
      <c r="D18" s="466"/>
      <c r="E18" s="466"/>
      <c r="F18" s="466"/>
      <c r="G18" s="466"/>
      <c r="H18" s="466"/>
      <c r="I18" s="467"/>
      <c r="J18" s="467"/>
      <c r="K18" s="1691">
        <f t="shared" si="0"/>
        <v>0</v>
      </c>
      <c r="L18" s="466"/>
    </row>
    <row r="19" spans="1:12" x14ac:dyDescent="0.2">
      <c r="A19" s="1526" t="s">
        <v>136</v>
      </c>
      <c r="B19" s="615">
        <v>1900</v>
      </c>
      <c r="C19" s="466"/>
      <c r="D19" s="466"/>
      <c r="E19" s="466"/>
      <c r="F19" s="466"/>
      <c r="G19" s="466"/>
      <c r="H19" s="466"/>
      <c r="I19" s="467"/>
      <c r="J19" s="467"/>
      <c r="K19" s="1691">
        <f t="shared" si="0"/>
        <v>0</v>
      </c>
      <c r="L19" s="466"/>
    </row>
    <row r="20" spans="1:12" x14ac:dyDescent="0.2">
      <c r="A20" s="1527" t="s">
        <v>762</v>
      </c>
      <c r="B20" s="603" t="s">
        <v>749</v>
      </c>
      <c r="C20" s="477"/>
      <c r="D20" s="477"/>
      <c r="E20" s="477"/>
      <c r="F20" s="477"/>
      <c r="G20" s="477"/>
      <c r="H20" s="474"/>
      <c r="I20" s="617"/>
      <c r="J20" s="475"/>
      <c r="K20" s="1691">
        <f t="shared" si="0"/>
        <v>0</v>
      </c>
      <c r="L20" s="471"/>
    </row>
    <row r="21" spans="1:12" x14ac:dyDescent="0.2">
      <c r="A21" s="1527" t="s">
        <v>763</v>
      </c>
      <c r="B21" s="603" t="s">
        <v>750</v>
      </c>
      <c r="C21" s="477"/>
      <c r="D21" s="477"/>
      <c r="E21" s="477"/>
      <c r="F21" s="477"/>
      <c r="G21" s="477"/>
      <c r="H21" s="474"/>
      <c r="I21" s="617"/>
      <c r="J21" s="477"/>
      <c r="K21" s="1691">
        <f t="shared" si="0"/>
        <v>0</v>
      </c>
      <c r="L21" s="471"/>
    </row>
    <row r="22" spans="1:12" x14ac:dyDescent="0.2">
      <c r="A22" s="1527" t="s">
        <v>764</v>
      </c>
      <c r="B22" s="603" t="s">
        <v>751</v>
      </c>
      <c r="C22" s="477"/>
      <c r="D22" s="477"/>
      <c r="E22" s="477"/>
      <c r="F22" s="477"/>
      <c r="G22" s="477"/>
      <c r="H22" s="474"/>
      <c r="I22" s="617"/>
      <c r="J22" s="477"/>
      <c r="K22" s="1691">
        <f t="shared" si="0"/>
        <v>0</v>
      </c>
      <c r="L22" s="471"/>
    </row>
    <row r="23" spans="1:12" x14ac:dyDescent="0.2">
      <c r="A23" s="1527" t="s">
        <v>765</v>
      </c>
      <c r="B23" s="603" t="s">
        <v>752</v>
      </c>
      <c r="C23" s="477"/>
      <c r="D23" s="477"/>
      <c r="E23" s="477"/>
      <c r="F23" s="477"/>
      <c r="G23" s="477"/>
      <c r="H23" s="474"/>
      <c r="I23" s="617"/>
      <c r="J23" s="477"/>
      <c r="K23" s="1691">
        <f t="shared" si="0"/>
        <v>0</v>
      </c>
      <c r="L23" s="471"/>
    </row>
    <row r="24" spans="1:12" ht="12.75" customHeight="1" x14ac:dyDescent="0.2">
      <c r="A24" s="1527" t="s">
        <v>766</v>
      </c>
      <c r="B24" s="603" t="s">
        <v>753</v>
      </c>
      <c r="C24" s="477"/>
      <c r="D24" s="477"/>
      <c r="E24" s="477"/>
      <c r="F24" s="477"/>
      <c r="G24" s="477"/>
      <c r="H24" s="474"/>
      <c r="I24" s="617"/>
      <c r="J24" s="477"/>
      <c r="K24" s="1691">
        <f t="shared" si="0"/>
        <v>0</v>
      </c>
      <c r="L24" s="471"/>
    </row>
    <row r="25" spans="1:12" ht="12.75" customHeight="1" x14ac:dyDescent="0.2">
      <c r="A25" s="1527" t="s">
        <v>835</v>
      </c>
      <c r="B25" s="603" t="s">
        <v>754</v>
      </c>
      <c r="C25" s="477"/>
      <c r="D25" s="477"/>
      <c r="E25" s="477"/>
      <c r="F25" s="477"/>
      <c r="G25" s="477"/>
      <c r="H25" s="474"/>
      <c r="I25" s="617"/>
      <c r="J25" s="477"/>
      <c r="K25" s="1691">
        <f t="shared" si="0"/>
        <v>0</v>
      </c>
      <c r="L25" s="471"/>
    </row>
    <row r="26" spans="1:12" x14ac:dyDescent="0.2">
      <c r="A26" s="1527" t="s">
        <v>643</v>
      </c>
      <c r="B26" s="603" t="s">
        <v>755</v>
      </c>
      <c r="C26" s="477"/>
      <c r="D26" s="477"/>
      <c r="E26" s="477"/>
      <c r="F26" s="477"/>
      <c r="G26" s="477"/>
      <c r="H26" s="474"/>
      <c r="I26" s="617"/>
      <c r="J26" s="477"/>
      <c r="K26" s="1691">
        <f t="shared" si="0"/>
        <v>0</v>
      </c>
      <c r="L26" s="471"/>
    </row>
    <row r="27" spans="1:12" x14ac:dyDescent="0.2">
      <c r="A27" s="1527" t="s">
        <v>644</v>
      </c>
      <c r="B27" s="603" t="s">
        <v>756</v>
      </c>
      <c r="C27" s="477"/>
      <c r="D27" s="477"/>
      <c r="E27" s="477"/>
      <c r="F27" s="477"/>
      <c r="G27" s="477"/>
      <c r="H27" s="474"/>
      <c r="I27" s="617"/>
      <c r="J27" s="477"/>
      <c r="K27" s="1691">
        <f t="shared" si="0"/>
        <v>0</v>
      </c>
      <c r="L27" s="471"/>
    </row>
    <row r="28" spans="1:12" x14ac:dyDescent="0.2">
      <c r="A28" s="1527" t="s">
        <v>152</v>
      </c>
      <c r="B28" s="603" t="s">
        <v>757</v>
      </c>
      <c r="C28" s="477"/>
      <c r="D28" s="477"/>
      <c r="E28" s="477"/>
      <c r="F28" s="477"/>
      <c r="G28" s="477"/>
      <c r="H28" s="474"/>
      <c r="I28" s="617"/>
      <c r="J28" s="477"/>
      <c r="K28" s="1691">
        <f t="shared" si="0"/>
        <v>0</v>
      </c>
      <c r="L28" s="471"/>
    </row>
    <row r="29" spans="1:12" x14ac:dyDescent="0.2">
      <c r="A29" s="1527" t="s">
        <v>153</v>
      </c>
      <c r="B29" s="603" t="s">
        <v>758</v>
      </c>
      <c r="C29" s="477"/>
      <c r="D29" s="477"/>
      <c r="E29" s="477"/>
      <c r="F29" s="477"/>
      <c r="G29" s="477"/>
      <c r="H29" s="474"/>
      <c r="I29" s="617"/>
      <c r="J29" s="477"/>
      <c r="K29" s="1691">
        <f t="shared" si="0"/>
        <v>0</v>
      </c>
      <c r="L29" s="471"/>
    </row>
    <row r="30" spans="1:12" x14ac:dyDescent="0.2">
      <c r="A30" s="1527" t="s">
        <v>154</v>
      </c>
      <c r="B30" s="603" t="s">
        <v>759</v>
      </c>
      <c r="C30" s="477"/>
      <c r="D30" s="477"/>
      <c r="E30" s="477"/>
      <c r="F30" s="477"/>
      <c r="G30" s="477"/>
      <c r="H30" s="474"/>
      <c r="I30" s="617"/>
      <c r="J30" s="477"/>
      <c r="K30" s="1691">
        <f t="shared" si="0"/>
        <v>0</v>
      </c>
      <c r="L30" s="471"/>
    </row>
    <row r="31" spans="1:12" x14ac:dyDescent="0.2">
      <c r="A31" s="1527" t="s">
        <v>155</v>
      </c>
      <c r="B31" s="603" t="s">
        <v>760</v>
      </c>
      <c r="C31" s="477"/>
      <c r="D31" s="477"/>
      <c r="E31" s="477"/>
      <c r="F31" s="477"/>
      <c r="G31" s="477"/>
      <c r="H31" s="474"/>
      <c r="I31" s="617"/>
      <c r="J31" s="477"/>
      <c r="K31" s="1691">
        <f t="shared" si="0"/>
        <v>0</v>
      </c>
      <c r="L31" s="471"/>
    </row>
    <row r="32" spans="1:12" x14ac:dyDescent="0.2">
      <c r="A32" s="1528" t="s">
        <v>1191</v>
      </c>
      <c r="B32" s="615" t="s">
        <v>761</v>
      </c>
      <c r="C32" s="477"/>
      <c r="D32" s="477"/>
      <c r="E32" s="477"/>
      <c r="F32" s="477"/>
      <c r="G32" s="477"/>
      <c r="H32" s="474"/>
      <c r="I32" s="617"/>
      <c r="J32" s="480"/>
      <c r="K32" s="1691">
        <f t="shared" si="0"/>
        <v>0</v>
      </c>
      <c r="L32" s="471"/>
    </row>
    <row r="33" spans="1:14" ht="12.75" customHeight="1" thickBot="1" x14ac:dyDescent="0.25">
      <c r="A33" s="1688" t="s">
        <v>1767</v>
      </c>
      <c r="B33" s="1689" t="s">
        <v>591</v>
      </c>
      <c r="C33" s="1690">
        <f>SUM(C5:C32)</f>
        <v>5670471</v>
      </c>
      <c r="D33" s="1690">
        <f t="shared" ref="D33:L33" si="1">SUM(D5:D32)</f>
        <v>1355368</v>
      </c>
      <c r="E33" s="1690">
        <f t="shared" si="1"/>
        <v>56675</v>
      </c>
      <c r="F33" s="1690">
        <f t="shared" si="1"/>
        <v>158045</v>
      </c>
      <c r="G33" s="1690">
        <f t="shared" si="1"/>
        <v>5599</v>
      </c>
      <c r="H33" s="1690">
        <f t="shared" si="1"/>
        <v>22845</v>
      </c>
      <c r="I33" s="1690">
        <f t="shared" si="1"/>
        <v>0</v>
      </c>
      <c r="J33" s="1690">
        <f t="shared" si="1"/>
        <v>4905</v>
      </c>
      <c r="K33" s="1690">
        <f t="shared" si="1"/>
        <v>7273908</v>
      </c>
      <c r="L33" s="1690">
        <f t="shared" si="1"/>
        <v>7432112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1">
        <f t="shared" ref="K36:K41" si="2">SUM(C36:J36)</f>
        <v>0</v>
      </c>
      <c r="L36" s="466"/>
    </row>
    <row r="37" spans="1:14" x14ac:dyDescent="0.2">
      <c r="A37" s="1526" t="s">
        <v>1151</v>
      </c>
      <c r="B37" s="615">
        <v>2120</v>
      </c>
      <c r="C37" s="466">
        <v>167998</v>
      </c>
      <c r="D37" s="466">
        <v>50839</v>
      </c>
      <c r="E37" s="466">
        <v>766</v>
      </c>
      <c r="F37" s="466">
        <v>1246</v>
      </c>
      <c r="G37" s="466"/>
      <c r="H37" s="466">
        <v>648</v>
      </c>
      <c r="I37" s="467"/>
      <c r="J37" s="467"/>
      <c r="K37" s="1691">
        <f t="shared" si="2"/>
        <v>221497</v>
      </c>
      <c r="L37" s="466">
        <v>247368</v>
      </c>
    </row>
    <row r="38" spans="1:14" x14ac:dyDescent="0.2">
      <c r="A38" s="1526" t="s">
        <v>207</v>
      </c>
      <c r="B38" s="615">
        <v>2130</v>
      </c>
      <c r="C38" s="466">
        <v>60958</v>
      </c>
      <c r="D38" s="466">
        <v>13654</v>
      </c>
      <c r="E38" s="466">
        <v>1444</v>
      </c>
      <c r="F38" s="466">
        <v>2818</v>
      </c>
      <c r="G38" s="466">
        <v>1312</v>
      </c>
      <c r="H38" s="466"/>
      <c r="I38" s="467"/>
      <c r="J38" s="467"/>
      <c r="K38" s="1691">
        <f t="shared" si="2"/>
        <v>80186</v>
      </c>
      <c r="L38" s="466">
        <v>82049</v>
      </c>
    </row>
    <row r="39" spans="1:14" x14ac:dyDescent="0.2">
      <c r="A39" s="1526" t="s">
        <v>208</v>
      </c>
      <c r="B39" s="615">
        <v>2140</v>
      </c>
      <c r="C39" s="466"/>
      <c r="D39" s="466"/>
      <c r="E39" s="466"/>
      <c r="F39" s="466"/>
      <c r="G39" s="466"/>
      <c r="H39" s="466"/>
      <c r="I39" s="467"/>
      <c r="J39" s="467"/>
      <c r="K39" s="1691">
        <f t="shared" si="2"/>
        <v>0</v>
      </c>
      <c r="L39" s="466"/>
    </row>
    <row r="40" spans="1:14" x14ac:dyDescent="0.2">
      <c r="A40" s="1526" t="s">
        <v>209</v>
      </c>
      <c r="B40" s="615">
        <v>2150</v>
      </c>
      <c r="C40" s="466"/>
      <c r="D40" s="466"/>
      <c r="E40" s="466"/>
      <c r="F40" s="466"/>
      <c r="G40" s="466"/>
      <c r="H40" s="466"/>
      <c r="I40" s="467"/>
      <c r="J40" s="467"/>
      <c r="K40" s="1691">
        <f t="shared" si="2"/>
        <v>0</v>
      </c>
      <c r="L40" s="466"/>
    </row>
    <row r="41" spans="1:14" x14ac:dyDescent="0.2">
      <c r="A41" s="1526" t="s">
        <v>1768</v>
      </c>
      <c r="B41" s="615">
        <v>2190</v>
      </c>
      <c r="C41" s="466"/>
      <c r="D41" s="466"/>
      <c r="E41" s="466"/>
      <c r="F41" s="466"/>
      <c r="G41" s="466"/>
      <c r="H41" s="466"/>
      <c r="I41" s="467"/>
      <c r="J41" s="467"/>
      <c r="K41" s="1691">
        <f t="shared" si="2"/>
        <v>0</v>
      </c>
      <c r="L41" s="466"/>
    </row>
    <row r="42" spans="1:14" ht="12.75" customHeight="1" thickBot="1" x14ac:dyDescent="0.25">
      <c r="A42" s="1688" t="s">
        <v>581</v>
      </c>
      <c r="B42" s="1689" t="s">
        <v>740</v>
      </c>
      <c r="C42" s="1690">
        <f>SUM(C36:C41)</f>
        <v>228956</v>
      </c>
      <c r="D42" s="1690">
        <f t="shared" ref="D42:L42" si="3">SUM(D36:D41)</f>
        <v>64493</v>
      </c>
      <c r="E42" s="1690">
        <f t="shared" si="3"/>
        <v>2210</v>
      </c>
      <c r="F42" s="1690">
        <f t="shared" si="3"/>
        <v>4064</v>
      </c>
      <c r="G42" s="1690">
        <f t="shared" si="3"/>
        <v>1312</v>
      </c>
      <c r="H42" s="1690">
        <f t="shared" si="3"/>
        <v>648</v>
      </c>
      <c r="I42" s="1690">
        <f t="shared" si="3"/>
        <v>0</v>
      </c>
      <c r="J42" s="1690">
        <f t="shared" si="3"/>
        <v>0</v>
      </c>
      <c r="K42" s="1690">
        <f t="shared" si="3"/>
        <v>301683</v>
      </c>
      <c r="L42" s="1690">
        <f t="shared" si="3"/>
        <v>329417</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c r="F44" s="481"/>
      <c r="G44" s="481"/>
      <c r="H44" s="481"/>
      <c r="I44" s="467"/>
      <c r="J44" s="467"/>
      <c r="K44" s="1692">
        <f>SUM(C44:J44)</f>
        <v>0</v>
      </c>
      <c r="L44" s="481"/>
    </row>
    <row r="45" spans="1:14" x14ac:dyDescent="0.2">
      <c r="A45" s="1526" t="s">
        <v>869</v>
      </c>
      <c r="B45" s="615">
        <v>2220</v>
      </c>
      <c r="C45" s="466">
        <v>137250</v>
      </c>
      <c r="D45" s="466">
        <v>32379</v>
      </c>
      <c r="E45" s="466"/>
      <c r="F45" s="466">
        <v>6977</v>
      </c>
      <c r="G45" s="466"/>
      <c r="H45" s="466">
        <v>210</v>
      </c>
      <c r="I45" s="467"/>
      <c r="J45" s="467"/>
      <c r="K45" s="1692">
        <f>SUM(C45:J45)</f>
        <v>176816</v>
      </c>
      <c r="L45" s="466">
        <v>180119</v>
      </c>
    </row>
    <row r="46" spans="1:14" x14ac:dyDescent="0.2">
      <c r="A46" s="1526" t="s">
        <v>870</v>
      </c>
      <c r="B46" s="615">
        <v>2230</v>
      </c>
      <c r="C46" s="466"/>
      <c r="D46" s="466"/>
      <c r="E46" s="466"/>
      <c r="F46" s="466"/>
      <c r="G46" s="466"/>
      <c r="H46" s="466"/>
      <c r="I46" s="467"/>
      <c r="J46" s="467"/>
      <c r="K46" s="1692">
        <f>SUM(C46:J46)</f>
        <v>0</v>
      </c>
      <c r="L46" s="466"/>
    </row>
    <row r="47" spans="1:14" ht="12.75" customHeight="1" thickBot="1" x14ac:dyDescent="0.25">
      <c r="A47" s="1688" t="s">
        <v>582</v>
      </c>
      <c r="B47" s="1689" t="s">
        <v>32</v>
      </c>
      <c r="C47" s="1690">
        <f>SUM(C44:C46)</f>
        <v>137250</v>
      </c>
      <c r="D47" s="1690">
        <f t="shared" ref="D47:K47" si="4">SUM(D44:D46)</f>
        <v>32379</v>
      </c>
      <c r="E47" s="1690">
        <f t="shared" si="4"/>
        <v>0</v>
      </c>
      <c r="F47" s="1690">
        <f t="shared" si="4"/>
        <v>6977</v>
      </c>
      <c r="G47" s="1690">
        <f t="shared" si="4"/>
        <v>0</v>
      </c>
      <c r="H47" s="1690">
        <f t="shared" si="4"/>
        <v>210</v>
      </c>
      <c r="I47" s="1690">
        <f t="shared" si="4"/>
        <v>0</v>
      </c>
      <c r="J47" s="1690">
        <f t="shared" si="4"/>
        <v>0</v>
      </c>
      <c r="K47" s="1690">
        <f t="shared" si="4"/>
        <v>176816</v>
      </c>
      <c r="L47" s="1690">
        <f>SUM(L44:L46)</f>
        <v>180119</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2400</v>
      </c>
      <c r="D49" s="481"/>
      <c r="E49" s="481">
        <v>26973</v>
      </c>
      <c r="F49" s="481">
        <v>241</v>
      </c>
      <c r="G49" s="481"/>
      <c r="H49" s="481">
        <v>6519</v>
      </c>
      <c r="I49" s="467"/>
      <c r="J49" s="467"/>
      <c r="K49" s="1692">
        <f>SUM(C49:J49)</f>
        <v>36133</v>
      </c>
      <c r="L49" s="481">
        <v>34344</v>
      </c>
    </row>
    <row r="50" spans="1:14" x14ac:dyDescent="0.2">
      <c r="A50" s="1526" t="s">
        <v>872</v>
      </c>
      <c r="B50" s="615">
        <v>2320</v>
      </c>
      <c r="C50" s="466">
        <v>149563</v>
      </c>
      <c r="D50" s="466">
        <v>44278</v>
      </c>
      <c r="E50" s="466">
        <v>2796</v>
      </c>
      <c r="F50" s="466">
        <v>374</v>
      </c>
      <c r="G50" s="466"/>
      <c r="H50" s="466">
        <v>1766</v>
      </c>
      <c r="I50" s="467"/>
      <c r="J50" s="467"/>
      <c r="K50" s="1692">
        <f>SUM(C50:J50)</f>
        <v>198777</v>
      </c>
      <c r="L50" s="466">
        <v>169788</v>
      </c>
    </row>
    <row r="51" spans="1:14" x14ac:dyDescent="0.2">
      <c r="A51" s="1526" t="s">
        <v>44</v>
      </c>
      <c r="B51" s="615">
        <v>2330</v>
      </c>
      <c r="C51" s="466"/>
      <c r="D51" s="466"/>
      <c r="E51" s="466"/>
      <c r="F51" s="466"/>
      <c r="G51" s="466"/>
      <c r="H51" s="466"/>
      <c r="I51" s="467"/>
      <c r="J51" s="467"/>
      <c r="K51" s="1692">
        <f>SUM(C51:J51)</f>
        <v>0</v>
      </c>
      <c r="L51" s="466"/>
    </row>
    <row r="52" spans="1:14" ht="22.5" x14ac:dyDescent="0.2">
      <c r="A52" s="1527" t="s">
        <v>316</v>
      </c>
      <c r="B52" s="628" t="s">
        <v>384</v>
      </c>
      <c r="C52" s="474"/>
      <c r="D52" s="474"/>
      <c r="E52" s="474"/>
      <c r="F52" s="474"/>
      <c r="G52" s="474"/>
      <c r="H52" s="474"/>
      <c r="I52" s="474"/>
      <c r="J52" s="474"/>
      <c r="K52" s="1692">
        <f>SUM(C52:J52)</f>
        <v>0</v>
      </c>
      <c r="L52" s="474"/>
    </row>
    <row r="53" spans="1:14" ht="12.75" customHeight="1" thickBot="1" x14ac:dyDescent="0.25">
      <c r="A53" s="1688" t="s">
        <v>741</v>
      </c>
      <c r="B53" s="1689" t="s">
        <v>33</v>
      </c>
      <c r="C53" s="1690">
        <f>SUM(C49:C52)</f>
        <v>151963</v>
      </c>
      <c r="D53" s="1690">
        <f t="shared" ref="D53:L53" si="5">SUM(D49:D52)</f>
        <v>44278</v>
      </c>
      <c r="E53" s="1690">
        <f t="shared" si="5"/>
        <v>29769</v>
      </c>
      <c r="F53" s="1690">
        <f t="shared" si="5"/>
        <v>615</v>
      </c>
      <c r="G53" s="1690">
        <f t="shared" si="5"/>
        <v>0</v>
      </c>
      <c r="H53" s="1690">
        <f t="shared" si="5"/>
        <v>8285</v>
      </c>
      <c r="I53" s="1690">
        <f t="shared" si="5"/>
        <v>0</v>
      </c>
      <c r="J53" s="1690">
        <f t="shared" si="5"/>
        <v>0</v>
      </c>
      <c r="K53" s="1690">
        <f t="shared" si="5"/>
        <v>234910</v>
      </c>
      <c r="L53" s="1690">
        <f t="shared" si="5"/>
        <v>204132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517748</v>
      </c>
      <c r="D55" s="481">
        <v>105181</v>
      </c>
      <c r="E55" s="481">
        <v>13404</v>
      </c>
      <c r="F55" s="481">
        <v>15318</v>
      </c>
      <c r="G55" s="481">
        <v>1616</v>
      </c>
      <c r="H55" s="481">
        <v>2380</v>
      </c>
      <c r="I55" s="467"/>
      <c r="J55" s="467"/>
      <c r="K55" s="1692">
        <f>SUM(C55:J55)</f>
        <v>655647</v>
      </c>
      <c r="L55" s="481">
        <v>678623</v>
      </c>
    </row>
    <row r="56" spans="1:14" ht="12.75" customHeight="1" x14ac:dyDescent="0.2">
      <c r="A56" s="1530" t="s">
        <v>394</v>
      </c>
      <c r="B56" s="629">
        <v>2490</v>
      </c>
      <c r="C56" s="466"/>
      <c r="D56" s="466"/>
      <c r="E56" s="466"/>
      <c r="F56" s="466"/>
      <c r="G56" s="466"/>
      <c r="H56" s="466"/>
      <c r="I56" s="467"/>
      <c r="J56" s="467"/>
      <c r="K56" s="1692">
        <f>SUM(C56:J56)</f>
        <v>0</v>
      </c>
      <c r="L56" s="466"/>
    </row>
    <row r="57" spans="1:14" s="343" customFormat="1" ht="12.75" customHeight="1" thickBot="1" x14ac:dyDescent="0.25">
      <c r="A57" s="1688" t="s">
        <v>281</v>
      </c>
      <c r="B57" s="1693" t="s">
        <v>34</v>
      </c>
      <c r="C57" s="1694">
        <f>SUM(C55:C56)</f>
        <v>517748</v>
      </c>
      <c r="D57" s="1694">
        <f t="shared" ref="D57:K57" si="6">SUM(D55:D56)</f>
        <v>105181</v>
      </c>
      <c r="E57" s="1694">
        <f t="shared" si="6"/>
        <v>13404</v>
      </c>
      <c r="F57" s="1694">
        <f t="shared" si="6"/>
        <v>15318</v>
      </c>
      <c r="G57" s="1694">
        <f t="shared" si="6"/>
        <v>1616</v>
      </c>
      <c r="H57" s="1694">
        <f t="shared" si="6"/>
        <v>2380</v>
      </c>
      <c r="I57" s="1694">
        <f t="shared" si="6"/>
        <v>0</v>
      </c>
      <c r="J57" s="1694">
        <f t="shared" si="6"/>
        <v>0</v>
      </c>
      <c r="K57" s="1694">
        <f t="shared" si="6"/>
        <v>655647</v>
      </c>
      <c r="L57" s="1690">
        <f>SUM(L55:L56)</f>
        <v>678623</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v>53812</v>
      </c>
      <c r="D59" s="481">
        <v>10682</v>
      </c>
      <c r="E59" s="481"/>
      <c r="F59" s="481">
        <v>17</v>
      </c>
      <c r="G59" s="481"/>
      <c r="H59" s="481">
        <v>657</v>
      </c>
      <c r="I59" s="467"/>
      <c r="J59" s="467"/>
      <c r="K59" s="1692">
        <f t="shared" ref="K59:K64" si="7">SUM(C59:J59)</f>
        <v>65168</v>
      </c>
      <c r="L59" s="481">
        <v>56211</v>
      </c>
      <c r="M59" s="610"/>
      <c r="N59" s="610"/>
    </row>
    <row r="60" spans="1:14" s="343" customFormat="1" x14ac:dyDescent="0.2">
      <c r="A60" s="1526" t="s">
        <v>483</v>
      </c>
      <c r="B60" s="615">
        <v>2520</v>
      </c>
      <c r="C60" s="466">
        <v>87122</v>
      </c>
      <c r="D60" s="466">
        <v>12638</v>
      </c>
      <c r="E60" s="466">
        <v>44307</v>
      </c>
      <c r="F60" s="466">
        <v>13708</v>
      </c>
      <c r="G60" s="466"/>
      <c r="H60" s="466">
        <v>4042</v>
      </c>
      <c r="I60" s="467"/>
      <c r="J60" s="467"/>
      <c r="K60" s="1692">
        <f t="shared" si="7"/>
        <v>161817</v>
      </c>
      <c r="L60" s="466">
        <v>195908</v>
      </c>
      <c r="M60" s="610"/>
      <c r="N60" s="610"/>
    </row>
    <row r="61" spans="1:14" s="343" customFormat="1" x14ac:dyDescent="0.2">
      <c r="A61" s="1526" t="s">
        <v>206</v>
      </c>
      <c r="B61" s="615">
        <v>2540</v>
      </c>
      <c r="C61" s="466"/>
      <c r="D61" s="466"/>
      <c r="E61" s="466"/>
      <c r="F61" s="466"/>
      <c r="G61" s="466"/>
      <c r="H61" s="466"/>
      <c r="I61" s="467"/>
      <c r="J61" s="467"/>
      <c r="K61" s="1692">
        <f t="shared" si="7"/>
        <v>0</v>
      </c>
      <c r="L61" s="466"/>
      <c r="M61" s="610"/>
      <c r="N61" s="610"/>
    </row>
    <row r="62" spans="1:14" s="343" customFormat="1" x14ac:dyDescent="0.2">
      <c r="A62" s="1526" t="s">
        <v>1010</v>
      </c>
      <c r="B62" s="615">
        <v>2550</v>
      </c>
      <c r="C62" s="466"/>
      <c r="D62" s="466"/>
      <c r="E62" s="466"/>
      <c r="F62" s="466"/>
      <c r="G62" s="466"/>
      <c r="H62" s="466"/>
      <c r="I62" s="467"/>
      <c r="J62" s="467"/>
      <c r="K62" s="1692">
        <f t="shared" si="7"/>
        <v>0</v>
      </c>
      <c r="L62" s="466"/>
      <c r="M62" s="610"/>
      <c r="N62" s="610"/>
    </row>
    <row r="63" spans="1:14" s="610" customFormat="1" x14ac:dyDescent="0.2">
      <c r="A63" s="1526" t="s">
        <v>102</v>
      </c>
      <c r="B63" s="615">
        <v>2560</v>
      </c>
      <c r="C63" s="466">
        <v>187057</v>
      </c>
      <c r="D63" s="466">
        <v>36253</v>
      </c>
      <c r="E63" s="466">
        <v>3495</v>
      </c>
      <c r="F63" s="466">
        <v>288117</v>
      </c>
      <c r="G63" s="466"/>
      <c r="H63" s="466">
        <v>2331</v>
      </c>
      <c r="I63" s="467"/>
      <c r="J63" s="467">
        <v>870</v>
      </c>
      <c r="K63" s="1692">
        <f t="shared" si="7"/>
        <v>518123</v>
      </c>
      <c r="L63" s="466">
        <v>532407</v>
      </c>
    </row>
    <row r="64" spans="1:14" s="610" customFormat="1" x14ac:dyDescent="0.2">
      <c r="A64" s="1531" t="s">
        <v>103</v>
      </c>
      <c r="B64" s="631">
        <v>2570</v>
      </c>
      <c r="C64" s="481"/>
      <c r="D64" s="481"/>
      <c r="E64" s="481"/>
      <c r="F64" s="481"/>
      <c r="G64" s="481"/>
      <c r="H64" s="481"/>
      <c r="I64" s="467"/>
      <c r="J64" s="467"/>
      <c r="K64" s="1692">
        <f t="shared" si="7"/>
        <v>0</v>
      </c>
      <c r="L64" s="481"/>
    </row>
    <row r="65" spans="1:14" s="343" customFormat="1" ht="12.75" customHeight="1" thickBot="1" x14ac:dyDescent="0.25">
      <c r="A65" s="1688" t="s">
        <v>743</v>
      </c>
      <c r="B65" s="1689" t="s">
        <v>35</v>
      </c>
      <c r="C65" s="1690">
        <f>SUM(C59:C64)</f>
        <v>327991</v>
      </c>
      <c r="D65" s="1690">
        <f t="shared" ref="D65:L65" si="8">SUM(D59:D64)</f>
        <v>59573</v>
      </c>
      <c r="E65" s="1690">
        <f t="shared" si="8"/>
        <v>47802</v>
      </c>
      <c r="F65" s="1690">
        <f t="shared" si="8"/>
        <v>301842</v>
      </c>
      <c r="G65" s="1690">
        <f t="shared" si="8"/>
        <v>0</v>
      </c>
      <c r="H65" s="1690">
        <f t="shared" si="8"/>
        <v>7030</v>
      </c>
      <c r="I65" s="1690">
        <f t="shared" si="8"/>
        <v>0</v>
      </c>
      <c r="J65" s="1690">
        <f t="shared" si="8"/>
        <v>870</v>
      </c>
      <c r="K65" s="1690">
        <f t="shared" si="8"/>
        <v>745108</v>
      </c>
      <c r="L65" s="1690">
        <f t="shared" si="8"/>
        <v>784526</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2">
        <f>SUM(C67:J67)</f>
        <v>0</v>
      </c>
      <c r="L67" s="481"/>
      <c r="M67" s="610"/>
      <c r="N67" s="610"/>
    </row>
    <row r="68" spans="1:14" s="343" customFormat="1" x14ac:dyDescent="0.2">
      <c r="A68" s="1526" t="s">
        <v>628</v>
      </c>
      <c r="B68" s="615">
        <v>2620</v>
      </c>
      <c r="C68" s="466"/>
      <c r="D68" s="466"/>
      <c r="E68" s="466"/>
      <c r="F68" s="466"/>
      <c r="G68" s="466"/>
      <c r="H68" s="466"/>
      <c r="I68" s="467"/>
      <c r="J68" s="467"/>
      <c r="K68" s="1692">
        <f>SUM(C68:J68)</f>
        <v>0</v>
      </c>
      <c r="L68" s="466"/>
      <c r="M68" s="610"/>
      <c r="N68" s="610"/>
    </row>
    <row r="69" spans="1:14" s="343" customFormat="1" x14ac:dyDescent="0.2">
      <c r="A69" s="1526" t="s">
        <v>1121</v>
      </c>
      <c r="B69" s="615">
        <v>2630</v>
      </c>
      <c r="C69" s="466"/>
      <c r="D69" s="466"/>
      <c r="E69" s="466"/>
      <c r="F69" s="466"/>
      <c r="G69" s="466"/>
      <c r="H69" s="466"/>
      <c r="I69" s="467"/>
      <c r="J69" s="467"/>
      <c r="K69" s="1692">
        <f>SUM(C69:J69)</f>
        <v>0</v>
      </c>
      <c r="L69" s="466"/>
      <c r="M69" s="610"/>
      <c r="N69" s="610"/>
    </row>
    <row r="70" spans="1:14" s="343" customFormat="1" x14ac:dyDescent="0.2">
      <c r="A70" s="1526" t="s">
        <v>423</v>
      </c>
      <c r="B70" s="615">
        <v>2640</v>
      </c>
      <c r="C70" s="466"/>
      <c r="D70" s="466"/>
      <c r="E70" s="466"/>
      <c r="F70" s="466"/>
      <c r="G70" s="466"/>
      <c r="H70" s="466"/>
      <c r="I70" s="467"/>
      <c r="J70" s="467"/>
      <c r="K70" s="1692">
        <f>SUM(C70:J70)</f>
        <v>0</v>
      </c>
      <c r="L70" s="466"/>
      <c r="M70" s="610"/>
      <c r="N70" s="610"/>
    </row>
    <row r="71" spans="1:14" s="343" customFormat="1" x14ac:dyDescent="0.2">
      <c r="A71" s="1526" t="s">
        <v>424</v>
      </c>
      <c r="B71" s="615">
        <v>2660</v>
      </c>
      <c r="C71" s="466">
        <v>105038</v>
      </c>
      <c r="D71" s="466">
        <v>20351</v>
      </c>
      <c r="E71" s="466">
        <v>150123</v>
      </c>
      <c r="F71" s="466">
        <v>19088</v>
      </c>
      <c r="G71" s="466">
        <v>54028</v>
      </c>
      <c r="H71" s="466">
        <v>71</v>
      </c>
      <c r="I71" s="467"/>
      <c r="J71" s="467"/>
      <c r="K71" s="1692">
        <f>SUM(C71:J71)</f>
        <v>348699</v>
      </c>
      <c r="L71" s="466">
        <v>383351</v>
      </c>
      <c r="M71" s="610"/>
      <c r="N71" s="610"/>
    </row>
    <row r="72" spans="1:14" s="343" customFormat="1" ht="12.75" customHeight="1" thickBot="1" x14ac:dyDescent="0.25">
      <c r="A72" s="1688" t="s">
        <v>37</v>
      </c>
      <c r="B72" s="1695" t="s">
        <v>36</v>
      </c>
      <c r="C72" s="1690">
        <f>SUM(C67:C71)</f>
        <v>105038</v>
      </c>
      <c r="D72" s="1690">
        <f t="shared" ref="D72:K72" si="9">SUM(D67:D71)</f>
        <v>20351</v>
      </c>
      <c r="E72" s="1690">
        <f t="shared" si="9"/>
        <v>150123</v>
      </c>
      <c r="F72" s="1690">
        <f t="shared" si="9"/>
        <v>19088</v>
      </c>
      <c r="G72" s="1690">
        <f t="shared" si="9"/>
        <v>54028</v>
      </c>
      <c r="H72" s="1690">
        <f t="shared" si="9"/>
        <v>71</v>
      </c>
      <c r="I72" s="1690">
        <f t="shared" si="9"/>
        <v>0</v>
      </c>
      <c r="J72" s="1690">
        <f t="shared" si="9"/>
        <v>0</v>
      </c>
      <c r="K72" s="1690">
        <f t="shared" si="9"/>
        <v>348699</v>
      </c>
      <c r="L72" s="1690">
        <f>SUM(L67:L71)</f>
        <v>383351</v>
      </c>
      <c r="M72" s="610"/>
      <c r="N72" s="610"/>
    </row>
    <row r="73" spans="1:14" s="343" customFormat="1" ht="14.25" thickTop="1" thickBot="1" x14ac:dyDescent="0.25">
      <c r="A73" s="1532" t="s">
        <v>1037</v>
      </c>
      <c r="B73" s="633" t="s">
        <v>595</v>
      </c>
      <c r="C73" s="573"/>
      <c r="D73" s="573"/>
      <c r="E73" s="573"/>
      <c r="F73" s="573"/>
      <c r="G73" s="573"/>
      <c r="H73" s="573"/>
      <c r="I73" s="531"/>
      <c r="J73" s="531"/>
      <c r="K73" s="1690">
        <f>SUM(C73:J73)</f>
        <v>0</v>
      </c>
      <c r="L73" s="576"/>
      <c r="M73" s="610"/>
      <c r="N73" s="610"/>
    </row>
    <row r="74" spans="1:14" ht="12.75" customHeight="1" thickTop="1" thickBot="1" x14ac:dyDescent="0.25">
      <c r="A74" s="1688" t="s">
        <v>865</v>
      </c>
      <c r="B74" s="1696">
        <v>2000</v>
      </c>
      <c r="C74" s="1697">
        <f>SUM(C42,C47,C53,C57,C65,C72,C73)</f>
        <v>1468946</v>
      </c>
      <c r="D74" s="1697">
        <f t="shared" ref="D74:K74" si="10">SUM(D42,D47,D53,D57,D65,D72,D73)</f>
        <v>326255</v>
      </c>
      <c r="E74" s="1697">
        <f t="shared" si="10"/>
        <v>243308</v>
      </c>
      <c r="F74" s="1697">
        <f t="shared" si="10"/>
        <v>347904</v>
      </c>
      <c r="G74" s="1697">
        <f t="shared" si="10"/>
        <v>56956</v>
      </c>
      <c r="H74" s="1697">
        <f t="shared" si="10"/>
        <v>18624</v>
      </c>
      <c r="I74" s="1697">
        <f t="shared" si="10"/>
        <v>0</v>
      </c>
      <c r="J74" s="1697">
        <f t="shared" si="10"/>
        <v>870</v>
      </c>
      <c r="K74" s="1697">
        <f t="shared" si="10"/>
        <v>2462863</v>
      </c>
      <c r="L74" s="1697">
        <f>SUM(L42,L47,L53,L57,L65,L72,L73)</f>
        <v>2560168</v>
      </c>
    </row>
    <row r="75" spans="1:14" s="259" customFormat="1" ht="15.75" customHeight="1" thickTop="1" thickBot="1" x14ac:dyDescent="0.25">
      <c r="A75" s="1632" t="s">
        <v>49</v>
      </c>
      <c r="B75" s="1633" t="s">
        <v>596</v>
      </c>
      <c r="C75" s="573">
        <v>181425</v>
      </c>
      <c r="D75" s="573">
        <v>12844</v>
      </c>
      <c r="E75" s="573">
        <v>116262</v>
      </c>
      <c r="F75" s="573">
        <v>14504</v>
      </c>
      <c r="G75" s="573"/>
      <c r="H75" s="573">
        <v>1362</v>
      </c>
      <c r="I75" s="531"/>
      <c r="J75" s="531"/>
      <c r="K75" s="1690">
        <f>SUM(C75:J75)</f>
        <v>326397</v>
      </c>
      <c r="L75" s="576">
        <v>309624</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1">
        <f t="shared" ref="K78:K83" si="11">SUM(C78:J78)</f>
        <v>0</v>
      </c>
      <c r="L78" s="481"/>
    </row>
    <row r="79" spans="1:14" x14ac:dyDescent="0.2">
      <c r="A79" s="1526" t="s">
        <v>322</v>
      </c>
      <c r="B79" s="615">
        <v>4120</v>
      </c>
      <c r="C79" s="617"/>
      <c r="D79" s="617"/>
      <c r="E79" s="466"/>
      <c r="F79" s="617"/>
      <c r="G79" s="617"/>
      <c r="H79" s="466">
        <v>485174</v>
      </c>
      <c r="I79" s="477"/>
      <c r="J79" s="477"/>
      <c r="K79" s="1691">
        <f t="shared" si="11"/>
        <v>485174</v>
      </c>
      <c r="L79" s="466">
        <v>485174</v>
      </c>
    </row>
    <row r="80" spans="1:14" x14ac:dyDescent="0.2">
      <c r="A80" s="1526" t="s">
        <v>323</v>
      </c>
      <c r="B80" s="615">
        <v>4130</v>
      </c>
      <c r="C80" s="617"/>
      <c r="D80" s="617"/>
      <c r="E80" s="466"/>
      <c r="F80" s="617"/>
      <c r="G80" s="617"/>
      <c r="H80" s="466"/>
      <c r="I80" s="477"/>
      <c r="J80" s="477"/>
      <c r="K80" s="1691">
        <f t="shared" si="11"/>
        <v>0</v>
      </c>
      <c r="L80" s="466"/>
    </row>
    <row r="81" spans="1:12" x14ac:dyDescent="0.2">
      <c r="A81" s="1526" t="s">
        <v>721</v>
      </c>
      <c r="B81" s="615">
        <v>4140</v>
      </c>
      <c r="C81" s="617"/>
      <c r="D81" s="617"/>
      <c r="E81" s="466"/>
      <c r="F81" s="617"/>
      <c r="G81" s="617"/>
      <c r="H81" s="466">
        <v>78229</v>
      </c>
      <c r="I81" s="477"/>
      <c r="J81" s="477"/>
      <c r="K81" s="1691">
        <f t="shared" si="11"/>
        <v>78229</v>
      </c>
      <c r="L81" s="466">
        <v>78230</v>
      </c>
    </row>
    <row r="82" spans="1:12" x14ac:dyDescent="0.2">
      <c r="A82" s="1526" t="s">
        <v>88</v>
      </c>
      <c r="B82" s="615">
        <v>4170</v>
      </c>
      <c r="C82" s="617"/>
      <c r="D82" s="617"/>
      <c r="E82" s="466"/>
      <c r="F82" s="617"/>
      <c r="G82" s="617"/>
      <c r="H82" s="466"/>
      <c r="I82" s="477"/>
      <c r="J82" s="477"/>
      <c r="K82" s="1691">
        <f t="shared" si="11"/>
        <v>0</v>
      </c>
      <c r="L82" s="466"/>
    </row>
    <row r="83" spans="1:12" x14ac:dyDescent="0.2">
      <c r="A83" s="1530" t="s">
        <v>722</v>
      </c>
      <c r="B83" s="629">
        <v>4190</v>
      </c>
      <c r="C83" s="617"/>
      <c r="D83" s="617"/>
      <c r="E83" s="466"/>
      <c r="F83" s="617"/>
      <c r="G83" s="617"/>
      <c r="H83" s="466">
        <v>3616</v>
      </c>
      <c r="I83" s="477"/>
      <c r="J83" s="477"/>
      <c r="K83" s="1691">
        <f t="shared" si="11"/>
        <v>3616</v>
      </c>
      <c r="L83" s="466"/>
    </row>
    <row r="84" spans="1:12" ht="13.5" thickBot="1" x14ac:dyDescent="0.25">
      <c r="A84" s="1688" t="s">
        <v>1565</v>
      </c>
      <c r="B84" s="1698">
        <v>4100</v>
      </c>
      <c r="C84" s="617"/>
      <c r="D84" s="617"/>
      <c r="E84" s="1690">
        <f>SUM(E78:E83)</f>
        <v>0</v>
      </c>
      <c r="F84" s="617"/>
      <c r="G84" s="617"/>
      <c r="H84" s="1690">
        <f>SUM(H78:H83)</f>
        <v>567019</v>
      </c>
      <c r="I84" s="477"/>
      <c r="J84" s="477"/>
      <c r="K84" s="1690">
        <f>SUM(K78:K83)</f>
        <v>567019</v>
      </c>
      <c r="L84" s="1690">
        <f>SUM(L78:L83)</f>
        <v>563404</v>
      </c>
    </row>
    <row r="85" spans="1:12" ht="12.75" customHeight="1" thickTop="1" thickBot="1" x14ac:dyDescent="0.25">
      <c r="A85" s="1533" t="s">
        <v>273</v>
      </c>
      <c r="B85" s="636">
        <v>4210</v>
      </c>
      <c r="C85" s="617"/>
      <c r="D85" s="617"/>
      <c r="E85" s="637"/>
      <c r="F85" s="617"/>
      <c r="G85" s="617"/>
      <c r="H85" s="535"/>
      <c r="I85" s="477"/>
      <c r="J85" s="477"/>
      <c r="K85" s="1697">
        <f>H85</f>
        <v>0</v>
      </c>
      <c r="L85" s="530"/>
    </row>
    <row r="86" spans="1:12" ht="12.75" customHeight="1" thickTop="1" thickBot="1" x14ac:dyDescent="0.25">
      <c r="A86" s="1534" t="s">
        <v>723</v>
      </c>
      <c r="B86" s="638">
        <v>4220</v>
      </c>
      <c r="C86" s="617"/>
      <c r="D86" s="617"/>
      <c r="E86" s="639"/>
      <c r="F86" s="617"/>
      <c r="G86" s="617"/>
      <c r="H86" s="467"/>
      <c r="I86" s="477"/>
      <c r="J86" s="477"/>
      <c r="K86" s="1697">
        <f t="shared" ref="K86:K98" si="12">H86</f>
        <v>0</v>
      </c>
      <c r="L86" s="530"/>
    </row>
    <row r="87" spans="1:12" ht="14.25" thickTop="1" thickBot="1" x14ac:dyDescent="0.25">
      <c r="A87" s="1535" t="s">
        <v>724</v>
      </c>
      <c r="B87" s="640">
        <v>4230</v>
      </c>
      <c r="C87" s="617"/>
      <c r="D87" s="617"/>
      <c r="E87" s="639"/>
      <c r="F87" s="617"/>
      <c r="G87" s="617"/>
      <c r="H87" s="467"/>
      <c r="I87" s="477"/>
      <c r="J87" s="477"/>
      <c r="K87" s="1697">
        <f t="shared" si="12"/>
        <v>0</v>
      </c>
      <c r="L87" s="530"/>
    </row>
    <row r="88" spans="1:12" ht="12.75" customHeight="1" thickTop="1" thickBot="1" x14ac:dyDescent="0.25">
      <c r="A88" s="1535" t="s">
        <v>789</v>
      </c>
      <c r="B88" s="640">
        <v>4240</v>
      </c>
      <c r="C88" s="617"/>
      <c r="D88" s="617"/>
      <c r="E88" s="639"/>
      <c r="F88" s="617"/>
      <c r="G88" s="617"/>
      <c r="H88" s="467"/>
      <c r="I88" s="477"/>
      <c r="J88" s="477"/>
      <c r="K88" s="1697">
        <f t="shared" si="12"/>
        <v>0</v>
      </c>
      <c r="L88" s="530"/>
    </row>
    <row r="89" spans="1:12" ht="12.75" customHeight="1" thickTop="1" thickBot="1" x14ac:dyDescent="0.25">
      <c r="A89" s="1535" t="s">
        <v>725</v>
      </c>
      <c r="B89" s="640">
        <v>4270</v>
      </c>
      <c r="C89" s="617"/>
      <c r="D89" s="617"/>
      <c r="E89" s="639"/>
      <c r="F89" s="617"/>
      <c r="G89" s="617"/>
      <c r="H89" s="467"/>
      <c r="I89" s="477"/>
      <c r="J89" s="477"/>
      <c r="K89" s="1697">
        <f t="shared" si="12"/>
        <v>0</v>
      </c>
      <c r="L89" s="530"/>
    </row>
    <row r="90" spans="1:12" ht="12.75" customHeight="1" thickTop="1" thickBot="1" x14ac:dyDescent="0.25">
      <c r="A90" s="1535" t="s">
        <v>710</v>
      </c>
      <c r="B90" s="640">
        <v>4280</v>
      </c>
      <c r="C90" s="617"/>
      <c r="D90" s="617"/>
      <c r="E90" s="639"/>
      <c r="F90" s="617"/>
      <c r="G90" s="617"/>
      <c r="H90" s="467"/>
      <c r="I90" s="477"/>
      <c r="J90" s="477"/>
      <c r="K90" s="1697">
        <f t="shared" si="12"/>
        <v>0</v>
      </c>
      <c r="L90" s="530"/>
    </row>
    <row r="91" spans="1:12" ht="12.75" customHeight="1" thickTop="1" thickBot="1" x14ac:dyDescent="0.25">
      <c r="A91" s="1535" t="s">
        <v>711</v>
      </c>
      <c r="B91" s="640">
        <v>4290</v>
      </c>
      <c r="C91" s="617"/>
      <c r="D91" s="617"/>
      <c r="E91" s="639"/>
      <c r="F91" s="617"/>
      <c r="G91" s="617"/>
      <c r="H91" s="467"/>
      <c r="I91" s="477"/>
      <c r="J91" s="477"/>
      <c r="K91" s="1697">
        <f t="shared" si="12"/>
        <v>0</v>
      </c>
      <c r="L91" s="530"/>
    </row>
    <row r="92" spans="1:12" ht="14.25" thickTop="1" thickBot="1" x14ac:dyDescent="0.25">
      <c r="A92" s="1700" t="s">
        <v>1641</v>
      </c>
      <c r="B92" s="1698">
        <v>4200</v>
      </c>
      <c r="C92" s="617"/>
      <c r="D92" s="617"/>
      <c r="E92" s="639"/>
      <c r="F92" s="617"/>
      <c r="G92" s="617"/>
      <c r="H92" s="1690">
        <f>SUM(H85:H91)</f>
        <v>0</v>
      </c>
      <c r="I92" s="477"/>
      <c r="J92" s="477"/>
      <c r="K92" s="1697">
        <f t="shared" si="12"/>
        <v>0</v>
      </c>
      <c r="L92" s="1690">
        <f>SUM(L85:L91)</f>
        <v>0</v>
      </c>
    </row>
    <row r="93" spans="1:12" ht="14.25" thickTop="1" thickBot="1" x14ac:dyDescent="0.25">
      <c r="A93" s="1534" t="s">
        <v>712</v>
      </c>
      <c r="B93" s="641">
        <v>4310</v>
      </c>
      <c r="C93" s="617"/>
      <c r="D93" s="617"/>
      <c r="E93" s="639"/>
      <c r="F93" s="617"/>
      <c r="G93" s="617"/>
      <c r="H93" s="642"/>
      <c r="I93" s="477"/>
      <c r="J93" s="477"/>
      <c r="K93" s="1697">
        <f t="shared" si="12"/>
        <v>0</v>
      </c>
      <c r="L93" s="532"/>
    </row>
    <row r="94" spans="1:12" ht="12.75" customHeight="1" thickTop="1" thickBot="1" x14ac:dyDescent="0.25">
      <c r="A94" s="1535" t="s">
        <v>713</v>
      </c>
      <c r="B94" s="640">
        <v>4320</v>
      </c>
      <c r="C94" s="617"/>
      <c r="D94" s="617"/>
      <c r="E94" s="639"/>
      <c r="F94" s="617"/>
      <c r="G94" s="617"/>
      <c r="H94" s="467"/>
      <c r="I94" s="477"/>
      <c r="J94" s="477"/>
      <c r="K94" s="1697">
        <f t="shared" si="12"/>
        <v>0</v>
      </c>
      <c r="L94" s="530"/>
    </row>
    <row r="95" spans="1:12" ht="15" customHeight="1" thickTop="1" thickBot="1" x14ac:dyDescent="0.25">
      <c r="A95" s="1535" t="s">
        <v>1568</v>
      </c>
      <c r="B95" s="640">
        <v>4330</v>
      </c>
      <c r="C95" s="617"/>
      <c r="D95" s="617"/>
      <c r="E95" s="639"/>
      <c r="F95" s="617"/>
      <c r="G95" s="617"/>
      <c r="H95" s="467"/>
      <c r="I95" s="477"/>
      <c r="J95" s="477"/>
      <c r="K95" s="1697">
        <f t="shared" si="12"/>
        <v>0</v>
      </c>
      <c r="L95" s="530"/>
    </row>
    <row r="96" spans="1:12" ht="14.25" thickTop="1" thickBot="1" x14ac:dyDescent="0.25">
      <c r="A96" s="1535" t="s">
        <v>714</v>
      </c>
      <c r="B96" s="640">
        <v>4340</v>
      </c>
      <c r="C96" s="617"/>
      <c r="D96" s="617"/>
      <c r="E96" s="639"/>
      <c r="F96" s="617"/>
      <c r="G96" s="617"/>
      <c r="H96" s="467"/>
      <c r="I96" s="477"/>
      <c r="J96" s="477"/>
      <c r="K96" s="1697">
        <f t="shared" si="12"/>
        <v>0</v>
      </c>
      <c r="L96" s="530"/>
    </row>
    <row r="97" spans="1:14" ht="12.75" customHeight="1" thickTop="1" thickBot="1" x14ac:dyDescent="0.25">
      <c r="A97" s="1535" t="s">
        <v>787</v>
      </c>
      <c r="B97" s="640">
        <v>4370</v>
      </c>
      <c r="C97" s="617"/>
      <c r="D97" s="617"/>
      <c r="E97" s="639"/>
      <c r="F97" s="617"/>
      <c r="G97" s="617"/>
      <c r="H97" s="467"/>
      <c r="I97" s="477"/>
      <c r="J97" s="477"/>
      <c r="K97" s="1697">
        <f t="shared" si="12"/>
        <v>0</v>
      </c>
      <c r="L97" s="530"/>
    </row>
    <row r="98" spans="1:14" ht="14.25" thickTop="1" thickBot="1" x14ac:dyDescent="0.25">
      <c r="A98" s="1535" t="s">
        <v>788</v>
      </c>
      <c r="B98" s="640">
        <v>4380</v>
      </c>
      <c r="C98" s="617"/>
      <c r="D98" s="617"/>
      <c r="E98" s="643"/>
      <c r="F98" s="617"/>
      <c r="G98" s="617"/>
      <c r="H98" s="467"/>
      <c r="I98" s="477"/>
      <c r="J98" s="477"/>
      <c r="K98" s="1697">
        <f t="shared" si="12"/>
        <v>0</v>
      </c>
      <c r="L98" s="530"/>
    </row>
    <row r="99" spans="1:14" ht="14.25" thickTop="1" thickBot="1" x14ac:dyDescent="0.25">
      <c r="A99" s="1535" t="s">
        <v>385</v>
      </c>
      <c r="B99" s="640">
        <v>4390</v>
      </c>
      <c r="C99" s="617"/>
      <c r="D99" s="617"/>
      <c r="E99" s="532"/>
      <c r="F99" s="617"/>
      <c r="G99" s="617"/>
      <c r="H99" s="467"/>
      <c r="I99" s="477"/>
      <c r="J99" s="477"/>
      <c r="K99" s="1697">
        <f>SUM(E99,H99)</f>
        <v>0</v>
      </c>
      <c r="L99" s="530"/>
    </row>
    <row r="100" spans="1:14" ht="14.25" thickTop="1" thickBot="1" x14ac:dyDescent="0.25">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2" t="s">
        <v>1569</v>
      </c>
      <c r="B101" s="644" t="s">
        <v>988</v>
      </c>
      <c r="C101" s="617"/>
      <c r="D101" s="617"/>
      <c r="E101" s="531"/>
      <c r="F101" s="617"/>
      <c r="G101" s="617"/>
      <c r="H101" s="531"/>
      <c r="I101" s="477"/>
      <c r="J101" s="477"/>
      <c r="K101" s="1699">
        <f>SUM(C101:J101)</f>
        <v>0</v>
      </c>
      <c r="L101" s="530"/>
    </row>
    <row r="102" spans="1:14" ht="12.75" customHeight="1" thickTop="1" thickBot="1" x14ac:dyDescent="0.25">
      <c r="A102" s="1688" t="s">
        <v>1567</v>
      </c>
      <c r="B102" s="1698">
        <v>4000</v>
      </c>
      <c r="C102" s="617"/>
      <c r="D102" s="617"/>
      <c r="E102" s="1697">
        <f>SUM(E84,E92,E100,E101)</f>
        <v>0</v>
      </c>
      <c r="F102" s="617"/>
      <c r="G102" s="617"/>
      <c r="H102" s="1697">
        <f>SUM(H84,H92,H100,H101)</f>
        <v>567019</v>
      </c>
      <c r="I102" s="477"/>
      <c r="J102" s="477"/>
      <c r="K102" s="1697">
        <f>SUM(K84,K92,K100,K101)</f>
        <v>567019</v>
      </c>
      <c r="L102" s="1697">
        <f>SUM(L84,L92,L100,L101)</f>
        <v>563404</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1">
        <f>H105</f>
        <v>0</v>
      </c>
      <c r="L105" s="481"/>
      <c r="M105" s="210"/>
      <c r="N105" s="210"/>
    </row>
    <row r="106" spans="1:14" s="598" customFormat="1" x14ac:dyDescent="0.2">
      <c r="A106" s="1526" t="s">
        <v>90</v>
      </c>
      <c r="B106" s="615">
        <v>5120</v>
      </c>
      <c r="C106" s="617"/>
      <c r="D106" s="617"/>
      <c r="E106" s="617"/>
      <c r="F106" s="617"/>
      <c r="G106" s="617"/>
      <c r="H106" s="466"/>
      <c r="I106" s="468"/>
      <c r="J106" s="468"/>
      <c r="K106" s="1691">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1">
        <f>H107</f>
        <v>0</v>
      </c>
      <c r="L107" s="466"/>
      <c r="M107" s="210"/>
      <c r="N107" s="210"/>
    </row>
    <row r="108" spans="1:14" s="598" customFormat="1" x14ac:dyDescent="0.2">
      <c r="A108" s="1526" t="s">
        <v>91</v>
      </c>
      <c r="B108" s="615" t="s">
        <v>610</v>
      </c>
      <c r="C108" s="617"/>
      <c r="D108" s="617"/>
      <c r="E108" s="617"/>
      <c r="F108" s="617"/>
      <c r="G108" s="617"/>
      <c r="H108" s="466"/>
      <c r="I108" s="468"/>
      <c r="J108" s="468"/>
      <c r="K108" s="1691">
        <f>H108</f>
        <v>0</v>
      </c>
      <c r="L108" s="466"/>
      <c r="M108" s="210"/>
      <c r="N108" s="210"/>
    </row>
    <row r="109" spans="1:14" s="598" customFormat="1" x14ac:dyDescent="0.2">
      <c r="A109" s="1526" t="s">
        <v>272</v>
      </c>
      <c r="B109" s="629">
        <v>5150</v>
      </c>
      <c r="C109" s="617"/>
      <c r="D109" s="617"/>
      <c r="E109" s="617"/>
      <c r="F109" s="617"/>
      <c r="G109" s="617"/>
      <c r="H109" s="466"/>
      <c r="I109" s="468"/>
      <c r="J109" s="468"/>
      <c r="K109" s="1691">
        <f>H109</f>
        <v>0</v>
      </c>
      <c r="L109" s="466">
        <v>1295</v>
      </c>
      <c r="M109" s="210"/>
      <c r="N109" s="210"/>
    </row>
    <row r="110" spans="1:14" s="598" customFormat="1" ht="12.75" customHeight="1" thickBot="1" x14ac:dyDescent="0.25">
      <c r="A110" s="1688" t="s">
        <v>1164</v>
      </c>
      <c r="B110" s="1695" t="s">
        <v>742</v>
      </c>
      <c r="C110" s="617"/>
      <c r="D110" s="617"/>
      <c r="E110" s="617"/>
      <c r="F110" s="617"/>
      <c r="G110" s="617"/>
      <c r="H110" s="1690">
        <f>SUM(H105:H109)</f>
        <v>0</v>
      </c>
      <c r="I110" s="468"/>
      <c r="J110" s="468"/>
      <c r="K110" s="1690">
        <f>SUM(K105:K109)</f>
        <v>0</v>
      </c>
      <c r="L110" s="1690">
        <f>SUM(L105:L109)</f>
        <v>1295</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3">
        <f>H111</f>
        <v>0</v>
      </c>
      <c r="L111" s="532"/>
      <c r="M111" s="210"/>
      <c r="N111" s="210"/>
    </row>
    <row r="112" spans="1:14" s="598" customFormat="1" ht="12.75" customHeight="1" thickTop="1" thickBot="1" x14ac:dyDescent="0.25">
      <c r="A112" s="1688" t="s">
        <v>659</v>
      </c>
      <c r="B112" s="1689" t="s">
        <v>513</v>
      </c>
      <c r="C112" s="617"/>
      <c r="D112" s="617"/>
      <c r="E112" s="617"/>
      <c r="F112" s="617"/>
      <c r="G112" s="617"/>
      <c r="H112" s="1690">
        <f>SUM(H110:H111)</f>
        <v>0</v>
      </c>
      <c r="I112" s="468"/>
      <c r="J112" s="468"/>
      <c r="K112" s="1690">
        <f>SUM(K110:K111)</f>
        <v>0</v>
      </c>
      <c r="L112" s="1697">
        <f>SUM(L110,L111)</f>
        <v>1295</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88" t="s">
        <v>50</v>
      </c>
      <c r="B114" s="1702"/>
      <c r="C114" s="1690">
        <f>SUM(C33,C74,C75,C102,C112,C113)</f>
        <v>7320842</v>
      </c>
      <c r="D114" s="1690">
        <f t="shared" ref="D114:K114" si="13">SUM(D33,D74,D75,D102,D112,D113)</f>
        <v>1694467</v>
      </c>
      <c r="E114" s="1690">
        <f t="shared" si="13"/>
        <v>416245</v>
      </c>
      <c r="F114" s="1690">
        <f t="shared" si="13"/>
        <v>520453</v>
      </c>
      <c r="G114" s="1690">
        <f t="shared" si="13"/>
        <v>62555</v>
      </c>
      <c r="H114" s="1690">
        <f>SUM(H33,H74,H75,H102,H112,H113)</f>
        <v>609850</v>
      </c>
      <c r="I114" s="1690">
        <f t="shared" si="13"/>
        <v>0</v>
      </c>
      <c r="J114" s="1690">
        <f t="shared" si="13"/>
        <v>5775</v>
      </c>
      <c r="K114" s="1690">
        <f t="shared" si="13"/>
        <v>10630187</v>
      </c>
      <c r="L114" s="1690">
        <f>SUM(L33,L74,L75,L102,L112,L113)</f>
        <v>10866603</v>
      </c>
    </row>
    <row r="115" spans="1:14" ht="13.5" thickTop="1" x14ac:dyDescent="0.2">
      <c r="A115" s="2170" t="s">
        <v>1053</v>
      </c>
      <c r="B115" s="2171"/>
      <c r="C115" s="619"/>
      <c r="D115" s="619"/>
      <c r="E115" s="619"/>
      <c r="F115" s="619"/>
      <c r="G115" s="619"/>
      <c r="H115" s="619"/>
      <c r="I115" s="619"/>
      <c r="J115" s="619"/>
      <c r="K115" s="1704">
        <f>'Revenues 9-14'!C275-'Expenditures 15-22'!K114</f>
        <v>-162919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1">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0">
        <f>SUM(C122:J122)</f>
        <v>0</v>
      </c>
      <c r="L122" s="466"/>
    </row>
    <row r="123" spans="1:14" ht="14.25" thickTop="1" thickBot="1" x14ac:dyDescent="0.25">
      <c r="A123" s="1526" t="s">
        <v>4</v>
      </c>
      <c r="B123" s="615">
        <v>2530</v>
      </c>
      <c r="C123" s="466"/>
      <c r="D123" s="466"/>
      <c r="E123" s="466"/>
      <c r="F123" s="466"/>
      <c r="G123" s="466"/>
      <c r="H123" s="466"/>
      <c r="I123" s="467"/>
      <c r="J123" s="467"/>
      <c r="K123" s="1690">
        <f>SUM(C123:J123)</f>
        <v>0</v>
      </c>
      <c r="L123" s="466"/>
    </row>
    <row r="124" spans="1:14" ht="14.25" thickTop="1" thickBot="1" x14ac:dyDescent="0.25">
      <c r="A124" s="1526" t="s">
        <v>206</v>
      </c>
      <c r="B124" s="615">
        <v>2540</v>
      </c>
      <c r="C124" s="466">
        <v>395237</v>
      </c>
      <c r="D124" s="466">
        <v>69026</v>
      </c>
      <c r="E124" s="466">
        <v>212447</v>
      </c>
      <c r="F124" s="466">
        <v>408396</v>
      </c>
      <c r="G124" s="466">
        <v>455476</v>
      </c>
      <c r="H124" s="466">
        <v>7588</v>
      </c>
      <c r="I124" s="467"/>
      <c r="J124" s="467"/>
      <c r="K124" s="1690">
        <f>SUM(C124:J124)</f>
        <v>1548170</v>
      </c>
      <c r="L124" s="466">
        <v>1618191</v>
      </c>
    </row>
    <row r="125" spans="1:14" ht="14.25" thickTop="1" thickBot="1" x14ac:dyDescent="0.25">
      <c r="A125" s="1526" t="s">
        <v>1010</v>
      </c>
      <c r="B125" s="615">
        <v>2550</v>
      </c>
      <c r="C125" s="466"/>
      <c r="D125" s="466"/>
      <c r="E125" s="466"/>
      <c r="F125" s="466"/>
      <c r="G125" s="466"/>
      <c r="H125" s="466"/>
      <c r="I125" s="467"/>
      <c r="J125" s="467"/>
      <c r="K125" s="1690">
        <f>SUM(C125:J125)</f>
        <v>0</v>
      </c>
      <c r="L125" s="466"/>
    </row>
    <row r="126" spans="1:14" ht="14.25" thickTop="1" thickBot="1" x14ac:dyDescent="0.25">
      <c r="A126" s="1526" t="s">
        <v>102</v>
      </c>
      <c r="B126" s="615">
        <v>2560</v>
      </c>
      <c r="C126" s="655"/>
      <c r="D126" s="655"/>
      <c r="E126" s="655"/>
      <c r="F126" s="655"/>
      <c r="G126" s="466"/>
      <c r="H126" s="655"/>
      <c r="I126" s="474"/>
      <c r="J126" s="617"/>
      <c r="K126" s="1690">
        <f>SUM(C126:J126)</f>
        <v>0</v>
      </c>
      <c r="L126" s="466"/>
    </row>
    <row r="127" spans="1:14" ht="12.75" customHeight="1" thickTop="1" thickBot="1" x14ac:dyDescent="0.25">
      <c r="A127" s="1688" t="s">
        <v>743</v>
      </c>
      <c r="B127" s="1689" t="s">
        <v>35</v>
      </c>
      <c r="C127" s="1690">
        <f>SUM(C122:C126)</f>
        <v>395237</v>
      </c>
      <c r="D127" s="1690">
        <f t="shared" ref="D127:L127" si="14">SUM(D122:D126)</f>
        <v>69026</v>
      </c>
      <c r="E127" s="1690">
        <f t="shared" si="14"/>
        <v>212447</v>
      </c>
      <c r="F127" s="1690">
        <f t="shared" si="14"/>
        <v>408396</v>
      </c>
      <c r="G127" s="1690">
        <f t="shared" si="14"/>
        <v>455476</v>
      </c>
      <c r="H127" s="1690">
        <f t="shared" si="14"/>
        <v>7588</v>
      </c>
      <c r="I127" s="1690">
        <f t="shared" si="14"/>
        <v>0</v>
      </c>
      <c r="J127" s="1690">
        <f t="shared" si="14"/>
        <v>0</v>
      </c>
      <c r="K127" s="1690">
        <f t="shared" si="14"/>
        <v>1548170</v>
      </c>
      <c r="L127" s="1690">
        <f t="shared" si="14"/>
        <v>1618191</v>
      </c>
    </row>
    <row r="128" spans="1:14" ht="12.75" customHeight="1" thickTop="1" x14ac:dyDescent="0.2">
      <c r="A128" s="1533" t="s">
        <v>1037</v>
      </c>
      <c r="B128" s="656" t="s">
        <v>595</v>
      </c>
      <c r="C128" s="657"/>
      <c r="D128" s="657"/>
      <c r="E128" s="657"/>
      <c r="F128" s="657"/>
      <c r="G128" s="657"/>
      <c r="H128" s="657"/>
      <c r="I128" s="535"/>
      <c r="J128" s="535"/>
      <c r="K128" s="1705">
        <f>SUM(C128:J128)</f>
        <v>0</v>
      </c>
      <c r="L128" s="657"/>
    </row>
    <row r="129" spans="1:14" ht="12.75" customHeight="1" thickBot="1" x14ac:dyDescent="0.25">
      <c r="A129" s="1706" t="s">
        <v>865</v>
      </c>
      <c r="B129" s="1707" t="s">
        <v>590</v>
      </c>
      <c r="C129" s="1697">
        <f>SUM(C120,C127,C128)</f>
        <v>395237</v>
      </c>
      <c r="D129" s="1697">
        <f t="shared" ref="D129:L129" si="15">SUM(D120,D127,D128)</f>
        <v>69026</v>
      </c>
      <c r="E129" s="1697">
        <f t="shared" si="15"/>
        <v>212447</v>
      </c>
      <c r="F129" s="1697">
        <f t="shared" si="15"/>
        <v>408396</v>
      </c>
      <c r="G129" s="1697">
        <f t="shared" si="15"/>
        <v>455476</v>
      </c>
      <c r="H129" s="1697">
        <f t="shared" si="15"/>
        <v>7588</v>
      </c>
      <c r="I129" s="1697">
        <f t="shared" si="15"/>
        <v>0</v>
      </c>
      <c r="J129" s="1697">
        <f t="shared" si="15"/>
        <v>0</v>
      </c>
      <c r="K129" s="1697">
        <f t="shared" si="15"/>
        <v>1548170</v>
      </c>
      <c r="L129" s="1697">
        <f t="shared" si="15"/>
        <v>1618191</v>
      </c>
    </row>
    <row r="130" spans="1:14" ht="15.75" customHeight="1" thickTop="1" thickBot="1" x14ac:dyDescent="0.25">
      <c r="A130" s="1632" t="s">
        <v>1096</v>
      </c>
      <c r="B130" s="1633" t="s">
        <v>596</v>
      </c>
      <c r="C130" s="576"/>
      <c r="D130" s="576"/>
      <c r="E130" s="576"/>
      <c r="F130" s="576"/>
      <c r="G130" s="576"/>
      <c r="H130" s="576"/>
      <c r="I130" s="531"/>
      <c r="J130" s="531"/>
      <c r="K130" s="1690">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2" t="s">
        <v>1957</v>
      </c>
      <c r="C133" s="468"/>
      <c r="D133" s="468"/>
      <c r="E133" s="642"/>
      <c r="F133" s="468"/>
      <c r="G133" s="468"/>
      <c r="H133" s="642"/>
      <c r="I133" s="468"/>
      <c r="J133" s="468"/>
      <c r="K133" s="1842">
        <f>SUM(E133,H133)</f>
        <v>0</v>
      </c>
      <c r="L133" s="642"/>
      <c r="M133" s="206"/>
      <c r="N133" s="206"/>
    </row>
    <row r="134" spans="1:14" x14ac:dyDescent="0.2">
      <c r="A134" s="1526" t="s">
        <v>322</v>
      </c>
      <c r="B134" s="615">
        <v>4120</v>
      </c>
      <c r="C134" s="617"/>
      <c r="D134" s="617"/>
      <c r="E134" s="478"/>
      <c r="F134" s="617"/>
      <c r="G134" s="617"/>
      <c r="H134" s="481"/>
      <c r="I134" s="477"/>
      <c r="J134" s="617"/>
      <c r="K134" s="1692">
        <f>SUM(E134,H134)</f>
        <v>0</v>
      </c>
      <c r="L134" s="481"/>
    </row>
    <row r="135" spans="1:14" x14ac:dyDescent="0.2">
      <c r="A135" s="1526" t="s">
        <v>721</v>
      </c>
      <c r="B135" s="615">
        <v>4140</v>
      </c>
      <c r="C135" s="617"/>
      <c r="D135" s="617"/>
      <c r="E135" s="467"/>
      <c r="F135" s="617"/>
      <c r="G135" s="617"/>
      <c r="H135" s="466"/>
      <c r="I135" s="477"/>
      <c r="J135" s="617"/>
      <c r="K135" s="1692">
        <f>SUM(E135,H135)</f>
        <v>0</v>
      </c>
      <c r="L135" s="466"/>
    </row>
    <row r="136" spans="1:14" x14ac:dyDescent="0.2">
      <c r="A136" s="1530" t="s">
        <v>722</v>
      </c>
      <c r="B136" s="629">
        <v>4190</v>
      </c>
      <c r="C136" s="617"/>
      <c r="D136" s="617"/>
      <c r="E136" s="467"/>
      <c r="F136" s="617"/>
      <c r="G136" s="617"/>
      <c r="H136" s="466">
        <v>4844</v>
      </c>
      <c r="I136" s="477"/>
      <c r="J136" s="617"/>
      <c r="K136" s="1692">
        <f>SUM(E136,H136)</f>
        <v>4844</v>
      </c>
      <c r="L136" s="466">
        <v>4845</v>
      </c>
    </row>
    <row r="137" spans="1:14" ht="12.75" customHeight="1" thickBot="1" x14ac:dyDescent="0.25">
      <c r="A137" s="1688" t="s">
        <v>501</v>
      </c>
      <c r="B137" s="1698">
        <v>4100</v>
      </c>
      <c r="C137" s="617"/>
      <c r="D137" s="617"/>
      <c r="E137" s="1690">
        <f>SUM(E133:E136)</f>
        <v>0</v>
      </c>
      <c r="F137" s="617"/>
      <c r="G137" s="617"/>
      <c r="H137" s="1690">
        <f>SUM(H133:H136)</f>
        <v>4844</v>
      </c>
      <c r="I137" s="477"/>
      <c r="J137" s="617"/>
      <c r="K137" s="1690">
        <f>SUM(K133:K136)</f>
        <v>4844</v>
      </c>
      <c r="L137" s="1690">
        <f>SUM(L133:L136)</f>
        <v>4845</v>
      </c>
    </row>
    <row r="138" spans="1:14" ht="12.75" customHeight="1" thickTop="1" thickBot="1" x14ac:dyDescent="0.25">
      <c r="A138" s="1532" t="s">
        <v>98</v>
      </c>
      <c r="B138" s="644" t="s">
        <v>988</v>
      </c>
      <c r="C138" s="617"/>
      <c r="D138" s="617"/>
      <c r="E138" s="479"/>
      <c r="F138" s="617"/>
      <c r="G138" s="617"/>
      <c r="H138" s="576"/>
      <c r="I138" s="477"/>
      <c r="J138" s="617"/>
      <c r="K138" s="1692">
        <f>SUM(E138,H138)</f>
        <v>0</v>
      </c>
      <c r="L138" s="576"/>
    </row>
    <row r="139" spans="1:14" ht="12.75" customHeight="1" thickTop="1" thickBot="1" x14ac:dyDescent="0.25">
      <c r="A139" s="1688" t="s">
        <v>1567</v>
      </c>
      <c r="B139" s="1698">
        <v>4000</v>
      </c>
      <c r="C139" s="617"/>
      <c r="D139" s="617"/>
      <c r="E139" s="1690">
        <f>SUM(E137,E138)</f>
        <v>0</v>
      </c>
      <c r="F139" s="617"/>
      <c r="G139" s="617"/>
      <c r="H139" s="1699">
        <f>SUM(H137:H138)</f>
        <v>4844</v>
      </c>
      <c r="I139" s="477"/>
      <c r="J139" s="617"/>
      <c r="K139" s="1692">
        <f>SUM(K137,K138)</f>
        <v>4844</v>
      </c>
      <c r="L139" s="1699">
        <f>SUM(L137,L138)</f>
        <v>4845</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2">
        <f>SUM(H142)</f>
        <v>0</v>
      </c>
      <c r="L142" s="481"/>
    </row>
    <row r="143" spans="1:14" x14ac:dyDescent="0.2">
      <c r="A143" s="1526" t="s">
        <v>90</v>
      </c>
      <c r="B143" s="615">
        <v>5120</v>
      </c>
      <c r="C143" s="617"/>
      <c r="D143" s="617"/>
      <c r="E143" s="617"/>
      <c r="F143" s="617"/>
      <c r="G143" s="617"/>
      <c r="H143" s="466"/>
      <c r="I143" s="468"/>
      <c r="J143" s="617"/>
      <c r="K143" s="1692">
        <f>SUM(H143)</f>
        <v>0</v>
      </c>
      <c r="L143" s="466"/>
    </row>
    <row r="144" spans="1:14" ht="12.75" customHeight="1" x14ac:dyDescent="0.2">
      <c r="A144" s="1526" t="s">
        <v>1232</v>
      </c>
      <c r="B144" s="629" t="s">
        <v>638</v>
      </c>
      <c r="C144" s="617"/>
      <c r="D144" s="617"/>
      <c r="E144" s="617"/>
      <c r="F144" s="617"/>
      <c r="G144" s="617"/>
      <c r="H144" s="466"/>
      <c r="I144" s="468"/>
      <c r="J144" s="617"/>
      <c r="K144" s="1692">
        <f>SUM(H144)</f>
        <v>0</v>
      </c>
      <c r="L144" s="466"/>
    </row>
    <row r="145" spans="1:14" x14ac:dyDescent="0.2">
      <c r="A145" s="1526" t="s">
        <v>91</v>
      </c>
      <c r="B145" s="615" t="s">
        <v>610</v>
      </c>
      <c r="C145" s="617"/>
      <c r="D145" s="617"/>
      <c r="E145" s="617"/>
      <c r="F145" s="617"/>
      <c r="G145" s="617"/>
      <c r="H145" s="466"/>
      <c r="I145" s="468"/>
      <c r="J145" s="617"/>
      <c r="K145" s="1692">
        <f>SUM(H145)</f>
        <v>0</v>
      </c>
      <c r="L145" s="466"/>
    </row>
    <row r="146" spans="1:14" ht="12.75" customHeight="1" x14ac:dyDescent="0.2">
      <c r="A146" s="1526" t="s">
        <v>640</v>
      </c>
      <c r="B146" s="615" t="s">
        <v>639</v>
      </c>
      <c r="C146" s="617"/>
      <c r="D146" s="617"/>
      <c r="E146" s="617"/>
      <c r="F146" s="617"/>
      <c r="G146" s="617"/>
      <c r="H146" s="466"/>
      <c r="I146" s="468"/>
      <c r="J146" s="617"/>
      <c r="K146" s="1692">
        <f>SUM(H146)</f>
        <v>0</v>
      </c>
      <c r="L146" s="466"/>
    </row>
    <row r="147" spans="1:14" ht="12.75" customHeight="1" thickBot="1" x14ac:dyDescent="0.25">
      <c r="A147" s="1537" t="s">
        <v>647</v>
      </c>
      <c r="B147" s="660" t="s">
        <v>742</v>
      </c>
      <c r="C147" s="617"/>
      <c r="D147" s="617"/>
      <c r="E147" s="617"/>
      <c r="F147" s="617"/>
      <c r="G147" s="617"/>
      <c r="H147" s="1708">
        <f>SUM(H142:H146)</f>
        <v>0</v>
      </c>
      <c r="I147" s="468"/>
      <c r="J147" s="617"/>
      <c r="K147" s="1690">
        <f>SUM(K142:K146)</f>
        <v>0</v>
      </c>
      <c r="L147" s="1708">
        <f>SUM(L142:L146)</f>
        <v>0</v>
      </c>
    </row>
    <row r="148" spans="1:14" ht="15.75" customHeight="1" thickTop="1" x14ac:dyDescent="0.2">
      <c r="A148" s="661" t="s">
        <v>1165</v>
      </c>
      <c r="B148" s="662" t="s">
        <v>38</v>
      </c>
      <c r="C148" s="617"/>
      <c r="D148" s="617"/>
      <c r="E148" s="617"/>
      <c r="F148" s="617"/>
      <c r="G148" s="617"/>
      <c r="H148" s="479"/>
      <c r="I148" s="468"/>
      <c r="J148" s="617"/>
      <c r="K148" s="1692">
        <f>SUM(H148)</f>
        <v>0</v>
      </c>
      <c r="L148" s="492"/>
    </row>
    <row r="149" spans="1:14" ht="12.75" customHeight="1" thickBot="1" x14ac:dyDescent="0.25">
      <c r="A149" s="1529"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7" t="s">
        <v>641</v>
      </c>
      <c r="B151" s="2167"/>
      <c r="C151" s="1690">
        <f>SUM(C129,C130,C139,C149,C150)</f>
        <v>395237</v>
      </c>
      <c r="D151" s="1690">
        <f t="shared" ref="D151:K151" si="16">SUM(D129,D130,D139,D149,D150)</f>
        <v>69026</v>
      </c>
      <c r="E151" s="1690">
        <f t="shared" si="16"/>
        <v>212447</v>
      </c>
      <c r="F151" s="1690">
        <f t="shared" si="16"/>
        <v>408396</v>
      </c>
      <c r="G151" s="1690">
        <f t="shared" si="16"/>
        <v>455476</v>
      </c>
      <c r="H151" s="1690">
        <f t="shared" si="16"/>
        <v>12432</v>
      </c>
      <c r="I151" s="1690">
        <f t="shared" si="16"/>
        <v>0</v>
      </c>
      <c r="J151" s="1690">
        <f t="shared" si="16"/>
        <v>0</v>
      </c>
      <c r="K151" s="1690">
        <f t="shared" si="16"/>
        <v>1553014</v>
      </c>
      <c r="L151" s="1690">
        <f>SUM(L129,L130,L139,L149,L150)</f>
        <v>1623036</v>
      </c>
    </row>
    <row r="152" spans="1:14" ht="12.75" customHeight="1" thickTop="1" x14ac:dyDescent="0.2">
      <c r="A152" s="2190" t="s">
        <v>1240</v>
      </c>
      <c r="B152" s="2191"/>
      <c r="C152" s="619"/>
      <c r="D152" s="619"/>
      <c r="E152" s="619"/>
      <c r="F152" s="619"/>
      <c r="G152" s="619"/>
      <c r="H152" s="619"/>
      <c r="I152" s="619"/>
      <c r="J152" s="617"/>
      <c r="K152" s="1704">
        <f>'Revenues 9-14'!D275-'Expenditures 15-22'!K151</f>
        <v>-78739</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3"/>
      <c r="I155" s="617"/>
      <c r="J155" s="617"/>
      <c r="K155" s="1846"/>
      <c r="L155" s="1863"/>
      <c r="M155" s="620"/>
      <c r="N155" s="620"/>
    </row>
    <row r="156" spans="1:14" s="621" customFormat="1" ht="15.75" customHeight="1" thickTop="1" x14ac:dyDescent="0.2">
      <c r="A156" s="1843" t="s">
        <v>1958</v>
      </c>
      <c r="B156" s="1844"/>
      <c r="C156" s="617"/>
      <c r="D156" s="617"/>
      <c r="E156" s="617"/>
      <c r="F156" s="617"/>
      <c r="G156" s="617"/>
      <c r="H156" s="1864"/>
      <c r="I156" s="617"/>
      <c r="J156" s="617"/>
      <c r="K156" s="1845"/>
      <c r="L156" s="1864"/>
      <c r="M156" s="620"/>
      <c r="N156" s="620"/>
    </row>
    <row r="157" spans="1:14" s="621" customFormat="1" ht="12" x14ac:dyDescent="0.2">
      <c r="A157" s="1847" t="s">
        <v>517</v>
      </c>
      <c r="B157" s="1848" t="s">
        <v>1957</v>
      </c>
      <c r="C157" s="617"/>
      <c r="D157" s="617"/>
      <c r="E157" s="617"/>
      <c r="F157" s="617"/>
      <c r="G157" s="617"/>
      <c r="H157" s="642"/>
      <c r="I157" s="617"/>
      <c r="J157" s="617"/>
      <c r="K157" s="1691">
        <f>H157</f>
        <v>0</v>
      </c>
      <c r="L157" s="467"/>
      <c r="M157" s="620"/>
      <c r="N157" s="620"/>
    </row>
    <row r="158" spans="1:14" s="621" customFormat="1" ht="12" x14ac:dyDescent="0.2">
      <c r="A158" s="1847" t="s">
        <v>322</v>
      </c>
      <c r="B158" s="1848" t="s">
        <v>1959</v>
      </c>
      <c r="C158" s="617"/>
      <c r="D158" s="617"/>
      <c r="E158" s="617"/>
      <c r="F158" s="617"/>
      <c r="G158" s="617"/>
      <c r="H158" s="467"/>
      <c r="I158" s="617"/>
      <c r="J158" s="617"/>
      <c r="K158" s="1691">
        <f>H158</f>
        <v>0</v>
      </c>
      <c r="L158" s="467"/>
      <c r="M158" s="620"/>
      <c r="N158" s="620"/>
    </row>
    <row r="159" spans="1:14" s="621" customFormat="1" ht="12" x14ac:dyDescent="0.2">
      <c r="A159" s="1847" t="s">
        <v>1960</v>
      </c>
      <c r="B159" s="1848" t="s">
        <v>579</v>
      </c>
      <c r="C159" s="617"/>
      <c r="D159" s="617"/>
      <c r="E159" s="617"/>
      <c r="F159" s="617"/>
      <c r="G159" s="617"/>
      <c r="H159" s="467"/>
      <c r="I159" s="617"/>
      <c r="J159" s="617"/>
      <c r="K159" s="1691">
        <f>H159</f>
        <v>0</v>
      </c>
      <c r="L159" s="467"/>
      <c r="M159" s="620"/>
      <c r="N159" s="620"/>
    </row>
    <row r="160" spans="1:14" s="621" customFormat="1" ht="15.75" customHeight="1" thickBot="1" x14ac:dyDescent="0.25">
      <c r="A160" s="1849" t="s">
        <v>1961</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1">
        <f>SUM(C163:J163)</f>
        <v>0</v>
      </c>
      <c r="L163" s="466"/>
    </row>
    <row r="164" spans="1:14" x14ac:dyDescent="0.2">
      <c r="A164" s="1526" t="s">
        <v>90</v>
      </c>
      <c r="B164" s="615">
        <v>5120</v>
      </c>
      <c r="C164" s="617"/>
      <c r="D164" s="617"/>
      <c r="E164" s="617"/>
      <c r="F164" s="617"/>
      <c r="G164" s="617"/>
      <c r="H164" s="466"/>
      <c r="I164" s="617"/>
      <c r="J164" s="617"/>
      <c r="K164" s="1691">
        <f>SUM(C164:J164)</f>
        <v>0</v>
      </c>
      <c r="L164" s="466"/>
    </row>
    <row r="165" spans="1:14" ht="12.75" customHeight="1" x14ac:dyDescent="0.2">
      <c r="A165" s="1526" t="s">
        <v>1232</v>
      </c>
      <c r="B165" s="615" t="s">
        <v>638</v>
      </c>
      <c r="C165" s="617"/>
      <c r="D165" s="617"/>
      <c r="E165" s="617"/>
      <c r="F165" s="617"/>
      <c r="G165" s="617"/>
      <c r="H165" s="466"/>
      <c r="I165" s="617"/>
      <c r="J165" s="617"/>
      <c r="K165" s="1691">
        <f>SUM(C165:J165)</f>
        <v>0</v>
      </c>
      <c r="L165" s="466"/>
    </row>
    <row r="166" spans="1:14" x14ac:dyDescent="0.2">
      <c r="A166" s="1526" t="s">
        <v>91</v>
      </c>
      <c r="B166" s="629" t="s">
        <v>610</v>
      </c>
      <c r="C166" s="617"/>
      <c r="D166" s="617"/>
      <c r="E166" s="617"/>
      <c r="F166" s="617"/>
      <c r="G166" s="617"/>
      <c r="H166" s="466"/>
      <c r="I166" s="617"/>
      <c r="J166" s="617"/>
      <c r="K166" s="1691">
        <f>SUM(C166:J166)</f>
        <v>0</v>
      </c>
      <c r="L166" s="466"/>
    </row>
    <row r="167" spans="1:14" ht="12.75" customHeight="1" x14ac:dyDescent="0.2">
      <c r="A167" s="1526" t="s">
        <v>640</v>
      </c>
      <c r="B167" s="615" t="s">
        <v>639</v>
      </c>
      <c r="C167" s="617"/>
      <c r="D167" s="617"/>
      <c r="E167" s="617"/>
      <c r="F167" s="617"/>
      <c r="G167" s="617"/>
      <c r="H167" s="466"/>
      <c r="I167" s="617"/>
      <c r="J167" s="617"/>
      <c r="K167" s="1691">
        <f>SUM(C167:J167)</f>
        <v>0</v>
      </c>
      <c r="L167" s="466"/>
    </row>
    <row r="168" spans="1:14" ht="13.5" thickBot="1" x14ac:dyDescent="0.25">
      <c r="A168" s="1688" t="s">
        <v>294</v>
      </c>
      <c r="B168" s="1695" t="s">
        <v>742</v>
      </c>
      <c r="C168" s="617"/>
      <c r="D168" s="617"/>
      <c r="E168" s="617"/>
      <c r="F168" s="617"/>
      <c r="G168" s="617"/>
      <c r="H168" s="1690">
        <f>SUM(H163:H167)</f>
        <v>0</v>
      </c>
      <c r="I168" s="617"/>
      <c r="J168" s="617"/>
      <c r="K168" s="1690">
        <f>SUM(K163:K167)</f>
        <v>0</v>
      </c>
      <c r="L168" s="1690">
        <f>SUM(L163:L167)</f>
        <v>0</v>
      </c>
    </row>
    <row r="169" spans="1:14" ht="15.75" customHeight="1" thickTop="1" x14ac:dyDescent="0.2">
      <c r="A169" s="670" t="s">
        <v>85</v>
      </c>
      <c r="B169" s="671" t="s">
        <v>38</v>
      </c>
      <c r="C169" s="617"/>
      <c r="D169" s="617"/>
      <c r="E169" s="617"/>
      <c r="F169" s="617"/>
      <c r="G169" s="617"/>
      <c r="H169" s="657">
        <v>114813</v>
      </c>
      <c r="I169" s="617"/>
      <c r="J169" s="617"/>
      <c r="K169" s="1691">
        <f>SUM(C169:H169)</f>
        <v>114813</v>
      </c>
      <c r="L169" s="657">
        <v>347163</v>
      </c>
    </row>
    <row r="170" spans="1:14" ht="33.75" customHeight="1" x14ac:dyDescent="0.2">
      <c r="A170" s="670" t="s">
        <v>1769</v>
      </c>
      <c r="B170" s="672" t="s">
        <v>31</v>
      </c>
      <c r="C170" s="617"/>
      <c r="D170" s="617"/>
      <c r="E170" s="617"/>
      <c r="F170" s="617"/>
      <c r="G170" s="617"/>
      <c r="H170" s="569">
        <v>860000</v>
      </c>
      <c r="I170" s="617"/>
      <c r="J170" s="617"/>
      <c r="K170" s="1691">
        <f>SUM(C170:J170)</f>
        <v>860000</v>
      </c>
      <c r="L170" s="569">
        <v>615230</v>
      </c>
    </row>
    <row r="171" spans="1:14" ht="15.75" customHeight="1" x14ac:dyDescent="0.2">
      <c r="A171" s="622" t="s">
        <v>790</v>
      </c>
      <c r="B171" s="673" t="s">
        <v>86</v>
      </c>
      <c r="C171" s="617"/>
      <c r="D171" s="617"/>
      <c r="E171" s="466"/>
      <c r="F171" s="617"/>
      <c r="G171" s="617"/>
      <c r="H171" s="569">
        <v>965</v>
      </c>
      <c r="I171" s="477"/>
      <c r="J171" s="617"/>
      <c r="K171" s="1691">
        <f>SUM(C171:J171)</f>
        <v>965</v>
      </c>
      <c r="L171" s="569"/>
    </row>
    <row r="172" spans="1:14" ht="12.75" customHeight="1" thickBot="1" x14ac:dyDescent="0.25">
      <c r="A172" s="1688" t="s">
        <v>659</v>
      </c>
      <c r="B172" s="1689" t="s">
        <v>513</v>
      </c>
      <c r="C172" s="617"/>
      <c r="D172" s="617"/>
      <c r="E172" s="1697">
        <f>SUM(E168,E169,E170,E171)</f>
        <v>0</v>
      </c>
      <c r="F172" s="617"/>
      <c r="G172" s="617"/>
      <c r="H172" s="1697">
        <f>SUM(H168,H169,H170,H171)</f>
        <v>975778</v>
      </c>
      <c r="I172" s="639"/>
      <c r="J172" s="617"/>
      <c r="K172" s="1697">
        <f>SUM(K168,K169,K170,K171)</f>
        <v>975778</v>
      </c>
      <c r="L172" s="1697">
        <f>SUM(L168,L169,L170,L171)</f>
        <v>962393</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09" t="s">
        <v>92</v>
      </c>
      <c r="B174" s="1710"/>
      <c r="C174" s="617"/>
      <c r="D174" s="617"/>
      <c r="E174" s="1697">
        <f>SUM(E155,E172,E173)</f>
        <v>0</v>
      </c>
      <c r="F174" s="617"/>
      <c r="G174" s="617"/>
      <c r="H174" s="1697">
        <f>SUM(H160,H172,H173)</f>
        <v>975778</v>
      </c>
      <c r="I174" s="639"/>
      <c r="J174" s="617"/>
      <c r="K174" s="1697">
        <f>SUM(K160,K172,K173)</f>
        <v>975778</v>
      </c>
      <c r="L174" s="1697">
        <f>SUM(L160,L172,L173)</f>
        <v>962393</v>
      </c>
    </row>
    <row r="175" spans="1:14" ht="13.5" thickTop="1" x14ac:dyDescent="0.2">
      <c r="A175" s="2170" t="s">
        <v>1053</v>
      </c>
      <c r="B175" s="2171"/>
      <c r="C175" s="617"/>
      <c r="D175" s="617"/>
      <c r="E175" s="617"/>
      <c r="F175" s="617"/>
      <c r="G175" s="617"/>
      <c r="H175" s="619"/>
      <c r="I175" s="617"/>
      <c r="J175" s="617"/>
      <c r="K175" s="1704">
        <f>'Revenues 9-14'!E275-'Expenditures 15-22'!K174</f>
        <v>-229549</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1">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445921</v>
      </c>
      <c r="D182" s="466">
        <v>61303</v>
      </c>
      <c r="E182" s="466">
        <v>32539</v>
      </c>
      <c r="F182" s="466">
        <v>139866</v>
      </c>
      <c r="G182" s="466">
        <v>138900</v>
      </c>
      <c r="H182" s="466">
        <v>611</v>
      </c>
      <c r="I182" s="467"/>
      <c r="J182" s="467">
        <v>900</v>
      </c>
      <c r="K182" s="1691">
        <f>SUM(C182:J182)</f>
        <v>820040</v>
      </c>
      <c r="L182" s="466">
        <v>923893</v>
      </c>
    </row>
    <row r="183" spans="1:14" ht="12.75" customHeight="1" thickBot="1" x14ac:dyDescent="0.25">
      <c r="A183" s="1531" t="s">
        <v>1037</v>
      </c>
      <c r="B183" s="678">
        <v>2900</v>
      </c>
      <c r="C183" s="573"/>
      <c r="D183" s="573"/>
      <c r="E183" s="573"/>
      <c r="F183" s="573"/>
      <c r="G183" s="573"/>
      <c r="H183" s="573"/>
      <c r="I183" s="532"/>
      <c r="J183" s="532"/>
      <c r="K183" s="1697">
        <f>SUM(C183:J183)</f>
        <v>0</v>
      </c>
      <c r="L183" s="573"/>
    </row>
    <row r="184" spans="1:14" ht="12.75" customHeight="1" thickTop="1" thickBot="1" x14ac:dyDescent="0.25">
      <c r="A184" s="1711" t="s">
        <v>865</v>
      </c>
      <c r="B184" s="1689" t="s">
        <v>590</v>
      </c>
      <c r="C184" s="1697">
        <f>SUM(C180,C182,C183)</f>
        <v>445921</v>
      </c>
      <c r="D184" s="1697">
        <f t="shared" ref="D184:J184" si="17">SUM(D180,D182,D183)</f>
        <v>61303</v>
      </c>
      <c r="E184" s="1697">
        <f t="shared" si="17"/>
        <v>32539</v>
      </c>
      <c r="F184" s="1697">
        <f t="shared" si="17"/>
        <v>139866</v>
      </c>
      <c r="G184" s="1697">
        <f t="shared" si="17"/>
        <v>138900</v>
      </c>
      <c r="H184" s="1697">
        <f t="shared" si="17"/>
        <v>611</v>
      </c>
      <c r="I184" s="1697">
        <f t="shared" si="17"/>
        <v>0</v>
      </c>
      <c r="J184" s="1697">
        <f t="shared" si="17"/>
        <v>900</v>
      </c>
      <c r="K184" s="1697">
        <f>SUM(K180,K182,K183)</f>
        <v>820040</v>
      </c>
      <c r="L184" s="1697">
        <f>SUM(L180, L182:L183)</f>
        <v>923893</v>
      </c>
    </row>
    <row r="185" spans="1:14" ht="15.75" customHeight="1" thickTop="1" thickBot="1" x14ac:dyDescent="0.25">
      <c r="A185" s="1644" t="s">
        <v>996</v>
      </c>
      <c r="B185" s="1633">
        <v>3000</v>
      </c>
      <c r="C185" s="576"/>
      <c r="D185" s="576"/>
      <c r="E185" s="576"/>
      <c r="F185" s="576"/>
      <c r="G185" s="576"/>
      <c r="H185" s="576"/>
      <c r="I185" s="531"/>
      <c r="J185" s="531"/>
      <c r="K185" s="1690">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1">
        <f t="shared" ref="K188:K193" si="18">SUM(E188,H188)</f>
        <v>0</v>
      </c>
      <c r="L188" s="466"/>
    </row>
    <row r="189" spans="1:14" x14ac:dyDescent="0.2">
      <c r="A189" s="1526" t="s">
        <v>322</v>
      </c>
      <c r="B189" s="615">
        <v>4120</v>
      </c>
      <c r="C189" s="617"/>
      <c r="D189" s="617"/>
      <c r="E189" s="466"/>
      <c r="F189" s="617"/>
      <c r="G189" s="617"/>
      <c r="H189" s="466"/>
      <c r="I189" s="477"/>
      <c r="J189" s="617"/>
      <c r="K189" s="1691">
        <f t="shared" si="18"/>
        <v>0</v>
      </c>
      <c r="L189" s="466"/>
    </row>
    <row r="190" spans="1:14" x14ac:dyDescent="0.2">
      <c r="A190" s="1526" t="s">
        <v>323</v>
      </c>
      <c r="B190" s="629">
        <v>4130</v>
      </c>
      <c r="C190" s="617"/>
      <c r="D190" s="617"/>
      <c r="E190" s="466"/>
      <c r="F190" s="617"/>
      <c r="G190" s="617"/>
      <c r="H190" s="466"/>
      <c r="I190" s="477"/>
      <c r="J190" s="617"/>
      <c r="K190" s="1691">
        <f t="shared" si="18"/>
        <v>0</v>
      </c>
      <c r="L190" s="466"/>
    </row>
    <row r="191" spans="1:14" x14ac:dyDescent="0.2">
      <c r="A191" s="1526" t="s">
        <v>721</v>
      </c>
      <c r="B191" s="615">
        <v>4140</v>
      </c>
      <c r="C191" s="617"/>
      <c r="D191" s="617"/>
      <c r="E191" s="466"/>
      <c r="F191" s="617"/>
      <c r="G191" s="617"/>
      <c r="H191" s="466"/>
      <c r="I191" s="477"/>
      <c r="J191" s="617"/>
      <c r="K191" s="1691">
        <f t="shared" si="18"/>
        <v>0</v>
      </c>
      <c r="L191" s="466"/>
    </row>
    <row r="192" spans="1:14" x14ac:dyDescent="0.2">
      <c r="A192" s="1526" t="s">
        <v>88</v>
      </c>
      <c r="B192" s="615">
        <v>4170</v>
      </c>
      <c r="C192" s="617"/>
      <c r="D192" s="617"/>
      <c r="E192" s="466"/>
      <c r="F192" s="617"/>
      <c r="G192" s="617"/>
      <c r="H192" s="466"/>
      <c r="I192" s="477"/>
      <c r="J192" s="617"/>
      <c r="K192" s="1691">
        <f t="shared" si="18"/>
        <v>0</v>
      </c>
      <c r="L192" s="466"/>
    </row>
    <row r="193" spans="1:14" x14ac:dyDescent="0.2">
      <c r="A193" s="1530" t="s">
        <v>722</v>
      </c>
      <c r="B193" s="629">
        <v>4190</v>
      </c>
      <c r="C193" s="617"/>
      <c r="D193" s="617"/>
      <c r="E193" s="466"/>
      <c r="F193" s="617"/>
      <c r="G193" s="617"/>
      <c r="H193" s="466"/>
      <c r="I193" s="477"/>
      <c r="J193" s="617"/>
      <c r="K193" s="1691">
        <f t="shared" si="18"/>
        <v>0</v>
      </c>
      <c r="L193" s="466"/>
    </row>
    <row r="194" spans="1:14" ht="12.75" customHeight="1" thickBot="1" x14ac:dyDescent="0.25">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70" t="s">
        <v>94</v>
      </c>
      <c r="B195" s="679" t="s">
        <v>988</v>
      </c>
      <c r="C195" s="617"/>
      <c r="D195" s="617"/>
      <c r="E195" s="657"/>
      <c r="F195" s="617"/>
      <c r="G195" s="617"/>
      <c r="H195" s="657"/>
      <c r="I195" s="477"/>
      <c r="J195" s="617"/>
      <c r="K195" s="1705">
        <f>SUM(E195,H195)</f>
        <v>0</v>
      </c>
      <c r="L195" s="657"/>
    </row>
    <row r="196" spans="1:14" ht="12.75" customHeight="1" thickBot="1" x14ac:dyDescent="0.25">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1">
        <f>SUM(H199)</f>
        <v>0</v>
      </c>
      <c r="L199" s="466"/>
    </row>
    <row r="200" spans="1:14" x14ac:dyDescent="0.2">
      <c r="A200" s="1526" t="s">
        <v>90</v>
      </c>
      <c r="B200" s="615">
        <v>5120</v>
      </c>
      <c r="C200" s="617"/>
      <c r="D200" s="617"/>
      <c r="E200" s="617"/>
      <c r="F200" s="617"/>
      <c r="G200" s="617"/>
      <c r="H200" s="466"/>
      <c r="I200" s="617"/>
      <c r="J200" s="617"/>
      <c r="K200" s="1691">
        <f>SUM(H200)</f>
        <v>0</v>
      </c>
      <c r="L200" s="466"/>
    </row>
    <row r="201" spans="1:14" ht="12.75" customHeight="1" x14ac:dyDescent="0.2">
      <c r="A201" s="1526" t="s">
        <v>1232</v>
      </c>
      <c r="B201" s="629" t="s">
        <v>638</v>
      </c>
      <c r="C201" s="617"/>
      <c r="D201" s="617"/>
      <c r="E201" s="617"/>
      <c r="F201" s="617"/>
      <c r="G201" s="617"/>
      <c r="H201" s="466"/>
      <c r="I201" s="617"/>
      <c r="J201" s="617"/>
      <c r="K201" s="1691">
        <f>SUM(H201)</f>
        <v>0</v>
      </c>
      <c r="L201" s="466"/>
    </row>
    <row r="202" spans="1:14" x14ac:dyDescent="0.2">
      <c r="A202" s="1526" t="s">
        <v>91</v>
      </c>
      <c r="B202" s="615" t="s">
        <v>610</v>
      </c>
      <c r="C202" s="617"/>
      <c r="D202" s="617"/>
      <c r="E202" s="617"/>
      <c r="F202" s="617"/>
      <c r="G202" s="617"/>
      <c r="H202" s="466"/>
      <c r="I202" s="617"/>
      <c r="J202" s="617"/>
      <c r="K202" s="1691">
        <f>SUM(H202)</f>
        <v>0</v>
      </c>
      <c r="L202" s="466"/>
    </row>
    <row r="203" spans="1:14" x14ac:dyDescent="0.2">
      <c r="A203" s="1538" t="s">
        <v>640</v>
      </c>
      <c r="B203" s="615" t="s">
        <v>639</v>
      </c>
      <c r="C203" s="617"/>
      <c r="D203" s="617"/>
      <c r="E203" s="617"/>
      <c r="F203" s="617"/>
      <c r="G203" s="617"/>
      <c r="H203" s="471"/>
      <c r="I203" s="617"/>
      <c r="J203" s="617"/>
      <c r="K203" s="1691">
        <f>SUM(H203)</f>
        <v>0</v>
      </c>
      <c r="L203" s="471"/>
    </row>
    <row r="204" spans="1:14" ht="13.5" thickBot="1" x14ac:dyDescent="0.25">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x14ac:dyDescent="0.2">
      <c r="A205" s="680" t="s">
        <v>85</v>
      </c>
      <c r="B205" s="681" t="s">
        <v>38</v>
      </c>
      <c r="C205" s="617"/>
      <c r="D205" s="617"/>
      <c r="E205" s="617"/>
      <c r="F205" s="617"/>
      <c r="G205" s="617"/>
      <c r="H205" s="535">
        <v>2140</v>
      </c>
      <c r="I205" s="617"/>
      <c r="J205" s="617"/>
      <c r="K205" s="1705">
        <f>SUM(H205)</f>
        <v>2140</v>
      </c>
      <c r="L205" s="535"/>
    </row>
    <row r="206" spans="1:14" ht="30" customHeight="1" x14ac:dyDescent="0.2">
      <c r="A206" s="682" t="s">
        <v>1770</v>
      </c>
      <c r="B206" s="673" t="s">
        <v>31</v>
      </c>
      <c r="C206" s="617"/>
      <c r="D206" s="617"/>
      <c r="E206" s="617"/>
      <c r="F206" s="617"/>
      <c r="G206" s="617"/>
      <c r="H206" s="466">
        <v>60162</v>
      </c>
      <c r="I206" s="617"/>
      <c r="J206" s="617"/>
      <c r="K206" s="1691">
        <f>SUM(H206)</f>
        <v>60162</v>
      </c>
      <c r="L206" s="466"/>
    </row>
    <row r="207" spans="1:14" ht="15.75" customHeight="1" x14ac:dyDescent="0.2">
      <c r="A207" s="622" t="s">
        <v>790</v>
      </c>
      <c r="B207" s="673" t="s">
        <v>86</v>
      </c>
      <c r="C207" s="617"/>
      <c r="D207" s="617"/>
      <c r="E207" s="617"/>
      <c r="F207" s="617"/>
      <c r="G207" s="617"/>
      <c r="H207" s="467"/>
      <c r="I207" s="617"/>
      <c r="J207" s="617"/>
      <c r="K207" s="1691">
        <f>H207</f>
        <v>0</v>
      </c>
      <c r="L207" s="466"/>
    </row>
    <row r="208" spans="1:14" ht="12.75" customHeight="1" thickBot="1" x14ac:dyDescent="0.25">
      <c r="A208" s="1706" t="s">
        <v>659</v>
      </c>
      <c r="B208" s="1707" t="s">
        <v>513</v>
      </c>
      <c r="C208" s="617"/>
      <c r="D208" s="617"/>
      <c r="E208" s="617"/>
      <c r="F208" s="617"/>
      <c r="G208" s="617"/>
      <c r="H208" s="1697">
        <f>SUM(H204,H205,H206,H207)</f>
        <v>62302</v>
      </c>
      <c r="I208" s="617"/>
      <c r="J208" s="617"/>
      <c r="K208" s="1697">
        <f>SUM(K204,K205,K206,K207)</f>
        <v>62302</v>
      </c>
      <c r="L208" s="1697">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2" t="s">
        <v>295</v>
      </c>
      <c r="B210" s="1713"/>
      <c r="C210" s="1690">
        <f>SUM(C184,C185)</f>
        <v>445921</v>
      </c>
      <c r="D210" s="1690">
        <f>SUM(D184,D185)</f>
        <v>61303</v>
      </c>
      <c r="E210" s="1690">
        <f>SUM(E184,E185,E196)</f>
        <v>32539</v>
      </c>
      <c r="F210" s="1690">
        <f>SUM(F184,F185)</f>
        <v>139866</v>
      </c>
      <c r="G210" s="1690">
        <f>SUM(G184,G185)</f>
        <v>138900</v>
      </c>
      <c r="H210" s="1690">
        <f>SUM(H184,H185,H196,H208,H209)</f>
        <v>62913</v>
      </c>
      <c r="I210" s="1690">
        <f>SUM(I184,I185)</f>
        <v>0</v>
      </c>
      <c r="J210" s="1690">
        <f>SUM(J184,J185)</f>
        <v>900</v>
      </c>
      <c r="K210" s="1691">
        <f>SUM(K184,K185,K196,K208,K209)</f>
        <v>882342</v>
      </c>
      <c r="L210" s="1690">
        <f>SUM(L184,L185,L196,L208,L209)</f>
        <v>923893</v>
      </c>
    </row>
    <row r="211" spans="1:14" ht="13.5" thickTop="1" x14ac:dyDescent="0.2">
      <c r="A211" s="2170" t="s">
        <v>1053</v>
      </c>
      <c r="B211" s="2171"/>
      <c r="C211" s="619"/>
      <c r="D211" s="619"/>
      <c r="E211" s="619"/>
      <c r="F211" s="619"/>
      <c r="G211" s="619"/>
      <c r="H211" s="619"/>
      <c r="I211" s="617"/>
      <c r="J211" s="617"/>
      <c r="K211" s="1704">
        <f>'Revenues 9-14'!F275-'Expenditures 15-22'!K210</f>
        <v>211736</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70809</v>
      </c>
      <c r="E215" s="617"/>
      <c r="F215" s="617"/>
      <c r="G215" s="617"/>
      <c r="H215" s="617"/>
      <c r="I215" s="617"/>
      <c r="J215" s="617"/>
      <c r="K215" s="1691">
        <f>D215</f>
        <v>70809</v>
      </c>
      <c r="L215" s="466">
        <v>65252</v>
      </c>
    </row>
    <row r="216" spans="1:14" x14ac:dyDescent="0.2">
      <c r="A216" s="1526" t="s">
        <v>165</v>
      </c>
      <c r="B216" s="615" t="s">
        <v>1024</v>
      </c>
      <c r="C216" s="617"/>
      <c r="D216" s="467">
        <v>644</v>
      </c>
      <c r="E216" s="617"/>
      <c r="F216" s="617"/>
      <c r="G216" s="617"/>
      <c r="H216" s="617"/>
      <c r="I216" s="617"/>
      <c r="J216" s="617"/>
      <c r="K216" s="1691">
        <f t="shared" ref="K216:K228" si="19">D216</f>
        <v>644</v>
      </c>
      <c r="L216" s="466">
        <v>825</v>
      </c>
    </row>
    <row r="217" spans="1:14" x14ac:dyDescent="0.2">
      <c r="A217" s="1526" t="s">
        <v>166</v>
      </c>
      <c r="B217" s="615">
        <v>1200</v>
      </c>
      <c r="C217" s="617"/>
      <c r="D217" s="466">
        <v>55342</v>
      </c>
      <c r="E217" s="617"/>
      <c r="F217" s="617"/>
      <c r="G217" s="617"/>
      <c r="H217" s="617"/>
      <c r="I217" s="617"/>
      <c r="J217" s="617"/>
      <c r="K217" s="1691">
        <f t="shared" si="19"/>
        <v>55342</v>
      </c>
      <c r="L217" s="466">
        <v>58952</v>
      </c>
    </row>
    <row r="218" spans="1:14" x14ac:dyDescent="0.2">
      <c r="A218" s="1526" t="s">
        <v>296</v>
      </c>
      <c r="B218" s="615" t="s">
        <v>1025</v>
      </c>
      <c r="C218" s="617"/>
      <c r="D218" s="467"/>
      <c r="E218" s="617"/>
      <c r="F218" s="617"/>
      <c r="G218" s="617"/>
      <c r="H218" s="617"/>
      <c r="I218" s="617"/>
      <c r="J218" s="617"/>
      <c r="K218" s="1691">
        <f t="shared" si="19"/>
        <v>0</v>
      </c>
      <c r="L218" s="466"/>
    </row>
    <row r="219" spans="1:14" x14ac:dyDescent="0.2">
      <c r="A219" s="1526" t="s">
        <v>297</v>
      </c>
      <c r="B219" s="615">
        <v>1250</v>
      </c>
      <c r="C219" s="617"/>
      <c r="D219" s="466">
        <v>5286</v>
      </c>
      <c r="E219" s="617"/>
      <c r="F219" s="617"/>
      <c r="G219" s="617"/>
      <c r="H219" s="617"/>
      <c r="I219" s="617"/>
      <c r="J219" s="617"/>
      <c r="K219" s="1691">
        <f t="shared" si="19"/>
        <v>5286</v>
      </c>
      <c r="L219" s="466">
        <v>5850</v>
      </c>
    </row>
    <row r="220" spans="1:14" x14ac:dyDescent="0.2">
      <c r="A220" s="1526" t="s">
        <v>298</v>
      </c>
      <c r="B220" s="615" t="s">
        <v>163</v>
      </c>
      <c r="C220" s="617"/>
      <c r="D220" s="467"/>
      <c r="E220" s="617"/>
      <c r="F220" s="617"/>
      <c r="G220" s="617"/>
      <c r="H220" s="617"/>
      <c r="I220" s="617"/>
      <c r="J220" s="617"/>
      <c r="K220" s="1691">
        <f t="shared" si="19"/>
        <v>0</v>
      </c>
      <c r="L220" s="466"/>
    </row>
    <row r="221" spans="1:14" x14ac:dyDescent="0.2">
      <c r="A221" s="1526" t="s">
        <v>1019</v>
      </c>
      <c r="B221" s="615">
        <v>1300</v>
      </c>
      <c r="C221" s="617"/>
      <c r="D221" s="466"/>
      <c r="E221" s="617"/>
      <c r="F221" s="617"/>
      <c r="G221" s="617"/>
      <c r="H221" s="617"/>
      <c r="I221" s="617"/>
      <c r="J221" s="617"/>
      <c r="K221" s="1691">
        <f t="shared" si="19"/>
        <v>0</v>
      </c>
      <c r="L221" s="466"/>
    </row>
    <row r="222" spans="1:14" x14ac:dyDescent="0.2">
      <c r="A222" s="1526" t="s">
        <v>747</v>
      </c>
      <c r="B222" s="615">
        <v>1400</v>
      </c>
      <c r="C222" s="617"/>
      <c r="D222" s="466">
        <v>4050</v>
      </c>
      <c r="E222" s="617"/>
      <c r="F222" s="617"/>
      <c r="G222" s="617"/>
      <c r="H222" s="617"/>
      <c r="I222" s="617"/>
      <c r="J222" s="617"/>
      <c r="K222" s="1691">
        <f t="shared" si="19"/>
        <v>4050</v>
      </c>
      <c r="L222" s="466">
        <v>3950</v>
      </c>
    </row>
    <row r="223" spans="1:14" x14ac:dyDescent="0.2">
      <c r="A223" s="1526" t="s">
        <v>1020</v>
      </c>
      <c r="B223" s="615">
        <v>1500</v>
      </c>
      <c r="C223" s="617"/>
      <c r="D223" s="466">
        <v>10422</v>
      </c>
      <c r="E223" s="617"/>
      <c r="F223" s="617"/>
      <c r="G223" s="617"/>
      <c r="H223" s="617"/>
      <c r="I223" s="617"/>
      <c r="J223" s="617"/>
      <c r="K223" s="1691">
        <f t="shared" si="19"/>
        <v>10422</v>
      </c>
      <c r="L223" s="466">
        <v>12636</v>
      </c>
    </row>
    <row r="224" spans="1:14" x14ac:dyDescent="0.2">
      <c r="A224" s="1526" t="s">
        <v>1021</v>
      </c>
      <c r="B224" s="615">
        <v>1600</v>
      </c>
      <c r="C224" s="617"/>
      <c r="D224" s="466"/>
      <c r="E224" s="617"/>
      <c r="F224" s="617"/>
      <c r="G224" s="617"/>
      <c r="H224" s="617"/>
      <c r="I224" s="617"/>
      <c r="J224" s="617"/>
      <c r="K224" s="1691">
        <f t="shared" si="19"/>
        <v>0</v>
      </c>
      <c r="L224" s="466"/>
    </row>
    <row r="225" spans="1:12" x14ac:dyDescent="0.2">
      <c r="A225" s="1526" t="s">
        <v>1044</v>
      </c>
      <c r="B225" s="615">
        <v>1650</v>
      </c>
      <c r="C225" s="617"/>
      <c r="D225" s="466">
        <v>1085</v>
      </c>
      <c r="E225" s="617"/>
      <c r="F225" s="617"/>
      <c r="G225" s="617"/>
      <c r="H225" s="617"/>
      <c r="I225" s="617"/>
      <c r="J225" s="617"/>
      <c r="K225" s="1691">
        <f t="shared" si="19"/>
        <v>1085</v>
      </c>
      <c r="L225" s="466">
        <v>1500</v>
      </c>
    </row>
    <row r="226" spans="1:12" x14ac:dyDescent="0.2">
      <c r="A226" s="1526" t="s">
        <v>748</v>
      </c>
      <c r="B226" s="615" t="s">
        <v>164</v>
      </c>
      <c r="C226" s="617"/>
      <c r="D226" s="467">
        <v>117</v>
      </c>
      <c r="E226" s="617"/>
      <c r="F226" s="617"/>
      <c r="G226" s="617"/>
      <c r="H226" s="617"/>
      <c r="I226" s="617"/>
      <c r="J226" s="617"/>
      <c r="K226" s="1691">
        <f t="shared" si="19"/>
        <v>117</v>
      </c>
      <c r="L226" s="466">
        <v>150</v>
      </c>
    </row>
    <row r="227" spans="1:12" x14ac:dyDescent="0.2">
      <c r="A227" s="1526" t="s">
        <v>1148</v>
      </c>
      <c r="B227" s="615">
        <v>1800</v>
      </c>
      <c r="C227" s="617"/>
      <c r="D227" s="466"/>
      <c r="E227" s="617"/>
      <c r="F227" s="617"/>
      <c r="G227" s="617"/>
      <c r="H227" s="617"/>
      <c r="I227" s="617"/>
      <c r="J227" s="617"/>
      <c r="K227" s="1691">
        <f t="shared" si="19"/>
        <v>0</v>
      </c>
      <c r="L227" s="466"/>
    </row>
    <row r="228" spans="1:12" x14ac:dyDescent="0.2">
      <c r="A228" s="1526" t="s">
        <v>1149</v>
      </c>
      <c r="B228" s="615">
        <v>1900</v>
      </c>
      <c r="C228" s="617"/>
      <c r="D228" s="466"/>
      <c r="E228" s="617"/>
      <c r="F228" s="617"/>
      <c r="G228" s="617"/>
      <c r="H228" s="617"/>
      <c r="I228" s="617"/>
      <c r="J228" s="617"/>
      <c r="K228" s="1691">
        <f t="shared" si="19"/>
        <v>0</v>
      </c>
      <c r="L228" s="466"/>
    </row>
    <row r="229" spans="1:12" ht="12.75" customHeight="1" thickBot="1" x14ac:dyDescent="0.25">
      <c r="A229" s="1688" t="s">
        <v>739</v>
      </c>
      <c r="B229" s="1695" t="s">
        <v>591</v>
      </c>
      <c r="C229" s="617"/>
      <c r="D229" s="1690">
        <f>SUM(D215:D228)</f>
        <v>147755</v>
      </c>
      <c r="E229" s="617"/>
      <c r="F229" s="617"/>
      <c r="G229" s="617"/>
      <c r="H229" s="617"/>
      <c r="I229" s="617"/>
      <c r="J229" s="617"/>
      <c r="K229" s="1690">
        <f>SUM(K215:K228)</f>
        <v>147755</v>
      </c>
      <c r="L229" s="1690">
        <f>SUM(L215:L228)</f>
        <v>149115</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1">
        <f t="shared" ref="K232:K237" si="20">D232</f>
        <v>0</v>
      </c>
      <c r="L232" s="466"/>
    </row>
    <row r="233" spans="1:12" x14ac:dyDescent="0.2">
      <c r="A233" s="1526" t="s">
        <v>1151</v>
      </c>
      <c r="B233" s="615">
        <v>2120</v>
      </c>
      <c r="C233" s="617"/>
      <c r="D233" s="466">
        <v>2360</v>
      </c>
      <c r="E233" s="617"/>
      <c r="F233" s="617"/>
      <c r="G233" s="617"/>
      <c r="H233" s="617"/>
      <c r="I233" s="617"/>
      <c r="J233" s="617"/>
      <c r="K233" s="1691">
        <f t="shared" si="20"/>
        <v>2360</v>
      </c>
      <c r="L233" s="466">
        <v>2850</v>
      </c>
    </row>
    <row r="234" spans="1:12" x14ac:dyDescent="0.2">
      <c r="A234" s="1526" t="s">
        <v>207</v>
      </c>
      <c r="B234" s="615">
        <v>2130</v>
      </c>
      <c r="C234" s="617"/>
      <c r="D234" s="466">
        <v>5356</v>
      </c>
      <c r="E234" s="617"/>
      <c r="F234" s="617"/>
      <c r="G234" s="617"/>
      <c r="H234" s="617"/>
      <c r="I234" s="617"/>
      <c r="J234" s="617"/>
      <c r="K234" s="1691">
        <f t="shared" si="20"/>
        <v>5356</v>
      </c>
      <c r="L234" s="466">
        <v>5750</v>
      </c>
    </row>
    <row r="235" spans="1:12" x14ac:dyDescent="0.2">
      <c r="A235" s="1526" t="s">
        <v>208</v>
      </c>
      <c r="B235" s="615">
        <v>2140</v>
      </c>
      <c r="C235" s="617"/>
      <c r="D235" s="466"/>
      <c r="E235" s="617"/>
      <c r="F235" s="617"/>
      <c r="G235" s="617"/>
      <c r="H235" s="617"/>
      <c r="I235" s="617"/>
      <c r="J235" s="617"/>
      <c r="K235" s="1691">
        <f t="shared" si="20"/>
        <v>0</v>
      </c>
      <c r="L235" s="466"/>
    </row>
    <row r="236" spans="1:12" x14ac:dyDescent="0.2">
      <c r="A236" s="1526" t="s">
        <v>209</v>
      </c>
      <c r="B236" s="615">
        <v>2150</v>
      </c>
      <c r="C236" s="617"/>
      <c r="D236" s="466"/>
      <c r="E236" s="617"/>
      <c r="F236" s="617"/>
      <c r="G236" s="617"/>
      <c r="H236" s="617"/>
      <c r="I236" s="617"/>
      <c r="J236" s="617"/>
      <c r="K236" s="1691">
        <f t="shared" si="20"/>
        <v>0</v>
      </c>
      <c r="L236" s="466"/>
    </row>
    <row r="237" spans="1:12" x14ac:dyDescent="0.2">
      <c r="A237" s="1526" t="s">
        <v>167</v>
      </c>
      <c r="B237" s="615">
        <v>2190</v>
      </c>
      <c r="C237" s="617"/>
      <c r="D237" s="466"/>
      <c r="E237" s="617"/>
      <c r="F237" s="617"/>
      <c r="G237" s="617"/>
      <c r="H237" s="617"/>
      <c r="I237" s="617"/>
      <c r="J237" s="617"/>
      <c r="K237" s="1691">
        <f t="shared" si="20"/>
        <v>0</v>
      </c>
      <c r="L237" s="466"/>
    </row>
    <row r="238" spans="1:12" ht="12.75" customHeight="1" thickBot="1" x14ac:dyDescent="0.25">
      <c r="A238" s="1688" t="s">
        <v>581</v>
      </c>
      <c r="B238" s="1695" t="s">
        <v>740</v>
      </c>
      <c r="C238" s="617"/>
      <c r="D238" s="1690">
        <f>SUM(D232:D237)</f>
        <v>7716</v>
      </c>
      <c r="E238" s="617"/>
      <c r="F238" s="617"/>
      <c r="G238" s="617"/>
      <c r="H238" s="617"/>
      <c r="I238" s="617"/>
      <c r="J238" s="617"/>
      <c r="K238" s="1690">
        <f>SUM(K232:K237)</f>
        <v>7716</v>
      </c>
      <c r="L238" s="1690">
        <f>SUM(L232:L237)</f>
        <v>8600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2">
        <f>D240</f>
        <v>0</v>
      </c>
      <c r="L240" s="481"/>
    </row>
    <row r="241" spans="1:12" x14ac:dyDescent="0.2">
      <c r="A241" s="1526" t="s">
        <v>869</v>
      </c>
      <c r="B241" s="615">
        <v>2220</v>
      </c>
      <c r="C241" s="617"/>
      <c r="D241" s="466">
        <v>5088</v>
      </c>
      <c r="E241" s="617"/>
      <c r="F241" s="617"/>
      <c r="G241" s="617"/>
      <c r="H241" s="617"/>
      <c r="I241" s="617"/>
      <c r="J241" s="617"/>
      <c r="K241" s="1692">
        <f>D241</f>
        <v>5088</v>
      </c>
      <c r="L241" s="466">
        <v>5475</v>
      </c>
    </row>
    <row r="242" spans="1:12" x14ac:dyDescent="0.2">
      <c r="A242" s="1526" t="s">
        <v>870</v>
      </c>
      <c r="B242" s="615">
        <v>2230</v>
      </c>
      <c r="C242" s="617"/>
      <c r="D242" s="466"/>
      <c r="E242" s="617"/>
      <c r="F242" s="617"/>
      <c r="G242" s="617"/>
      <c r="H242" s="617"/>
      <c r="I242" s="617"/>
      <c r="J242" s="617"/>
      <c r="K242" s="1692">
        <f>D242</f>
        <v>0</v>
      </c>
      <c r="L242" s="466"/>
    </row>
    <row r="243" spans="1:12" ht="12.75" customHeight="1" thickBot="1" x14ac:dyDescent="0.25">
      <c r="A243" s="1714" t="s">
        <v>582</v>
      </c>
      <c r="B243" s="1715">
        <v>2200</v>
      </c>
      <c r="C243" s="617"/>
      <c r="D243" s="1690">
        <f>SUM(D240:D242)</f>
        <v>5088</v>
      </c>
      <c r="E243" s="617"/>
      <c r="F243" s="617"/>
      <c r="G243" s="617"/>
      <c r="H243" s="617"/>
      <c r="I243" s="617"/>
      <c r="J243" s="617"/>
      <c r="K243" s="1690">
        <f>SUM(K240:K242)</f>
        <v>5088</v>
      </c>
      <c r="L243" s="1690">
        <f>SUM(L240:L242)</f>
        <v>5475</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184</v>
      </c>
      <c r="E245" s="617"/>
      <c r="F245" s="617"/>
      <c r="G245" s="617"/>
      <c r="H245" s="617"/>
      <c r="I245" s="617"/>
      <c r="J245" s="617"/>
      <c r="K245" s="1692">
        <f>D245</f>
        <v>184</v>
      </c>
      <c r="L245" s="481">
        <v>300</v>
      </c>
    </row>
    <row r="246" spans="1:12" x14ac:dyDescent="0.2">
      <c r="A246" s="1526" t="s">
        <v>872</v>
      </c>
      <c r="B246" s="615">
        <v>2320</v>
      </c>
      <c r="C246" s="617"/>
      <c r="D246" s="466">
        <v>6660</v>
      </c>
      <c r="E246" s="617"/>
      <c r="F246" s="617"/>
      <c r="G246" s="617"/>
      <c r="H246" s="617"/>
      <c r="I246" s="617"/>
      <c r="J246" s="617"/>
      <c r="K246" s="1692">
        <f t="shared" ref="K246:K256" si="21">D246</f>
        <v>6660</v>
      </c>
      <c r="L246" s="466">
        <v>6650</v>
      </c>
    </row>
    <row r="247" spans="1:12" x14ac:dyDescent="0.2">
      <c r="A247" s="1526" t="s">
        <v>873</v>
      </c>
      <c r="B247" s="615">
        <v>2330</v>
      </c>
      <c r="C247" s="617"/>
      <c r="D247" s="466"/>
      <c r="E247" s="617"/>
      <c r="F247" s="617"/>
      <c r="G247" s="617"/>
      <c r="H247" s="617"/>
      <c r="I247" s="617"/>
      <c r="J247" s="617"/>
      <c r="K247" s="1692">
        <f t="shared" si="21"/>
        <v>0</v>
      </c>
      <c r="L247" s="466"/>
    </row>
    <row r="248" spans="1:12" x14ac:dyDescent="0.2">
      <c r="A248" s="1527" t="s">
        <v>317</v>
      </c>
      <c r="B248" s="603" t="s">
        <v>299</v>
      </c>
      <c r="C248" s="617"/>
      <c r="D248" s="474"/>
      <c r="E248" s="617"/>
      <c r="F248" s="617"/>
      <c r="G248" s="617"/>
      <c r="H248" s="617"/>
      <c r="I248" s="617"/>
      <c r="J248" s="617"/>
      <c r="K248" s="1692">
        <f t="shared" si="21"/>
        <v>0</v>
      </c>
      <c r="L248" s="466"/>
    </row>
    <row r="249" spans="1:12" x14ac:dyDescent="0.2">
      <c r="A249" s="1528" t="s">
        <v>1908</v>
      </c>
      <c r="B249" s="684" t="s">
        <v>300</v>
      </c>
      <c r="C249" s="617"/>
      <c r="D249" s="474"/>
      <c r="E249" s="617"/>
      <c r="F249" s="617"/>
      <c r="G249" s="617"/>
      <c r="H249" s="617"/>
      <c r="I249" s="617"/>
      <c r="J249" s="617"/>
      <c r="K249" s="1692">
        <f t="shared" si="21"/>
        <v>0</v>
      </c>
      <c r="L249" s="466"/>
    </row>
    <row r="250" spans="1:12" x14ac:dyDescent="0.2">
      <c r="A250" s="1527" t="s">
        <v>1909</v>
      </c>
      <c r="B250" s="603" t="s">
        <v>301</v>
      </c>
      <c r="C250" s="617"/>
      <c r="D250" s="474"/>
      <c r="E250" s="617"/>
      <c r="F250" s="617"/>
      <c r="G250" s="617"/>
      <c r="H250" s="617"/>
      <c r="I250" s="617"/>
      <c r="J250" s="617"/>
      <c r="K250" s="1692">
        <f t="shared" si="21"/>
        <v>0</v>
      </c>
      <c r="L250" s="466"/>
    </row>
    <row r="251" spans="1:12" x14ac:dyDescent="0.2">
      <c r="A251" s="1527" t="s">
        <v>256</v>
      </c>
      <c r="B251" s="603" t="s">
        <v>302</v>
      </c>
      <c r="C251" s="617"/>
      <c r="D251" s="474"/>
      <c r="E251" s="617"/>
      <c r="F251" s="617"/>
      <c r="G251" s="617"/>
      <c r="H251" s="617"/>
      <c r="I251" s="617"/>
      <c r="J251" s="617"/>
      <c r="K251" s="1692">
        <f t="shared" si="21"/>
        <v>0</v>
      </c>
      <c r="L251" s="466"/>
    </row>
    <row r="252" spans="1:12" x14ac:dyDescent="0.2">
      <c r="A252" s="1527" t="s">
        <v>726</v>
      </c>
      <c r="B252" s="603" t="s">
        <v>303</v>
      </c>
      <c r="C252" s="617"/>
      <c r="D252" s="474"/>
      <c r="E252" s="617"/>
      <c r="F252" s="617"/>
      <c r="G252" s="617"/>
      <c r="H252" s="617"/>
      <c r="I252" s="617"/>
      <c r="J252" s="617"/>
      <c r="K252" s="1692">
        <f t="shared" si="21"/>
        <v>0</v>
      </c>
      <c r="L252" s="466"/>
    </row>
    <row r="253" spans="1:12" x14ac:dyDescent="0.2">
      <c r="A253" s="1527" t="s">
        <v>257</v>
      </c>
      <c r="B253" s="603" t="s">
        <v>304</v>
      </c>
      <c r="C253" s="617"/>
      <c r="D253" s="474"/>
      <c r="E253" s="617"/>
      <c r="F253" s="617"/>
      <c r="G253" s="617"/>
      <c r="H253" s="617"/>
      <c r="I253" s="617"/>
      <c r="J253" s="617"/>
      <c r="K253" s="1692">
        <f t="shared" si="21"/>
        <v>0</v>
      </c>
      <c r="L253" s="466"/>
    </row>
    <row r="254" spans="1:12" ht="22.5" x14ac:dyDescent="0.2">
      <c r="A254" s="1527" t="s">
        <v>1087</v>
      </c>
      <c r="B254" s="684" t="s">
        <v>305</v>
      </c>
      <c r="C254" s="617"/>
      <c r="D254" s="474"/>
      <c r="E254" s="617"/>
      <c r="F254" s="617"/>
      <c r="G254" s="617"/>
      <c r="H254" s="617"/>
      <c r="I254" s="617"/>
      <c r="J254" s="617"/>
      <c r="K254" s="1692">
        <f t="shared" si="21"/>
        <v>0</v>
      </c>
      <c r="L254" s="466"/>
    </row>
    <row r="255" spans="1:12" x14ac:dyDescent="0.2">
      <c r="A255" s="1527" t="s">
        <v>1088</v>
      </c>
      <c r="B255" s="603" t="s">
        <v>306</v>
      </c>
      <c r="C255" s="617"/>
      <c r="D255" s="474"/>
      <c r="E255" s="617"/>
      <c r="F255" s="617"/>
      <c r="G255" s="617"/>
      <c r="H255" s="617"/>
      <c r="I255" s="617"/>
      <c r="J255" s="617"/>
      <c r="K255" s="1692">
        <f t="shared" si="21"/>
        <v>0</v>
      </c>
      <c r="L255" s="466"/>
    </row>
    <row r="256" spans="1:12" x14ac:dyDescent="0.2">
      <c r="A256" s="1527" t="s">
        <v>1028</v>
      </c>
      <c r="B256" s="615" t="s">
        <v>307</v>
      </c>
      <c r="C256" s="617"/>
      <c r="D256" s="474"/>
      <c r="E256" s="617"/>
      <c r="F256" s="617"/>
      <c r="G256" s="617"/>
      <c r="H256" s="617"/>
      <c r="I256" s="617"/>
      <c r="J256" s="617"/>
      <c r="K256" s="1692">
        <f t="shared" si="21"/>
        <v>0</v>
      </c>
      <c r="L256" s="466"/>
    </row>
    <row r="257" spans="1:14" ht="12.75" customHeight="1" thickBot="1" x14ac:dyDescent="0.25">
      <c r="A257" s="1688" t="s">
        <v>741</v>
      </c>
      <c r="B257" s="1716">
        <v>2300</v>
      </c>
      <c r="C257" s="617"/>
      <c r="D257" s="1690">
        <f>SUM(D245:D256)</f>
        <v>6844</v>
      </c>
      <c r="E257" s="617"/>
      <c r="F257" s="617"/>
      <c r="G257" s="617"/>
      <c r="H257" s="617"/>
      <c r="I257" s="617"/>
      <c r="J257" s="617"/>
      <c r="K257" s="1690">
        <f>SUM(K245:K256)</f>
        <v>6844</v>
      </c>
      <c r="L257" s="1690">
        <f>SUM(L245:L256)</f>
        <v>6950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28856</v>
      </c>
      <c r="E259" s="617"/>
      <c r="F259" s="617"/>
      <c r="G259" s="617"/>
      <c r="H259" s="617"/>
      <c r="I259" s="617"/>
      <c r="J259" s="617"/>
      <c r="K259" s="1692">
        <f>D259</f>
        <v>28856</v>
      </c>
      <c r="L259" s="481">
        <v>30300</v>
      </c>
    </row>
    <row r="260" spans="1:14" s="598" customFormat="1" x14ac:dyDescent="0.2">
      <c r="A260" s="1544" t="s">
        <v>1907</v>
      </c>
      <c r="B260" s="629">
        <v>2490</v>
      </c>
      <c r="C260" s="617"/>
      <c r="D260" s="466"/>
      <c r="E260" s="617"/>
      <c r="F260" s="617"/>
      <c r="G260" s="617"/>
      <c r="H260" s="617"/>
      <c r="I260" s="617"/>
      <c r="J260" s="617"/>
      <c r="K260" s="1692">
        <f>D260</f>
        <v>0</v>
      </c>
      <c r="L260" s="466"/>
      <c r="M260" s="210"/>
      <c r="N260" s="210"/>
    </row>
    <row r="261" spans="1:14" ht="12.75" customHeight="1" thickBot="1" x14ac:dyDescent="0.25">
      <c r="A261" s="1712" t="s">
        <v>281</v>
      </c>
      <c r="B261" s="1717" t="s">
        <v>34</v>
      </c>
      <c r="C261" s="617"/>
      <c r="D261" s="1690">
        <f>SUM(D259:D260)</f>
        <v>28856</v>
      </c>
      <c r="E261" s="617"/>
      <c r="F261" s="617"/>
      <c r="G261" s="617"/>
      <c r="H261" s="617"/>
      <c r="I261" s="617"/>
      <c r="J261" s="617"/>
      <c r="K261" s="1690">
        <f>SUM(K259:K260)</f>
        <v>28856</v>
      </c>
      <c r="L261" s="1690">
        <f>SUM(L259:L260)</f>
        <v>30300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v>762</v>
      </c>
      <c r="E263" s="617"/>
      <c r="F263" s="617"/>
      <c r="G263" s="617"/>
      <c r="H263" s="617"/>
      <c r="I263" s="617"/>
      <c r="J263" s="617"/>
      <c r="K263" s="1692">
        <f>D263</f>
        <v>762</v>
      </c>
      <c r="L263" s="481">
        <v>850</v>
      </c>
    </row>
    <row r="264" spans="1:14" x14ac:dyDescent="0.2">
      <c r="A264" s="1526" t="s">
        <v>483</v>
      </c>
      <c r="B264" s="686">
        <v>2520</v>
      </c>
      <c r="C264" s="617"/>
      <c r="D264" s="466">
        <v>15480</v>
      </c>
      <c r="E264" s="617"/>
      <c r="F264" s="617"/>
      <c r="G264" s="617"/>
      <c r="H264" s="617"/>
      <c r="I264" s="617"/>
      <c r="J264" s="617"/>
      <c r="K264" s="1692">
        <f t="shared" ref="K264:K269" si="22">D264</f>
        <v>15480</v>
      </c>
      <c r="L264" s="466">
        <v>16250</v>
      </c>
    </row>
    <row r="265" spans="1:14" x14ac:dyDescent="0.2">
      <c r="A265" s="1526" t="s">
        <v>4</v>
      </c>
      <c r="B265" s="615">
        <v>2530</v>
      </c>
      <c r="C265" s="617"/>
      <c r="D265" s="466"/>
      <c r="E265" s="617"/>
      <c r="F265" s="617"/>
      <c r="G265" s="617"/>
      <c r="H265" s="617"/>
      <c r="I265" s="617"/>
      <c r="J265" s="617"/>
      <c r="K265" s="1692">
        <f t="shared" si="22"/>
        <v>0</v>
      </c>
      <c r="L265" s="466"/>
    </row>
    <row r="266" spans="1:14" x14ac:dyDescent="0.2">
      <c r="A266" s="1526" t="s">
        <v>206</v>
      </c>
      <c r="B266" s="615">
        <v>2540</v>
      </c>
      <c r="C266" s="617"/>
      <c r="D266" s="466">
        <v>67705</v>
      </c>
      <c r="E266" s="617"/>
      <c r="F266" s="617"/>
      <c r="G266" s="617"/>
      <c r="H266" s="617"/>
      <c r="I266" s="617"/>
      <c r="J266" s="617"/>
      <c r="K266" s="1692">
        <f t="shared" si="22"/>
        <v>67705</v>
      </c>
      <c r="L266" s="466">
        <v>74525</v>
      </c>
    </row>
    <row r="267" spans="1:14" x14ac:dyDescent="0.2">
      <c r="A267" s="1526" t="s">
        <v>1010</v>
      </c>
      <c r="B267" s="615">
        <v>2550</v>
      </c>
      <c r="C267" s="617"/>
      <c r="D267" s="466">
        <v>74020</v>
      </c>
      <c r="E267" s="617"/>
      <c r="F267" s="617"/>
      <c r="G267" s="617"/>
      <c r="H267" s="617"/>
      <c r="I267" s="617"/>
      <c r="J267" s="617"/>
      <c r="K267" s="1692">
        <f t="shared" si="22"/>
        <v>74020</v>
      </c>
      <c r="L267" s="466">
        <v>83000</v>
      </c>
    </row>
    <row r="268" spans="1:14" x14ac:dyDescent="0.2">
      <c r="A268" s="1526" t="s">
        <v>102</v>
      </c>
      <c r="B268" s="615">
        <v>2560</v>
      </c>
      <c r="C268" s="617"/>
      <c r="D268" s="466">
        <v>35639</v>
      </c>
      <c r="E268" s="617"/>
      <c r="F268" s="617"/>
      <c r="G268" s="617"/>
      <c r="H268" s="617"/>
      <c r="I268" s="617"/>
      <c r="J268" s="617"/>
      <c r="K268" s="1692">
        <f t="shared" si="22"/>
        <v>35639</v>
      </c>
      <c r="L268" s="466">
        <v>38430</v>
      </c>
    </row>
    <row r="269" spans="1:14" x14ac:dyDescent="0.2">
      <c r="A269" s="1526" t="s">
        <v>103</v>
      </c>
      <c r="B269" s="615">
        <v>2570</v>
      </c>
      <c r="C269" s="617"/>
      <c r="D269" s="466"/>
      <c r="E269" s="617"/>
      <c r="F269" s="617"/>
      <c r="G269" s="617"/>
      <c r="H269" s="617"/>
      <c r="I269" s="617"/>
      <c r="J269" s="617"/>
      <c r="K269" s="1692">
        <f t="shared" si="22"/>
        <v>0</v>
      </c>
      <c r="L269" s="466"/>
    </row>
    <row r="270" spans="1:14" ht="12.75" customHeight="1" thickBot="1" x14ac:dyDescent="0.25">
      <c r="A270" s="1688" t="s">
        <v>743</v>
      </c>
      <c r="B270" s="1695" t="s">
        <v>35</v>
      </c>
      <c r="C270" s="617"/>
      <c r="D270" s="1690">
        <f>SUM(D263:D269)</f>
        <v>193606</v>
      </c>
      <c r="E270" s="617"/>
      <c r="F270" s="617"/>
      <c r="G270" s="617"/>
      <c r="H270" s="617"/>
      <c r="I270" s="617"/>
      <c r="J270" s="617"/>
      <c r="K270" s="1690">
        <f>SUM(K263:K269)</f>
        <v>193606</v>
      </c>
      <c r="L270" s="1690">
        <f>SUM(L263:L269)</f>
        <v>213055</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2">
        <f>D272</f>
        <v>0</v>
      </c>
      <c r="L272" s="481"/>
    </row>
    <row r="273" spans="1:12" x14ac:dyDescent="0.2">
      <c r="A273" s="1526" t="s">
        <v>628</v>
      </c>
      <c r="B273" s="629">
        <v>2620</v>
      </c>
      <c r="C273" s="617"/>
      <c r="D273" s="466"/>
      <c r="E273" s="617"/>
      <c r="F273" s="617"/>
      <c r="G273" s="617"/>
      <c r="H273" s="617"/>
      <c r="I273" s="617"/>
      <c r="J273" s="617"/>
      <c r="K273" s="1692">
        <f>D273</f>
        <v>0</v>
      </c>
      <c r="L273" s="466"/>
    </row>
    <row r="274" spans="1:12" ht="12" customHeight="1" x14ac:dyDescent="0.2">
      <c r="A274" s="1526" t="s">
        <v>1121</v>
      </c>
      <c r="B274" s="615">
        <v>2630</v>
      </c>
      <c r="C274" s="617"/>
      <c r="D274" s="466"/>
      <c r="E274" s="617"/>
      <c r="F274" s="617"/>
      <c r="G274" s="617"/>
      <c r="H274" s="617"/>
      <c r="I274" s="617"/>
      <c r="J274" s="617"/>
      <c r="K274" s="1692">
        <f>D274</f>
        <v>0</v>
      </c>
      <c r="L274" s="466"/>
    </row>
    <row r="275" spans="1:12" x14ac:dyDescent="0.2">
      <c r="A275" s="1526" t="s">
        <v>423</v>
      </c>
      <c r="B275" s="615">
        <v>2640</v>
      </c>
      <c r="C275" s="617"/>
      <c r="D275" s="466"/>
      <c r="E275" s="617"/>
      <c r="F275" s="617"/>
      <c r="G275" s="617"/>
      <c r="H275" s="617"/>
      <c r="I275" s="617"/>
      <c r="J275" s="617"/>
      <c r="K275" s="1692">
        <f>D275</f>
        <v>0</v>
      </c>
      <c r="L275" s="466"/>
    </row>
    <row r="276" spans="1:12" x14ac:dyDescent="0.2">
      <c r="A276" s="1526" t="s">
        <v>424</v>
      </c>
      <c r="B276" s="615">
        <v>2660</v>
      </c>
      <c r="C276" s="617"/>
      <c r="D276" s="466">
        <v>16022</v>
      </c>
      <c r="E276" s="617"/>
      <c r="F276" s="617"/>
      <c r="G276" s="617"/>
      <c r="H276" s="617"/>
      <c r="I276" s="617"/>
      <c r="J276" s="617"/>
      <c r="K276" s="1692">
        <f>D276</f>
        <v>16022</v>
      </c>
      <c r="L276" s="466">
        <v>16750</v>
      </c>
    </row>
    <row r="277" spans="1:12" ht="12.75" customHeight="1" thickBot="1" x14ac:dyDescent="0.25">
      <c r="A277" s="1711" t="s">
        <v>37</v>
      </c>
      <c r="B277" s="1689" t="s">
        <v>36</v>
      </c>
      <c r="C277" s="617"/>
      <c r="D277" s="1690">
        <f>SUM(D272:D276)</f>
        <v>16022</v>
      </c>
      <c r="E277" s="617"/>
      <c r="F277" s="617"/>
      <c r="G277" s="617"/>
      <c r="H277" s="617"/>
      <c r="I277" s="617"/>
      <c r="J277" s="617"/>
      <c r="K277" s="1690">
        <f>SUM(K272:K276)</f>
        <v>16022</v>
      </c>
      <c r="L277" s="1690">
        <f>SUM(L272:L276)</f>
        <v>16750</v>
      </c>
    </row>
    <row r="278" spans="1:12" ht="13.5" customHeight="1" thickTop="1" x14ac:dyDescent="0.2">
      <c r="A278" s="1532" t="s">
        <v>1037</v>
      </c>
      <c r="B278" s="656" t="s">
        <v>595</v>
      </c>
      <c r="C278" s="617"/>
      <c r="D278" s="657"/>
      <c r="E278" s="617"/>
      <c r="F278" s="617"/>
      <c r="G278" s="617"/>
      <c r="H278" s="617"/>
      <c r="I278" s="617"/>
      <c r="J278" s="617"/>
      <c r="K278" s="1705">
        <f>D278</f>
        <v>0</v>
      </c>
      <c r="L278" s="657"/>
    </row>
    <row r="279" spans="1:12" ht="12.75" customHeight="1" thickBot="1" x14ac:dyDescent="0.25">
      <c r="A279" s="1718" t="s">
        <v>865</v>
      </c>
      <c r="B279" s="1701">
        <v>2000</v>
      </c>
      <c r="C279" s="617"/>
      <c r="D279" s="1697">
        <f>SUM(D238,D243,D257,D261,D270,D277,D278)</f>
        <v>258132</v>
      </c>
      <c r="E279" s="617"/>
      <c r="F279" s="617"/>
      <c r="G279" s="617"/>
      <c r="H279" s="617"/>
      <c r="I279" s="617"/>
      <c r="J279" s="617"/>
      <c r="K279" s="1697">
        <f>SUM(K238,K243,K257,K261,K270,K277,K278)</f>
        <v>258132</v>
      </c>
      <c r="L279" s="1697">
        <f>SUM(L238,L243,L257,L261,L270,L277,L278)</f>
        <v>281130</v>
      </c>
    </row>
    <row r="280" spans="1:12" ht="15.75" customHeight="1" thickTop="1" thickBot="1" x14ac:dyDescent="0.25">
      <c r="A280" s="1646" t="s">
        <v>930</v>
      </c>
      <c r="B280" s="1635">
        <v>3000</v>
      </c>
      <c r="C280" s="617"/>
      <c r="D280" s="576">
        <v>19468</v>
      </c>
      <c r="E280" s="617"/>
      <c r="F280" s="617"/>
      <c r="G280" s="617"/>
      <c r="H280" s="617"/>
      <c r="I280" s="617"/>
      <c r="J280" s="617"/>
      <c r="K280" s="1699">
        <f>D280</f>
        <v>19468</v>
      </c>
      <c r="L280" s="576">
        <v>20100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1" t="s">
        <v>517</v>
      </c>
      <c r="B282" s="691" t="s">
        <v>1957</v>
      </c>
      <c r="C282" s="617"/>
      <c r="D282" s="467"/>
      <c r="E282" s="617"/>
      <c r="F282" s="617"/>
      <c r="G282" s="617"/>
      <c r="H282" s="617"/>
      <c r="I282" s="617"/>
      <c r="J282" s="617"/>
      <c r="K282" s="1691">
        <f>D282</f>
        <v>0</v>
      </c>
      <c r="L282" s="467"/>
    </row>
    <row r="283" spans="1:12" x14ac:dyDescent="0.2">
      <c r="A283" s="1526" t="s">
        <v>322</v>
      </c>
      <c r="B283" s="615">
        <v>4120</v>
      </c>
      <c r="C283" s="617"/>
      <c r="D283" s="466"/>
      <c r="E283" s="617"/>
      <c r="F283" s="617"/>
      <c r="G283" s="617"/>
      <c r="H283" s="617"/>
      <c r="I283" s="617"/>
      <c r="J283" s="617"/>
      <c r="K283" s="1691">
        <f>D283</f>
        <v>0</v>
      </c>
      <c r="L283" s="466"/>
    </row>
    <row r="284" spans="1:12" x14ac:dyDescent="0.2">
      <c r="A284" s="1526" t="s">
        <v>721</v>
      </c>
      <c r="B284" s="615">
        <v>4140</v>
      </c>
      <c r="C284" s="617"/>
      <c r="D284" s="467"/>
      <c r="E284" s="617"/>
      <c r="F284" s="617"/>
      <c r="G284" s="617"/>
      <c r="H284" s="617"/>
      <c r="I284" s="617"/>
      <c r="J284" s="617"/>
      <c r="K284" s="1691">
        <f>D284</f>
        <v>0</v>
      </c>
      <c r="L284" s="466"/>
    </row>
    <row r="285" spans="1:12" ht="12.75" customHeight="1" thickBot="1" x14ac:dyDescent="0.25">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1">
        <f>H288</f>
        <v>0</v>
      </c>
      <c r="L288" s="466"/>
    </row>
    <row r="289" spans="1:14" x14ac:dyDescent="0.2">
      <c r="A289" s="1526" t="s">
        <v>90</v>
      </c>
      <c r="B289" s="615">
        <v>5120</v>
      </c>
      <c r="C289" s="617"/>
      <c r="D289" s="617"/>
      <c r="E289" s="617"/>
      <c r="F289" s="617"/>
      <c r="G289" s="617"/>
      <c r="H289" s="466"/>
      <c r="I289" s="617"/>
      <c r="J289" s="617"/>
      <c r="K289" s="1691">
        <f>H289</f>
        <v>0</v>
      </c>
      <c r="L289" s="466"/>
    </row>
    <row r="290" spans="1:14" ht="12.75" customHeight="1" x14ac:dyDescent="0.2">
      <c r="A290" s="1526" t="s">
        <v>1232</v>
      </c>
      <c r="B290" s="629" t="s">
        <v>638</v>
      </c>
      <c r="C290" s="617"/>
      <c r="D290" s="617"/>
      <c r="E290" s="617"/>
      <c r="F290" s="617"/>
      <c r="G290" s="617"/>
      <c r="H290" s="466"/>
      <c r="I290" s="617"/>
      <c r="J290" s="617"/>
      <c r="K290" s="1691">
        <f>H290</f>
        <v>0</v>
      </c>
      <c r="L290" s="466"/>
    </row>
    <row r="291" spans="1:14" x14ac:dyDescent="0.2">
      <c r="A291" s="1526" t="s">
        <v>91</v>
      </c>
      <c r="B291" s="615" t="s">
        <v>610</v>
      </c>
      <c r="C291" s="617"/>
      <c r="D291" s="617"/>
      <c r="E291" s="617"/>
      <c r="F291" s="617"/>
      <c r="G291" s="617"/>
      <c r="H291" s="466"/>
      <c r="I291" s="617"/>
      <c r="J291" s="617"/>
      <c r="K291" s="1691">
        <f>H291</f>
        <v>0</v>
      </c>
      <c r="L291" s="466"/>
    </row>
    <row r="292" spans="1:14" x14ac:dyDescent="0.2">
      <c r="A292" s="1526" t="s">
        <v>786</v>
      </c>
      <c r="B292" s="615" t="s">
        <v>639</v>
      </c>
      <c r="C292" s="617"/>
      <c r="D292" s="617"/>
      <c r="E292" s="617"/>
      <c r="F292" s="617"/>
      <c r="G292" s="617"/>
      <c r="H292" s="466"/>
      <c r="I292" s="617"/>
      <c r="J292" s="617"/>
      <c r="K292" s="1691">
        <f>H292</f>
        <v>0</v>
      </c>
      <c r="L292" s="466"/>
    </row>
    <row r="293" spans="1:14" ht="12.75" customHeight="1" thickBot="1" x14ac:dyDescent="0.25">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90">
        <f>SUM(D229,D279,D280,D285)</f>
        <v>425355</v>
      </c>
      <c r="E295" s="617"/>
      <c r="F295" s="617"/>
      <c r="G295" s="617"/>
      <c r="H295" s="1690">
        <f>H293</f>
        <v>0</v>
      </c>
      <c r="I295" s="617"/>
      <c r="J295" s="617"/>
      <c r="K295" s="1690">
        <f>SUM(K229,K279,K280,K285,K293,K294)</f>
        <v>425355</v>
      </c>
      <c r="L295" s="1690">
        <f>SUM(L229,L279,L280,L285,L293,L294)</f>
        <v>450345</v>
      </c>
    </row>
    <row r="296" spans="1:14" ht="13.5" thickTop="1" x14ac:dyDescent="0.2">
      <c r="A296" s="2170" t="s">
        <v>1053</v>
      </c>
      <c r="B296" s="2171"/>
      <c r="C296" s="617"/>
      <c r="D296" s="619"/>
      <c r="E296" s="617"/>
      <c r="F296" s="617"/>
      <c r="G296" s="617"/>
      <c r="H296" s="688"/>
      <c r="I296" s="617"/>
      <c r="J296" s="617"/>
      <c r="K296" s="1704">
        <f>'Revenues 9-14'!G275-'Expenditures 15-22'!K295</f>
        <v>-93160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v>274581</v>
      </c>
      <c r="H301" s="466"/>
      <c r="I301" s="467"/>
      <c r="J301" s="467"/>
      <c r="K301" s="1691">
        <f>SUM(C301:J301)</f>
        <v>274581</v>
      </c>
      <c r="L301" s="467">
        <v>274581</v>
      </c>
    </row>
    <row r="302" spans="1:14" ht="13.5" customHeight="1" x14ac:dyDescent="0.2">
      <c r="A302" s="1539" t="s">
        <v>1037</v>
      </c>
      <c r="B302" s="615" t="s">
        <v>595</v>
      </c>
      <c r="C302" s="466"/>
      <c r="D302" s="466"/>
      <c r="E302" s="466"/>
      <c r="F302" s="466"/>
      <c r="G302" s="466"/>
      <c r="H302" s="466"/>
      <c r="I302" s="467"/>
      <c r="J302" s="467"/>
      <c r="K302" s="1691">
        <f>SUM(C302:J302)</f>
        <v>0</v>
      </c>
      <c r="L302" s="466"/>
    </row>
    <row r="303" spans="1:14" ht="12.75" customHeight="1" thickBot="1" x14ac:dyDescent="0.25">
      <c r="A303" s="1688" t="s">
        <v>865</v>
      </c>
      <c r="B303" s="1689" t="s">
        <v>590</v>
      </c>
      <c r="C303" s="1697">
        <f>SUM(C301:C302)</f>
        <v>0</v>
      </c>
      <c r="D303" s="1697">
        <f t="shared" ref="D303:L303" si="23">SUM(D301:D302)</f>
        <v>0</v>
      </c>
      <c r="E303" s="1697">
        <f t="shared" si="23"/>
        <v>0</v>
      </c>
      <c r="F303" s="1697">
        <f t="shared" si="23"/>
        <v>0</v>
      </c>
      <c r="G303" s="1697">
        <f t="shared" si="23"/>
        <v>274581</v>
      </c>
      <c r="H303" s="1697">
        <f t="shared" si="23"/>
        <v>0</v>
      </c>
      <c r="I303" s="1697">
        <f t="shared" si="23"/>
        <v>0</v>
      </c>
      <c r="J303" s="1697">
        <f t="shared" si="23"/>
        <v>0</v>
      </c>
      <c r="K303" s="1697">
        <f t="shared" si="23"/>
        <v>274581</v>
      </c>
      <c r="L303" s="1697">
        <f t="shared" si="23"/>
        <v>274581</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1">
        <f>SUM(E306,H306)</f>
        <v>0</v>
      </c>
      <c r="L306" s="467"/>
    </row>
    <row r="307" spans="1:14" x14ac:dyDescent="0.2">
      <c r="A307" s="1526" t="s">
        <v>322</v>
      </c>
      <c r="B307" s="615">
        <v>4120</v>
      </c>
      <c r="C307" s="617"/>
      <c r="D307" s="617"/>
      <c r="E307" s="467"/>
      <c r="F307" s="617"/>
      <c r="G307" s="617"/>
      <c r="H307" s="467"/>
      <c r="I307" s="477"/>
      <c r="J307" s="617"/>
      <c r="K307" s="1691">
        <f>SUM(E307,H307)</f>
        <v>0</v>
      </c>
      <c r="L307" s="466"/>
    </row>
    <row r="308" spans="1:14" x14ac:dyDescent="0.2">
      <c r="A308" s="1526" t="s">
        <v>721</v>
      </c>
      <c r="B308" s="615">
        <v>4140</v>
      </c>
      <c r="C308" s="617"/>
      <c r="D308" s="617"/>
      <c r="E308" s="467"/>
      <c r="F308" s="617"/>
      <c r="G308" s="617"/>
      <c r="H308" s="467"/>
      <c r="I308" s="477"/>
      <c r="J308" s="617"/>
      <c r="K308" s="1691">
        <f>SUM(E308,H308)</f>
        <v>0</v>
      </c>
      <c r="L308" s="466"/>
    </row>
    <row r="309" spans="1:14" ht="12.75" customHeight="1" x14ac:dyDescent="0.2">
      <c r="A309" s="1530" t="s">
        <v>722</v>
      </c>
      <c r="B309" s="629">
        <v>4190</v>
      </c>
      <c r="C309" s="617"/>
      <c r="D309" s="617"/>
      <c r="E309" s="467"/>
      <c r="F309" s="617"/>
      <c r="G309" s="617"/>
      <c r="H309" s="467"/>
      <c r="I309" s="477"/>
      <c r="J309" s="617"/>
      <c r="K309" s="1691">
        <f>SUM(E309,H309)</f>
        <v>0</v>
      </c>
      <c r="L309" s="466"/>
    </row>
    <row r="310" spans="1:14" ht="12.75" customHeight="1" thickBot="1" x14ac:dyDescent="0.25">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90">
        <f>SUM(C303)</f>
        <v>0</v>
      </c>
      <c r="D312" s="1690">
        <f>SUM(D303)</f>
        <v>0</v>
      </c>
      <c r="E312" s="1690">
        <f>SUM(E303,E310)</f>
        <v>0</v>
      </c>
      <c r="F312" s="1690">
        <f>SUM(F303)</f>
        <v>0</v>
      </c>
      <c r="G312" s="1690">
        <f>SUM(G303)</f>
        <v>274581</v>
      </c>
      <c r="H312" s="1690">
        <f>SUM(H303,H310)</f>
        <v>0</v>
      </c>
      <c r="I312" s="1690">
        <f>SUM(I303)</f>
        <v>0</v>
      </c>
      <c r="J312" s="1690">
        <f>SUM(J303)</f>
        <v>0</v>
      </c>
      <c r="K312" s="1690">
        <f>SUM(K303,K310,K311)</f>
        <v>274581</v>
      </c>
      <c r="L312" s="1690">
        <f>SUM(L303,L310,L311)</f>
        <v>274581</v>
      </c>
      <c r="M312" s="666"/>
      <c r="N312" s="666"/>
    </row>
    <row r="313" spans="1:14" ht="13.5" thickTop="1" x14ac:dyDescent="0.2">
      <c r="A313" s="2181" t="s">
        <v>1053</v>
      </c>
      <c r="B313" s="2182"/>
      <c r="C313" s="627"/>
      <c r="D313" s="627"/>
      <c r="E313" s="627"/>
      <c r="F313" s="627"/>
      <c r="G313" s="627"/>
      <c r="H313" s="627"/>
      <c r="I313" s="627"/>
      <c r="J313" s="627"/>
      <c r="K313" s="1705">
        <f>'Revenues 9-14'!H275-'Expenditures 15-22'!K312</f>
        <v>-274581</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1">
        <f>SUM(C319:J319)</f>
        <v>0</v>
      </c>
      <c r="L319" s="467"/>
      <c r="M319" s="666"/>
      <c r="N319" s="666"/>
    </row>
    <row r="320" spans="1:14" s="675" customFormat="1" x14ac:dyDescent="0.2">
      <c r="A320" s="1545" t="s">
        <v>1908</v>
      </c>
      <c r="B320" s="699" t="s">
        <v>300</v>
      </c>
      <c r="C320" s="467"/>
      <c r="D320" s="467"/>
      <c r="E320" s="467">
        <v>62325</v>
      </c>
      <c r="F320" s="467"/>
      <c r="G320" s="467"/>
      <c r="H320" s="467"/>
      <c r="I320" s="467"/>
      <c r="J320" s="467"/>
      <c r="K320" s="1691">
        <f t="shared" ref="K320:K327" si="24">SUM(C320:J320)</f>
        <v>62325</v>
      </c>
      <c r="L320" s="467">
        <v>62325</v>
      </c>
      <c r="M320" s="666"/>
      <c r="N320" s="666"/>
    </row>
    <row r="321" spans="1:14" s="675" customFormat="1" x14ac:dyDescent="0.2">
      <c r="A321" s="1541" t="s">
        <v>318</v>
      </c>
      <c r="B321" s="698" t="s">
        <v>301</v>
      </c>
      <c r="C321" s="467"/>
      <c r="D321" s="467"/>
      <c r="E321" s="467">
        <v>309</v>
      </c>
      <c r="F321" s="467"/>
      <c r="G321" s="467"/>
      <c r="H321" s="467"/>
      <c r="I321" s="467"/>
      <c r="J321" s="467"/>
      <c r="K321" s="1691">
        <f t="shared" si="24"/>
        <v>309</v>
      </c>
      <c r="L321" s="467">
        <v>12100</v>
      </c>
      <c r="M321" s="666"/>
      <c r="N321" s="666"/>
    </row>
    <row r="322" spans="1:14" s="675" customFormat="1" x14ac:dyDescent="0.2">
      <c r="A322" s="1541" t="s">
        <v>256</v>
      </c>
      <c r="B322" s="698" t="s">
        <v>302</v>
      </c>
      <c r="C322" s="467"/>
      <c r="D322" s="467"/>
      <c r="E322" s="467">
        <v>107710</v>
      </c>
      <c r="F322" s="467"/>
      <c r="G322" s="467"/>
      <c r="H322" s="467"/>
      <c r="I322" s="467"/>
      <c r="J322" s="467"/>
      <c r="K322" s="1691">
        <f t="shared" si="24"/>
        <v>107710</v>
      </c>
      <c r="L322" s="467">
        <v>107710</v>
      </c>
      <c r="M322" s="666"/>
      <c r="N322" s="666"/>
    </row>
    <row r="323" spans="1:14" s="675" customFormat="1" x14ac:dyDescent="0.2">
      <c r="A323" s="1541" t="s">
        <v>726</v>
      </c>
      <c r="B323" s="698" t="s">
        <v>303</v>
      </c>
      <c r="C323" s="467"/>
      <c r="D323" s="467"/>
      <c r="E323" s="467"/>
      <c r="F323" s="467"/>
      <c r="G323" s="467"/>
      <c r="H323" s="467"/>
      <c r="I323" s="467"/>
      <c r="J323" s="467"/>
      <c r="K323" s="1691">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1">
        <f t="shared" si="24"/>
        <v>0</v>
      </c>
      <c r="L324" s="467"/>
      <c r="M324" s="666"/>
      <c r="N324" s="666"/>
    </row>
    <row r="325" spans="1:14" s="675" customFormat="1" ht="22.5" x14ac:dyDescent="0.2">
      <c r="A325" s="1541" t="s">
        <v>1087</v>
      </c>
      <c r="B325" s="699" t="s">
        <v>305</v>
      </c>
      <c r="C325" s="467">
        <v>333780</v>
      </c>
      <c r="D325" s="467">
        <v>61206</v>
      </c>
      <c r="E325" s="467">
        <v>22645</v>
      </c>
      <c r="F325" s="467"/>
      <c r="G325" s="467">
        <v>135633</v>
      </c>
      <c r="H325" s="467"/>
      <c r="I325" s="467"/>
      <c r="J325" s="467"/>
      <c r="K325" s="1691">
        <f t="shared" si="24"/>
        <v>553264</v>
      </c>
      <c r="L325" s="467">
        <v>526835</v>
      </c>
      <c r="M325" s="666"/>
      <c r="N325" s="666"/>
    </row>
    <row r="326" spans="1:14" s="675" customFormat="1" x14ac:dyDescent="0.2">
      <c r="A326" s="1541" t="s">
        <v>1088</v>
      </c>
      <c r="B326" s="698" t="s">
        <v>306</v>
      </c>
      <c r="C326" s="467"/>
      <c r="D326" s="467"/>
      <c r="E326" s="467"/>
      <c r="F326" s="467"/>
      <c r="G326" s="467"/>
      <c r="H326" s="467"/>
      <c r="I326" s="467"/>
      <c r="J326" s="467"/>
      <c r="K326" s="1691">
        <f t="shared" si="24"/>
        <v>0</v>
      </c>
      <c r="L326" s="467"/>
      <c r="M326" s="666"/>
      <c r="N326" s="666"/>
    </row>
    <row r="327" spans="1:14" s="675" customFormat="1" x14ac:dyDescent="0.2">
      <c r="A327" s="1541" t="s">
        <v>1028</v>
      </c>
      <c r="B327" s="698" t="s">
        <v>307</v>
      </c>
      <c r="C327" s="467"/>
      <c r="D327" s="467"/>
      <c r="E327" s="467">
        <v>62549</v>
      </c>
      <c r="F327" s="467"/>
      <c r="G327" s="467"/>
      <c r="H327" s="467"/>
      <c r="I327" s="467"/>
      <c r="J327" s="467"/>
      <c r="K327" s="1691">
        <f t="shared" si="24"/>
        <v>62549</v>
      </c>
      <c r="L327" s="467">
        <v>62550</v>
      </c>
      <c r="M327" s="666"/>
      <c r="N327" s="666"/>
    </row>
    <row r="328" spans="1:14" s="675" customFormat="1" x14ac:dyDescent="0.2">
      <c r="A328" s="1542" t="s">
        <v>492</v>
      </c>
      <c r="B328" s="691" t="s">
        <v>1194</v>
      </c>
      <c r="C328" s="474"/>
      <c r="D328" s="474"/>
      <c r="E328" s="474"/>
      <c r="F328" s="474"/>
      <c r="G328" s="474"/>
      <c r="H328" s="474"/>
      <c r="I328" s="474"/>
      <c r="J328" s="474"/>
      <c r="K328" s="1719">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19">
        <f>SUM(C329:J329)</f>
        <v>0</v>
      </c>
      <c r="L329" s="474"/>
      <c r="M329" s="666"/>
      <c r="N329" s="666"/>
    </row>
    <row r="330" spans="1:14" s="675" customFormat="1" ht="12.75" customHeight="1" thickBot="1" x14ac:dyDescent="0.25">
      <c r="A330" s="1720" t="s">
        <v>741</v>
      </c>
      <c r="B330" s="1689" t="s">
        <v>590</v>
      </c>
      <c r="C330" s="1690">
        <f>SUM(C319:C329)</f>
        <v>333780</v>
      </c>
      <c r="D330" s="1690">
        <f t="shared" ref="D330:J330" si="25">SUM(D319:D329)</f>
        <v>61206</v>
      </c>
      <c r="E330" s="1690">
        <f t="shared" si="25"/>
        <v>255538</v>
      </c>
      <c r="F330" s="1690">
        <f t="shared" si="25"/>
        <v>0</v>
      </c>
      <c r="G330" s="1690">
        <f t="shared" si="25"/>
        <v>135633</v>
      </c>
      <c r="H330" s="1690">
        <f t="shared" si="25"/>
        <v>0</v>
      </c>
      <c r="I330" s="1690">
        <f t="shared" si="25"/>
        <v>0</v>
      </c>
      <c r="J330" s="1690">
        <f t="shared" si="25"/>
        <v>0</v>
      </c>
      <c r="K330" s="1690">
        <f>SUM(K319:K329)</f>
        <v>786157</v>
      </c>
      <c r="L330" s="1690">
        <f>SUM(L319:L329)</f>
        <v>771520</v>
      </c>
      <c r="M330" s="666"/>
      <c r="N330" s="666"/>
    </row>
    <row r="331" spans="1:14" s="675" customFormat="1" ht="12.75" customHeight="1" thickTop="1" x14ac:dyDescent="0.2">
      <c r="A331" s="1852" t="s">
        <v>1963</v>
      </c>
      <c r="B331" s="648" t="s">
        <v>915</v>
      </c>
      <c r="C331" s="1854"/>
      <c r="D331" s="1854"/>
      <c r="E331" s="1854"/>
      <c r="F331" s="1854"/>
      <c r="G331" s="1854"/>
      <c r="H331" s="1854"/>
      <c r="I331" s="1854"/>
      <c r="J331" s="1854"/>
      <c r="K331" s="1854"/>
      <c r="L331" s="1854"/>
      <c r="M331" s="666"/>
      <c r="N331" s="666"/>
    </row>
    <row r="332" spans="1:14" s="675" customFormat="1" ht="12.75" customHeight="1" x14ac:dyDescent="0.2">
      <c r="A332" s="1853" t="s">
        <v>517</v>
      </c>
      <c r="B332" s="1848" t="s">
        <v>1957</v>
      </c>
      <c r="C332" s="1854"/>
      <c r="D332" s="1854"/>
      <c r="E332" s="1854"/>
      <c r="F332" s="1854"/>
      <c r="G332" s="1854"/>
      <c r="H332" s="467"/>
      <c r="I332" s="1854"/>
      <c r="J332" s="1854"/>
      <c r="K332" s="1691">
        <f>H332</f>
        <v>0</v>
      </c>
      <c r="L332" s="467"/>
      <c r="M332" s="666"/>
      <c r="N332" s="666"/>
    </row>
    <row r="333" spans="1:14" s="675" customFormat="1" ht="12.75" customHeight="1" x14ac:dyDescent="0.2">
      <c r="A333" s="1853" t="s">
        <v>322</v>
      </c>
      <c r="B333" s="1848" t="s">
        <v>1959</v>
      </c>
      <c r="C333" s="1854"/>
      <c r="D333" s="1854"/>
      <c r="E333" s="1854"/>
      <c r="F333" s="1854"/>
      <c r="G333" s="1854"/>
      <c r="H333" s="467"/>
      <c r="I333" s="1854"/>
      <c r="J333" s="1854"/>
      <c r="K333" s="1691">
        <f>H333</f>
        <v>0</v>
      </c>
      <c r="L333" s="467"/>
      <c r="M333" s="666"/>
      <c r="N333" s="666"/>
    </row>
    <row r="334" spans="1:14" s="675" customFormat="1" ht="12.75" customHeight="1" thickBot="1" x14ac:dyDescent="0.25">
      <c r="A334" s="1853" t="s">
        <v>1964</v>
      </c>
      <c r="B334" s="1848" t="s">
        <v>915</v>
      </c>
      <c r="C334" s="1854"/>
      <c r="D334" s="1854"/>
      <c r="E334" s="1854"/>
      <c r="F334" s="1854"/>
      <c r="G334" s="1854"/>
      <c r="H334" s="1690">
        <f>SUM(H332:H333)</f>
        <v>0</v>
      </c>
      <c r="I334" s="1854"/>
      <c r="J334" s="1854"/>
      <c r="K334" s="1690">
        <f>SUM(K332:K333)</f>
        <v>0</v>
      </c>
      <c r="L334" s="1690">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1">
        <f>H337</f>
        <v>0</v>
      </c>
      <c r="L337" s="478"/>
    </row>
    <row r="338" spans="1:14" ht="12.75" customHeight="1" x14ac:dyDescent="0.2">
      <c r="A338" s="1540" t="s">
        <v>1232</v>
      </c>
      <c r="B338" s="691" t="s">
        <v>638</v>
      </c>
      <c r="C338" s="639"/>
      <c r="D338" s="639"/>
      <c r="E338" s="639"/>
      <c r="F338" s="639"/>
      <c r="G338" s="639"/>
      <c r="H338" s="478"/>
      <c r="I338" s="639"/>
      <c r="J338" s="639"/>
      <c r="K338" s="1691">
        <f>H338</f>
        <v>0</v>
      </c>
      <c r="L338" s="478"/>
    </row>
    <row r="339" spans="1:14" x14ac:dyDescent="0.2">
      <c r="A339" s="1526" t="s">
        <v>957</v>
      </c>
      <c r="B339" s="629">
        <v>5150</v>
      </c>
      <c r="C339" s="639"/>
      <c r="D339" s="639"/>
      <c r="E339" s="639"/>
      <c r="F339" s="639"/>
      <c r="G339" s="639"/>
      <c r="H339" s="467"/>
      <c r="I339" s="639"/>
      <c r="J339" s="639"/>
      <c r="K339" s="1691">
        <f>H339</f>
        <v>0</v>
      </c>
      <c r="L339" s="467"/>
    </row>
    <row r="340" spans="1:14" ht="13.5" thickBot="1" x14ac:dyDescent="0.25">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6" t="s">
        <v>526</v>
      </c>
      <c r="B342" s="1721"/>
      <c r="C342" s="1690">
        <f>SUM(C330)</f>
        <v>333780</v>
      </c>
      <c r="D342" s="1690">
        <f>SUM(D330)</f>
        <v>61206</v>
      </c>
      <c r="E342" s="1690">
        <f>SUM(E330)</f>
        <v>255538</v>
      </c>
      <c r="F342" s="1690">
        <f>SUM(F330)</f>
        <v>0</v>
      </c>
      <c r="G342" s="1690">
        <f>SUM(G330)</f>
        <v>135633</v>
      </c>
      <c r="H342" s="1690">
        <f>SUM(H330,H334,H340)</f>
        <v>0</v>
      </c>
      <c r="I342" s="1690">
        <f>SUM(I330)</f>
        <v>0</v>
      </c>
      <c r="J342" s="1690">
        <f>SUM(J330)</f>
        <v>0</v>
      </c>
      <c r="K342" s="1690">
        <f>SUM(K330,K334,K340)</f>
        <v>786157</v>
      </c>
      <c r="L342" s="1697">
        <f>SUM(L330,L340,L341)</f>
        <v>771520</v>
      </c>
    </row>
    <row r="343" spans="1:14" ht="12.75" customHeight="1" thickTop="1" x14ac:dyDescent="0.2">
      <c r="A343" s="2183" t="s">
        <v>1053</v>
      </c>
      <c r="B343" s="2184"/>
      <c r="C343" s="617"/>
      <c r="D343" s="617"/>
      <c r="E343" s="617"/>
      <c r="F343" s="617"/>
      <c r="G343" s="617"/>
      <c r="H343" s="617"/>
      <c r="I343" s="617"/>
      <c r="J343" s="617"/>
      <c r="K343" s="1704">
        <f>'Revenues 9-14'!J275-'Expenditures 15-22'!K342</f>
        <v>-7362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4948</v>
      </c>
      <c r="F348" s="466"/>
      <c r="G348" s="466">
        <v>41874</v>
      </c>
      <c r="H348" s="466"/>
      <c r="I348" s="467"/>
      <c r="J348" s="467"/>
      <c r="K348" s="1691">
        <f>SUM(C348:J348)</f>
        <v>46822</v>
      </c>
      <c r="L348" s="466">
        <v>46706</v>
      </c>
    </row>
    <row r="349" spans="1:14" x14ac:dyDescent="0.2">
      <c r="A349" s="1526" t="s">
        <v>206</v>
      </c>
      <c r="B349" s="615">
        <v>2540</v>
      </c>
      <c r="C349" s="466"/>
      <c r="D349" s="466"/>
      <c r="E349" s="466"/>
      <c r="F349" s="466"/>
      <c r="G349" s="466"/>
      <c r="H349" s="466">
        <v>5976</v>
      </c>
      <c r="I349" s="467"/>
      <c r="J349" s="467"/>
      <c r="K349" s="1691">
        <f>SUM(C349:J349)</f>
        <v>5976</v>
      </c>
      <c r="L349" s="466"/>
    </row>
    <row r="350" spans="1:14" ht="12.75" customHeight="1" thickBot="1" x14ac:dyDescent="0.25">
      <c r="A350" s="1688" t="s">
        <v>743</v>
      </c>
      <c r="B350" s="1689" t="s">
        <v>35</v>
      </c>
      <c r="C350" s="1690">
        <f>SUM(C348:C349)</f>
        <v>0</v>
      </c>
      <c r="D350" s="1690">
        <f t="shared" ref="D350:L350" si="26">SUM(D348:D349)</f>
        <v>0</v>
      </c>
      <c r="E350" s="1690">
        <f t="shared" si="26"/>
        <v>4948</v>
      </c>
      <c r="F350" s="1690">
        <f t="shared" si="26"/>
        <v>0</v>
      </c>
      <c r="G350" s="1690">
        <f t="shared" si="26"/>
        <v>41874</v>
      </c>
      <c r="H350" s="1690">
        <f t="shared" si="26"/>
        <v>5976</v>
      </c>
      <c r="I350" s="1690">
        <f t="shared" si="26"/>
        <v>0</v>
      </c>
      <c r="J350" s="1690">
        <f t="shared" si="26"/>
        <v>0</v>
      </c>
      <c r="K350" s="1690">
        <f t="shared" si="26"/>
        <v>52798</v>
      </c>
      <c r="L350" s="1690">
        <f t="shared" si="26"/>
        <v>46706</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88" t="s">
        <v>645</v>
      </c>
      <c r="B352" s="1695" t="s">
        <v>590</v>
      </c>
      <c r="C352" s="1690">
        <f>SUM(C350:C351)</f>
        <v>0</v>
      </c>
      <c r="D352" s="1690">
        <f t="shared" ref="D352:L352" si="27">SUM(D350:D351)</f>
        <v>0</v>
      </c>
      <c r="E352" s="1690">
        <f t="shared" si="27"/>
        <v>4948</v>
      </c>
      <c r="F352" s="1690">
        <f t="shared" si="27"/>
        <v>0</v>
      </c>
      <c r="G352" s="1690">
        <f t="shared" si="27"/>
        <v>41874</v>
      </c>
      <c r="H352" s="1690">
        <f t="shared" si="27"/>
        <v>5976</v>
      </c>
      <c r="I352" s="1690">
        <f t="shared" si="27"/>
        <v>0</v>
      </c>
      <c r="J352" s="1690">
        <f t="shared" si="27"/>
        <v>0</v>
      </c>
      <c r="K352" s="1690">
        <f t="shared" si="27"/>
        <v>52798</v>
      </c>
      <c r="L352" s="1690">
        <f t="shared" si="27"/>
        <v>46706</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5" t="s">
        <v>1965</v>
      </c>
      <c r="B354" s="684" t="s">
        <v>1957</v>
      </c>
      <c r="C354" s="617"/>
      <c r="D354" s="617"/>
      <c r="E354" s="617"/>
      <c r="F354" s="617"/>
      <c r="G354" s="617"/>
      <c r="H354" s="474"/>
      <c r="I354" s="702"/>
      <c r="J354" s="617"/>
      <c r="K354" s="1719">
        <f>H354</f>
        <v>0</v>
      </c>
      <c r="L354" s="471"/>
    </row>
    <row r="355" spans="1:14" ht="12.75" customHeight="1" x14ac:dyDescent="0.2">
      <c r="A355" s="1535" t="s">
        <v>1966</v>
      </c>
      <c r="B355" s="691" t="s">
        <v>1959</v>
      </c>
      <c r="C355" s="617"/>
      <c r="D355" s="617"/>
      <c r="E355" s="617"/>
      <c r="F355" s="617"/>
      <c r="G355" s="617"/>
      <c r="H355" s="467"/>
      <c r="I355" s="702"/>
      <c r="J355" s="617"/>
      <c r="K355" s="1763">
        <f>H355</f>
        <v>0</v>
      </c>
      <c r="L355" s="467"/>
    </row>
    <row r="356" spans="1:14" ht="12.75" customHeight="1" x14ac:dyDescent="0.2">
      <c r="A356" s="1855" t="s">
        <v>722</v>
      </c>
      <c r="B356" s="684" t="s">
        <v>579</v>
      </c>
      <c r="C356" s="617"/>
      <c r="D356" s="617"/>
      <c r="E356" s="617"/>
      <c r="F356" s="617"/>
      <c r="G356" s="617"/>
      <c r="H356" s="479"/>
      <c r="I356" s="702"/>
      <c r="J356" s="617"/>
      <c r="K356" s="1760">
        <f>H356</f>
        <v>0</v>
      </c>
      <c r="L356" s="479"/>
    </row>
    <row r="357" spans="1:14" ht="12.75" customHeight="1" thickBot="1" x14ac:dyDescent="0.25">
      <c r="A357" s="1688" t="s">
        <v>1567</v>
      </c>
      <c r="B357" s="1689" t="s">
        <v>915</v>
      </c>
      <c r="C357" s="617"/>
      <c r="D357" s="617"/>
      <c r="E357" s="617"/>
      <c r="F357" s="617"/>
      <c r="G357" s="617"/>
      <c r="H357" s="1708">
        <f>SUM(H354:H356)</f>
        <v>0</v>
      </c>
      <c r="I357" s="702"/>
      <c r="J357" s="617"/>
      <c r="K357" s="1708">
        <f>SUM(K354:K356)</f>
        <v>0</v>
      </c>
      <c r="L357" s="1708">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1">
        <f>SUM(C360:J360)</f>
        <v>0</v>
      </c>
      <c r="L360" s="466"/>
    </row>
    <row r="361" spans="1:14" ht="12.75" customHeight="1" x14ac:dyDescent="0.2">
      <c r="A361" s="1527" t="s">
        <v>640</v>
      </c>
      <c r="B361" s="603" t="s">
        <v>639</v>
      </c>
      <c r="C361" s="617"/>
      <c r="D361" s="617"/>
      <c r="E361" s="617"/>
      <c r="F361" s="617"/>
      <c r="G361" s="617"/>
      <c r="H361" s="467"/>
      <c r="I361" s="617"/>
      <c r="J361" s="617"/>
      <c r="K361" s="1691">
        <f>SUM(C361:J361)</f>
        <v>0</v>
      </c>
      <c r="L361" s="466"/>
    </row>
    <row r="362" spans="1:14" ht="12.75" customHeight="1" thickBot="1" x14ac:dyDescent="0.25">
      <c r="A362" s="1688" t="s">
        <v>647</v>
      </c>
      <c r="B362" s="1689" t="s">
        <v>742</v>
      </c>
      <c r="C362" s="617"/>
      <c r="D362" s="617"/>
      <c r="E362" s="617"/>
      <c r="F362" s="617"/>
      <c r="G362" s="617"/>
      <c r="H362" s="1723">
        <f>SUM(H360:H361)</f>
        <v>0</v>
      </c>
      <c r="I362" s="617"/>
      <c r="J362" s="617"/>
      <c r="K362" s="1723">
        <f>SUM(K360:K361)</f>
        <v>0</v>
      </c>
      <c r="L362" s="1723">
        <f>SUM(L360:L361)</f>
        <v>0</v>
      </c>
    </row>
    <row r="363" spans="1:14" s="675" customFormat="1" ht="15.75" customHeight="1" thickTop="1" x14ac:dyDescent="0.2">
      <c r="A363" s="661" t="s">
        <v>85</v>
      </c>
      <c r="B363" s="662" t="s">
        <v>38</v>
      </c>
      <c r="C363" s="639"/>
      <c r="D363" s="639"/>
      <c r="E363" s="639"/>
      <c r="F363" s="639"/>
      <c r="G363" s="639"/>
      <c r="H363" s="479"/>
      <c r="I363" s="639"/>
      <c r="J363" s="639"/>
      <c r="K363" s="1719">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1">
        <f>SUM(C364:J364)</f>
        <v>0</v>
      </c>
      <c r="L364" s="708"/>
    </row>
    <row r="365" spans="1:14" s="675" customFormat="1" ht="12.75" customHeight="1" thickBot="1" x14ac:dyDescent="0.25">
      <c r="A365" s="1543" t="s">
        <v>611</v>
      </c>
      <c r="B365" s="660" t="s">
        <v>513</v>
      </c>
      <c r="C365" s="639"/>
      <c r="D365" s="639"/>
      <c r="E365" s="639"/>
      <c r="F365" s="639"/>
      <c r="G365" s="639"/>
      <c r="H365" s="1723">
        <f>SUM(H362,H363,H364)</f>
        <v>0</v>
      </c>
      <c r="I365" s="639"/>
      <c r="J365" s="639"/>
      <c r="K365" s="1723">
        <f>SUM(K362,K363,K364)</f>
        <v>0</v>
      </c>
      <c r="L365" s="1723">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2" t="s">
        <v>526</v>
      </c>
      <c r="B367" s="1724"/>
      <c r="C367" s="1690">
        <f t="shared" ref="C367:L367" si="28">SUM(C352,C357,C365,C366)</f>
        <v>0</v>
      </c>
      <c r="D367" s="1690">
        <f t="shared" si="28"/>
        <v>0</v>
      </c>
      <c r="E367" s="1690">
        <f t="shared" si="28"/>
        <v>4948</v>
      </c>
      <c r="F367" s="1690">
        <f t="shared" si="28"/>
        <v>0</v>
      </c>
      <c r="G367" s="1690">
        <f t="shared" si="28"/>
        <v>41874</v>
      </c>
      <c r="H367" s="1690">
        <f t="shared" si="28"/>
        <v>5976</v>
      </c>
      <c r="I367" s="1690">
        <f t="shared" si="28"/>
        <v>0</v>
      </c>
      <c r="J367" s="1690">
        <f t="shared" si="28"/>
        <v>0</v>
      </c>
      <c r="K367" s="1690">
        <f t="shared" si="28"/>
        <v>52798</v>
      </c>
      <c r="L367" s="1690">
        <f t="shared" si="28"/>
        <v>46706</v>
      </c>
    </row>
    <row r="368" spans="1:14" ht="13.5" thickTop="1" x14ac:dyDescent="0.2">
      <c r="A368" s="2170" t="s">
        <v>1053</v>
      </c>
      <c r="B368" s="2171"/>
      <c r="C368" s="655"/>
      <c r="D368" s="655"/>
      <c r="E368" s="627"/>
      <c r="F368" s="627"/>
      <c r="G368" s="627"/>
      <c r="H368" s="627"/>
      <c r="I368" s="627"/>
      <c r="J368" s="624"/>
      <c r="K368" s="1691">
        <f>'Revenues 9-14'!K275-'Expenditures 15-22'!K367</f>
        <v>91118</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gridLinesSet="0"/>
  <pageMargins left="0.1" right="0.2"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&amp;F&amp;RThe notes to the financial statments are an integral part of this statement.</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http://schemas.microsoft.com/sharepoint/v3"/>
    <ds:schemaRef ds:uri="http://purl.org/dc/dcmitype/"/>
    <ds:schemaRef ds:uri="http://purl.org/dc/terms/"/>
    <ds:schemaRef ds:uri="http://www.w3.org/XML/1998/namespac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4d435f69-8686-490b-bd6d-b153bf22ab50"/>
    <ds:schemaRef ds:uri="d21dc803-237d-4c68-8692-8d731fd29118"/>
    <ds:schemaRef ds:uri="6ce3111e-7420-4802-b50a-75d4e9a0b980"/>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2018-09-21T17:08:25Z</cp:lastPrinted>
  <dcterms:created xsi:type="dcterms:W3CDTF">2003-10-29T19:06:34Z</dcterms:created>
  <dcterms:modified xsi:type="dcterms:W3CDTF">2018-11-15T19:03:28Z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