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6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D28" i="181" l="1"/>
  <c r="D22" i="181"/>
  <c r="D20" i="181"/>
  <c r="D45" i="174" l="1"/>
  <c r="M17" i="185"/>
  <c r="K24" i="183"/>
  <c r="K17" i="185"/>
  <c r="I17" i="185"/>
  <c r="G17" i="185"/>
  <c r="E17" i="185"/>
  <c r="I15" i="185"/>
  <c r="G15" i="185"/>
  <c r="L15" i="185" s="1"/>
  <c r="F15" i="185"/>
  <c r="E15" i="185"/>
  <c r="L25" i="185"/>
  <c r="L24" i="185"/>
  <c r="L23" i="185"/>
  <c r="L22" i="185"/>
  <c r="L21" i="185"/>
  <c r="L20" i="185"/>
  <c r="L19" i="185"/>
  <c r="L18" i="185"/>
  <c r="L16" i="185"/>
  <c r="L14" i="185"/>
  <c r="L13" i="185"/>
  <c r="L12" i="185"/>
  <c r="L11" i="185"/>
  <c r="B4" i="185"/>
  <c r="B1" i="185"/>
  <c r="K27" i="184"/>
  <c r="L27" i="184" s="1"/>
  <c r="I27" i="184"/>
  <c r="G27" i="184"/>
  <c r="F27" i="184"/>
  <c r="E27" i="184"/>
  <c r="K26" i="184"/>
  <c r="I26" i="184"/>
  <c r="L26" i="184" s="1"/>
  <c r="G26" i="184"/>
  <c r="F19" i="184"/>
  <c r="F26" i="184"/>
  <c r="E26" i="184"/>
  <c r="K25" i="184"/>
  <c r="I25" i="184"/>
  <c r="G25" i="184"/>
  <c r="F25" i="184"/>
  <c r="E25" i="184"/>
  <c r="K22" i="184"/>
  <c r="I22" i="184"/>
  <c r="G22" i="184"/>
  <c r="F22" i="184"/>
  <c r="E22" i="184"/>
  <c r="I26" i="179"/>
  <c r="M15" i="179"/>
  <c r="D24" i="171"/>
  <c r="K19" i="184"/>
  <c r="I19" i="184"/>
  <c r="G19" i="184"/>
  <c r="E19" i="184"/>
  <c r="L23" i="184"/>
  <c r="L21" i="184"/>
  <c r="L20" i="184"/>
  <c r="L18" i="184"/>
  <c r="L15" i="184"/>
  <c r="L14" i="184"/>
  <c r="L13" i="184"/>
  <c r="L12" i="184"/>
  <c r="L11" i="184"/>
  <c r="B4" i="184"/>
  <c r="B1" i="184"/>
  <c r="L17" i="185" l="1"/>
  <c r="L26" i="185"/>
  <c r="L27" i="185"/>
  <c r="L25" i="184"/>
  <c r="L22" i="184"/>
  <c r="L17" i="184"/>
  <c r="L24" i="184"/>
  <c r="L16" i="184"/>
  <c r="E24" i="183"/>
  <c r="E19" i="183"/>
  <c r="L18" i="183"/>
  <c r="E17" i="183"/>
  <c r="M16" i="183"/>
  <c r="K16" i="183"/>
  <c r="I16" i="183"/>
  <c r="G16" i="183"/>
  <c r="G17" i="183" s="1"/>
  <c r="G19" i="183" s="1"/>
  <c r="G24" i="183" s="1"/>
  <c r="F16" i="183"/>
  <c r="E16" i="183"/>
  <c r="L27" i="183"/>
  <c r="L25" i="183"/>
  <c r="L23" i="183"/>
  <c r="L22" i="183"/>
  <c r="L21" i="183"/>
  <c r="L20" i="183"/>
  <c r="L15" i="183"/>
  <c r="L14" i="183"/>
  <c r="L13" i="183"/>
  <c r="L12" i="183"/>
  <c r="L11" i="183"/>
  <c r="B4" i="183"/>
  <c r="B1" i="183"/>
  <c r="M26" i="179"/>
  <c r="M17" i="183" s="1"/>
  <c r="K26" i="179"/>
  <c r="K17" i="183" s="1"/>
  <c r="I17" i="183"/>
  <c r="G26" i="179"/>
  <c r="F26" i="179"/>
  <c r="F17" i="183" s="1"/>
  <c r="E26" i="179"/>
  <c r="M19" i="179"/>
  <c r="L19" i="179"/>
  <c r="K19" i="179"/>
  <c r="I19" i="179"/>
  <c r="G19" i="179"/>
  <c r="F19" i="179"/>
  <c r="E19" i="179"/>
  <c r="K15" i="179"/>
  <c r="I15" i="179"/>
  <c r="G15" i="179"/>
  <c r="F15" i="179"/>
  <c r="E15" i="179"/>
  <c r="L16" i="183" l="1"/>
  <c r="M19" i="183"/>
  <c r="M24" i="183" s="1"/>
  <c r="L17" i="183"/>
  <c r="I19" i="183"/>
  <c r="I24" i="183" s="1"/>
  <c r="L24" i="183" s="1"/>
  <c r="F19" i="183"/>
  <c r="F24" i="183" s="1"/>
  <c r="F17" i="185" s="1"/>
  <c r="K19" i="183"/>
  <c r="L19" i="184"/>
  <c r="L26" i="183"/>
  <c r="E10" i="108"/>
  <c r="C6" i="7"/>
  <c r="C16" i="7"/>
  <c r="C13" i="7"/>
  <c r="C10" i="7"/>
  <c r="C8" i="7"/>
  <c r="C7" i="7"/>
  <c r="C5" i="7"/>
  <c r="C4" i="7"/>
  <c r="L19"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c r="B2" i="179" l="1"/>
  <c r="B2" i="185"/>
  <c r="B2" i="184"/>
  <c r="B2" i="18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c r="B6344" i="106"/>
  <c r="D6344" i="106" s="1"/>
  <c r="B6345" i="106"/>
  <c r="D6345" i="106" s="1"/>
  <c r="B6346" i="106"/>
  <c r="D6346" i="106" s="1"/>
  <c r="B6347" i="106"/>
  <c r="D6347" i="106"/>
  <c r="B6348" i="106"/>
  <c r="D6348" i="106" s="1"/>
  <c r="B6349" i="106"/>
  <c r="D6349" i="106" s="1"/>
  <c r="B6350" i="106"/>
  <c r="D6350" i="106" s="1"/>
  <c r="B6353" i="106"/>
  <c r="D6353" i="106"/>
  <c r="B6354" i="106"/>
  <c r="D6354" i="106" s="1"/>
  <c r="B6355" i="106"/>
  <c r="D6355" i="106" s="1"/>
  <c r="B6356" i="106"/>
  <c r="D6356" i="106" s="1"/>
  <c r="B6358" i="106"/>
  <c r="D6358" i="106"/>
  <c r="B6359" i="106"/>
  <c r="D6359" i="106" s="1"/>
  <c r="B6360" i="106"/>
  <c r="D6360" i="106" s="1"/>
  <c r="B6361" i="106"/>
  <c r="D6361" i="106" s="1"/>
  <c r="B6362" i="106"/>
  <c r="D6362" i="106"/>
  <c r="B6363" i="106"/>
  <c r="D6363" i="106" s="1"/>
  <c r="B6364" i="106"/>
  <c r="D6364" i="106" s="1"/>
  <c r="B6365" i="106"/>
  <c r="D6365" i="106" s="1"/>
  <c r="B6366" i="106"/>
  <c r="D6366" i="106"/>
  <c r="B6367" i="106"/>
  <c r="D6367" i="106" s="1"/>
  <c r="B6368" i="106"/>
  <c r="D6368" i="106" s="1"/>
  <c r="B6369" i="106"/>
  <c r="D6369" i="106" s="1"/>
  <c r="B6370" i="106"/>
  <c r="D6370" i="106"/>
  <c r="B6371" i="106"/>
  <c r="D6371" i="106" s="1"/>
  <c r="B6372" i="106"/>
  <c r="D6372" i="106" s="1"/>
  <c r="B6373" i="106"/>
  <c r="D6373" i="106" s="1"/>
  <c r="B6374" i="106"/>
  <c r="D6374" i="106"/>
  <c r="B6375" i="106"/>
  <c r="D6375" i="106" s="1"/>
  <c r="B6376" i="106"/>
  <c r="D6376" i="106" s="1"/>
  <c r="B6377" i="106"/>
  <c r="D6377" i="106" s="1"/>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E26" i="108"/>
  <c r="G26" i="108"/>
  <c r="D27" i="108"/>
  <c r="E27" i="108"/>
  <c r="F27" i="108"/>
  <c r="G27" i="108"/>
  <c r="F31" i="108"/>
  <c r="F37" i="108"/>
  <c r="G28" i="108"/>
  <c r="E29" i="108"/>
  <c r="G29"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F130" i="34"/>
  <c r="F127" i="34"/>
  <c r="B5847" i="106"/>
  <c r="D5847" i="106" s="1"/>
  <c r="B5752" i="106"/>
  <c r="D5752" i="106" s="1"/>
  <c r="K274" i="5"/>
  <c r="H173" i="5"/>
  <c r="B5906" i="106" s="1"/>
  <c r="D5906" i="106" s="1"/>
  <c r="C172" i="5"/>
  <c r="B5214" i="106" s="1"/>
  <c r="D5214" i="106" s="1"/>
  <c r="F106" i="34"/>
  <c r="D7" i="7"/>
  <c r="B1763" i="106" s="1"/>
  <c r="D1763" i="106" s="1"/>
  <c r="H6" i="4"/>
  <c r="B2656" i="106" s="1"/>
  <c r="D2656" i="106" s="1"/>
  <c r="B1746" i="106"/>
  <c r="D1746" i="106" s="1"/>
  <c r="D17" i="7"/>
  <c r="B4104" i="106" s="1"/>
  <c r="D4104" i="106" s="1"/>
  <c r="D11" i="7"/>
  <c r="B1768" i="106" s="1"/>
  <c r="D1768" i="106" s="1"/>
  <c r="D15" i="7"/>
  <c r="B1772" i="106" s="1"/>
  <c r="D1772" i="106" s="1"/>
  <c r="D12" i="7" l="1"/>
  <c r="B1769" i="106" s="1"/>
  <c r="D1769" i="106" s="1"/>
  <c r="B7041" i="106"/>
  <c r="D7041" i="106" s="1"/>
  <c r="G109" i="5"/>
  <c r="B6024" i="106" s="1"/>
  <c r="D6024" i="106" s="1"/>
  <c r="B5770" i="106"/>
  <c r="D5770" i="106" s="1"/>
  <c r="D4" i="7"/>
  <c r="B1760" i="106" s="1"/>
  <c r="D1760" i="106" s="1"/>
  <c r="G5" i="4"/>
  <c r="B3409" i="106" s="1"/>
  <c r="D3409" i="106" s="1"/>
  <c r="E109" i="5"/>
  <c r="E4" i="4" s="1"/>
  <c r="B2630" i="106" s="1"/>
  <c r="D2630" i="106" s="1"/>
  <c r="L342" i="29"/>
  <c r="F45" i="34"/>
  <c r="F42" i="34"/>
  <c r="B3621" i="106"/>
  <c r="D3621" i="106" s="1"/>
  <c r="C367" i="29"/>
  <c r="F131" i="34"/>
  <c r="I173" i="5"/>
  <c r="B4216" i="106" s="1"/>
  <c r="D4216" i="106" s="1"/>
  <c r="B5096" i="106"/>
  <c r="D5096" i="106" s="1"/>
  <c r="F49" i="34"/>
  <c r="B7235" i="106"/>
  <c r="D7235" i="106" s="1"/>
  <c r="C342" i="29"/>
  <c r="B7216" i="106" s="1"/>
  <c r="D7216" i="106" s="1"/>
  <c r="B6191" i="106"/>
  <c r="D6191" i="106" s="1"/>
  <c r="J41" i="3"/>
  <c r="B3254" i="106"/>
  <c r="D3254" i="106" s="1"/>
  <c r="F77" i="4"/>
  <c r="B3255" i="106" s="1"/>
  <c r="D3255" i="106" s="1"/>
  <c r="F136" i="34"/>
  <c r="K76" i="4"/>
  <c r="B3586" i="106" s="1"/>
  <c r="D3586" i="106" s="1"/>
  <c r="L13" i="11"/>
  <c r="B2060" i="106" s="1"/>
  <c r="D2060" i="106" s="1"/>
  <c r="K285" i="29"/>
  <c r="K24" i="12"/>
  <c r="B7733" i="106" s="1"/>
  <c r="D7733" i="106" s="1"/>
  <c r="B3649" i="106"/>
  <c r="D3649" i="106" s="1"/>
  <c r="G367" i="29"/>
  <c r="I24" i="12"/>
  <c r="D6103" i="106"/>
  <c r="H76" i="4"/>
  <c r="B3298" i="106" s="1"/>
  <c r="D3298" i="106" s="1"/>
  <c r="E174" i="29"/>
  <c r="B1309" i="106" s="1"/>
  <c r="D1309" i="106" s="1"/>
  <c r="G39" i="108"/>
  <c r="L15" i="11"/>
  <c r="B3459" i="106" s="1"/>
  <c r="D3459" i="106" s="1"/>
  <c r="K26" i="12"/>
  <c r="B7743" i="106" s="1"/>
  <c r="D7743" i="106" s="1"/>
  <c r="N22" i="3"/>
  <c r="B283" i="106" s="1"/>
  <c r="D283" i="106" s="1"/>
  <c r="D69" i="36"/>
  <c r="F19" i="7"/>
  <c r="B1807" i="106" s="1"/>
  <c r="D1807" i="106" s="1"/>
  <c r="K350" i="29"/>
  <c r="L312" i="29"/>
  <c r="B1410" i="106"/>
  <c r="D1410" i="106" s="1"/>
  <c r="F65" i="34"/>
  <c r="K184" i="29"/>
  <c r="F13" i="4" s="1"/>
  <c r="B2596" i="106" s="1"/>
  <c r="D2596" i="106" s="1"/>
  <c r="B1329" i="106"/>
  <c r="D1329" i="106" s="1"/>
  <c r="F61" i="34"/>
  <c r="C14" i="4"/>
  <c r="B2558" i="106" s="1"/>
  <c r="D2558" i="106" s="1"/>
  <c r="D37" i="108"/>
  <c r="D41" i="108" s="1"/>
  <c r="E43" i="108" s="1"/>
  <c r="F36" i="108"/>
  <c r="G35" i="108"/>
  <c r="E35" i="108"/>
  <c r="G30" i="108"/>
  <c r="E30" i="108"/>
  <c r="F28" i="108"/>
  <c r="E28" i="108"/>
  <c r="F26" i="108"/>
  <c r="E15" i="145"/>
  <c r="G15" i="145" s="1"/>
  <c r="B1126" i="106"/>
  <c r="D1126" i="106" s="1"/>
  <c r="B2724" i="106"/>
  <c r="D2724" i="106" s="1"/>
  <c r="F41" i="34"/>
  <c r="F38" i="34"/>
  <c r="F34" i="34"/>
  <c r="H109" i="5"/>
  <c r="G4" i="4"/>
  <c r="B2603" i="106" s="1"/>
  <c r="D2603" i="106" s="1"/>
  <c r="F111" i="34"/>
  <c r="D109" i="5"/>
  <c r="C173" i="5"/>
  <c r="B5223" i="106" s="1"/>
  <c r="D5223" i="106" s="1"/>
  <c r="C109" i="5"/>
  <c r="B5121" i="106" s="1"/>
  <c r="D5121" i="106" s="1"/>
  <c r="D54" i="36"/>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19" i="7" l="1"/>
  <c r="B1775" i="106" s="1"/>
  <c r="D1775" i="106" s="1"/>
  <c r="H367" i="29"/>
  <c r="B3660" i="106" s="1"/>
  <c r="D3660" i="106" s="1"/>
  <c r="K342" i="29"/>
  <c r="F13" i="34" s="1"/>
  <c r="B1996" i="106"/>
  <c r="D1996" i="106" s="1"/>
  <c r="I26" i="12"/>
  <c r="B7741" i="106" s="1"/>
  <c r="D7741" i="106" s="1"/>
  <c r="F73" i="34"/>
  <c r="G15" i="4"/>
  <c r="B6032" i="106" s="1"/>
  <c r="D6032" i="106" s="1"/>
  <c r="L16" i="11"/>
  <c r="B2061" i="106" s="1"/>
  <c r="D2061" i="106" s="1"/>
  <c r="B2031" i="106"/>
  <c r="D2031" i="106" s="1"/>
  <c r="B3670" i="106"/>
  <c r="D3670" i="106" s="1"/>
  <c r="K352" i="29"/>
  <c r="B1381" i="106"/>
  <c r="D1381" i="106" s="1"/>
  <c r="B1317" i="106"/>
  <c r="D1317" i="106" s="1"/>
  <c r="L114" i="29"/>
  <c r="F41" i="108"/>
  <c r="G43" i="108" s="1"/>
  <c r="C114" i="29"/>
  <c r="B757" i="106" s="1"/>
  <c r="D757" i="106" s="1"/>
  <c r="B6025" i="106"/>
  <c r="D6025" i="106" s="1"/>
  <c r="H4" i="4"/>
  <c r="F274" i="5"/>
  <c r="F275" i="5"/>
  <c r="B5356" i="106"/>
  <c r="D5356" i="106" s="1"/>
  <c r="D4" i="4"/>
  <c r="B2564" i="106" s="1"/>
  <c r="D2564"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8" i="4" l="1"/>
  <c r="K13" i="4"/>
  <c r="B3572" i="106" s="1"/>
  <c r="D3572" i="106" s="1"/>
  <c r="B3672" i="106"/>
  <c r="D3672" i="106" s="1"/>
  <c r="K367" i="29"/>
  <c r="K368" i="29" s="1"/>
  <c r="B3681" i="106" s="1"/>
  <c r="D3681" i="106" s="1"/>
  <c r="E41" i="108"/>
  <c r="E44" i="108" s="1"/>
  <c r="E45" i="108" s="1"/>
  <c r="G41" i="108"/>
  <c r="G44" i="108" s="1"/>
  <c r="G45" i="108" s="1"/>
  <c r="B2655" i="106"/>
  <c r="D2655" i="106" s="1"/>
  <c r="H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K19" i="4" s="1"/>
  <c r="B4144" i="106" s="1"/>
  <c r="D4144" i="106" s="1"/>
  <c r="F76" i="34"/>
  <c r="B2658" i="106"/>
  <c r="D2658" i="106" s="1"/>
  <c r="H10" i="4"/>
  <c r="B4127" i="106" s="1"/>
  <c r="D4127"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B3576" i="106" s="1"/>
  <c r="D3576"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<sst xmlns="http://schemas.openxmlformats.org/spreadsheetml/2006/main" count="5373" uniqueCount="2226">
  <si>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</si>
  <si>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</si>
  <si>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</si>
  <si>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</si>
  <si>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</si>
  <si>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</si>
  <si>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</si>
  <si>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</si>
  <si>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</si>
  <si>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</si>
  <si>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</si>
  <si>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</si>
  <si>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</si>
  <si>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</si>
  <si>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</si>
  <si>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</si>
  <si>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</si>
  <si>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</si>
  <si>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</si>
  <si>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</si>
  <si>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</si>
  <si>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</si>
  <si>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</si>
  <si>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</si>
  <si>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</si>
  <si>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</si>
  <si>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</si>
  <si>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</si>
  <si>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</si>
  <si>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</si>
  <si>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</si>
  <si>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</si>
  <si>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</si>
  <si>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</si>
  <si>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</si>
  <si>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</si>
  <si>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</si>
  <si>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</si>
  <si>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</si>
  <si>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</si>
  <si>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</si>
  <si>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</si>
  <si>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</si>
  <si>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</si>
  <si>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</si>
  <si>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</si>
  <si>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</si>
  <si>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</si>
  <si>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</si>
  <si>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</si>
  <si>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</si>
  <si>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</si>
  <si>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</si>
  <si>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</si>
  <si>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</si>
  <si>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</si>
  <si>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</si>
  <si>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</si>
  <si>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</si>
  <si>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</si>
  <si>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</si>
  <si>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</si>
  <si>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</si>
  <si>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</si>
  <si>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</si>
  <si>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</si>
  <si>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</si>
  <si>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</si>
  <si>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</si>
  <si>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</si>
  <si>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</si>
  <si>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</si>
  <si>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</si>
  <si>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</si>
  <si>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</si>
  <si>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</si>
  <si>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</si>
  <si>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</si>
  <si>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</si>
  <si>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</si>
  <si>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</si>
  <si>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</si>
  <si>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</si>
  <si>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</si>
  <si>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</si>
  <si>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</si>
  <si>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</si>
  <si>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</si>
  <si>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</si>
  <si>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</si>
  <si>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</si>
  <si>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</si>
  <si>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</si>
  <si>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</si>
  <si>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</si>
  <si>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</si>
  <si>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</si>
  <si>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</si>
  <si>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</si>
  <si>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</si>
  <si>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</si>
  <si>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</si>
  <si>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</si>
  <si>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</si>
  <si>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</si>
  <si>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</si>
  <si>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</si>
  <si>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</si>
  <si>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</si>
  <si>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</si>
  <si>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</si>
  <si>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</si>
  <si>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</si>
  <si>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</si>
  <si>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</si>
  <si>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</si>
  <si>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</si>
  <si>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</si>
  <si>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</si>
  <si>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</si>
  <si>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</si>
  <si>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</si>
  <si>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</si>
  <si>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</si>
  <si>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</si>
  <si>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</si>
  <si>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</si>
  <si>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</si>
  <si>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</si>
  <si>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</si>
  <si>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</si>
  <si>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</si>
  <si>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</si>
  <si>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</si>
  <si>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</si>
  <si>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</si>
  <si>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</si>
  <si>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</si>
  <si>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</si>
  <si>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</si>
  <si>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</si>
  <si>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</si>
  <si>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</si>
  <si>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</si>
  <si>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</si>
  <si>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</si>
  <si>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</si>
  <si>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</si>
  <si>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</si>
  <si>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</si>
  <si>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</si>
  <si>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</si>
  <si>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</si>
  <si>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</si>
  <si>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</si>
  <si>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</si>
  <si>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</si>
  <si>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</si>
  <si>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</si>
  <si>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</si>
  <si>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</si>
  <si>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</si>
  <si>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</si>
  <si>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</si>
  <si>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</si>
  <si>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</si>
  <si>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</si>
  <si>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</si>
  <si>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</si>
  <si>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</si>
  <si>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</si>
  <si>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</si>
  <si>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</si>
  <si>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</si>
  <si>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</si>
  <si>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</si>
  <si>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</si>
  <si>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</si>
  <si>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</si>
  <si>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</si>
  <si>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</si>
  <si>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</si>
  <si>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</si>
  <si>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</si>
  <si>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</si>
  <si>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</si>
  <si>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</si>
  <si>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</si>
  <si>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</si>
  <si>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</si>
  <si>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</si>
  <si>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</si>
  <si>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</si>
  <si>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</si>
  <si>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</si>
  <si>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</si>
  <si>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</si>
  <si>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</si>
  <si>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</si>
  <si>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</si>
  <si>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</si>
  <si>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</si>
  <si>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</si>
  <si>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</si>
  <si>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</si>
  <si>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</si>
  <si>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</si>
  <si>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</si>
  <si>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</si>
  <si>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</si>
  <si>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</si>
  <si>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</si>
  <si>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</si>
  <si>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</si>
  <si>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</si>
  <si>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</si>
  <si>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</si>
  <si>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</si>
  <si>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</si>
  <si>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</si>
  <si>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</si>
  <si>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</si>
  <si>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</si>
  <si>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</si>
  <si>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</si>
  <si>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</si>
  <si>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</si>
  <si>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</si>
  <si>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</si>
  <si>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</si>
  <si>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</si>
  <si>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</si>
  <si>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</si>
  <si>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</si>
  <si>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</si>
  <si>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</si>
  <si>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</si>
  <si>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</si>
  <si>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</si>
  <si>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</si>
  <si>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</si>
  <si>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</si>
  <si>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</si>
  <si>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</si>
  <si>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</si>
  <si>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</si>
  <si>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</si>
  <si>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</si>
  <si>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</si>
  <si>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</si>
  <si>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</si>
  <si>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</si>
  <si>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</si>
  <si>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</si>
  <si>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</si>
  <si>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</si>
  <si>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</si>
  <si>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</si>
  <si>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</si>
  <si>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</si>
  <si>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</si>
  <si>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</si>
  <si>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</si>
  <si>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</si>
  <si>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</si>
  <si>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</si>
  <si>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</si>
  <si>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</si>
  <si>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</si>
  <si>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</si>
  <si>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</si>
  <si>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</si>
  <si>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</si>
  <si>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</si>
  <si>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</si>
  <si>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</si>
  <si>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</si>
  <si>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</si>
  <si>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</si>
  <si>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</si>
  <si>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</si>
  <si>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</si>
  <si>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</si>
  <si>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</si>
  <si>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</si>
  <si>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</si>
  <si>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</si>
  <si>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</si>
  <si>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</si>
  <si>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</si>
  <si>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</si>
  <si>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</si>
  <si>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</si>
  <si>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</si>
  <si>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</si>
  <si>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</si>
  <si>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</si>
  <si>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</si>
  <si>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</si>
  <si>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</si>
  <si>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</si>
  <si>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</si>
  <si>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</si>
  <si>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</si>
  <si>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</si>
  <si>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</si>
  <si>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</si>
  <si>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</si>
  <si>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</si>
  <si>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</si>
  <si>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</si>
  <si>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</si>
  <si>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</si>
  <si>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</si>
  <si>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</si>
  <si>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</si>
  <si>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</si>
  <si>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</si>
  <si>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</si>
  <si>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</si>
  <si>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</si>
  <si>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</si>
  <si>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</si>
  <si>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</si>
  <si>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</si>
  <si>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</si>
  <si>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</si>
  <si>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</si>
  <si>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</si>
  <si>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</si>
  <si>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</si>
  <si>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</si>
  <si>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</si>
  <si>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</si>
  <si>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</si>
  <si>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</si>
  <si>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</si>
  <si>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</si>
  <si>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</si>
  <si>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</si>
  <si>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</si>
  <si>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</si>
  <si>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</si>
  <si>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</si>
  <si>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</si>
  <si>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</si>
  <si>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</si>
  <si>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</si>
  <si>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</si>
  <si>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</si>
  <si>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</si>
  <si>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</si>
  <si>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</si>
  <si>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</si>
  <si>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</si>
  <si>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</si>
  <si>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</si>
  <si>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</si>
  <si>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</si>
  <si>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</si>
  <si>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</si>
  <si>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</si>
  <si>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</si>
  <si>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</si>
  <si>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</si>
  <si>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</si>
  <si>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</si>
  <si>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</si>
  <si>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</si>
  <si>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</si>
  <si>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</si>
  <si>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</si>
  <si>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</si>
  <si>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</si>
  <si>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</si>
  <si>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</si>
  <si>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</si>
  <si>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</si>
  <si>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</si>
  <si>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</si>
  <si>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</si>
  <si>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</si>
  <si>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</si>
  <si>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</si>
  <si>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</si>
  <si>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</si>
  <si>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</si>
  <si>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</si>
  <si>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</si>
  <si>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</si>
  <si>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</si>
  <si>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</si>
  <si>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</si>
  <si>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</si>
  <si>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</si>
  <si>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</si>
  <si>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</si>
  <si>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</si>
  <si>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</si>
  <si>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</si>
  <si>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</si>
  <si>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</si>
  <si>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</si>
  <si>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</si>
  <si>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</si>
  <si>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</si>
  <si>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</si>
  <si>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</si>
  <si>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</si>
  <si>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</si>
  <si>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</si>
  <si>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</si>
  <si>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</si>
  <si>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</si>
  <si>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</si>
  <si>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</si>
  <si>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</si>
  <si>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</si>
  <si>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</si>
  <si>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</si>
  <si>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</si>
  <si>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</si>
  <si>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</si>
  <si>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</si>
  <si>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</si>
  <si>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</si>
  <si>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</si>
  <si>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</si>
  <si>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</si>
  <si>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</si>
  <si>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</si>
  <si>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</si>
  <si>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</si>
  <si>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</si>
  <si>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</si>
  <si>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</si>
  <si>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</si>
  <si>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</si>
  <si>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</si>
  <si>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</si>
  <si>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</si>
  <si>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</si>
  <si>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</si>
  <si>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</si>
  <si>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</si>
  <si>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</si>
  <si>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</si>
  <si>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</si>
  <si>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</si>
  <si>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</si>
  <si>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</si>
  <si>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</si>
  <si>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</si>
  <si>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</si>
  <si>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</si>
  <si>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</si>
  <si>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</si>
  <si>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</si>
  <si>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</si>
  <si>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</si>
  <si>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</si>
  <si>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</si>
  <si>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</si>
  <si>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</si>
  <si>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</si>
  <si>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</si>
  <si>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</si>
  <si>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</si>
  <si>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</si>
  <si>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</si>
  <si>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</si>
  <si>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</si>
  <si>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</si>
  <si>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</si>
  <si>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</si>
  <si>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</si>
  <si>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</si>
  <si>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</si>
  <si>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</si>
  <si>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</si>
  <si>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</si>
  <si>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</si>
  <si>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</si>
  <si>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</si>
  <si>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</si>
  <si>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</si>
  <si>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</si>
  <si>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</si>
  <si>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</si>
  <si>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</si>
  <si>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</si>
  <si>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</si>
  <si>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</si>
  <si>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</si>
  <si>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</si>
  <si>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</si>
  <si>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</si>
  <si>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</si>
  <si>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</si>
  <si>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</si>
  <si>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</si>
  <si>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</si>
  <si>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</si>
  <si>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</si>
  <si>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</si>
  <si>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</si>
  <si>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</si>
  <si>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</si>
  <si>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</si>
  <si>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</si>
  <si>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</si>
  <si>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</si>
  <si>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</si>
  <si>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</si>
  <si>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</si>
  <si>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</si>
  <si>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</si>
  <si>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</si>
  <si>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</si>
  <si>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</si>
  <si>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</si>
  <si>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</si>
  <si>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</si>
  <si>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</si>
  <si>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</si>
  <si>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</si>
  <si>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</si>
  <si>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</si>
  <si>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</si>
  <si>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</si>
  <si>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</si>
  <si>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</si>
  <si>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</si>
  <si>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</si>
  <si>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</si>
  <si>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</si>
  <si>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</si>
  <si>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</si>
  <si>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</si>
  <si>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</si>
  <si>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</si>
  <si>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</si>
  <si>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</si>
  <si>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</si>
  <si>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</si>
  <si>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</si>
  <si>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</si>
  <si>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</si>
  <si>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</si>
  <si>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</si>
  <si>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</si>
  <si>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</si>
  <si>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</si>
  <si>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</si>
  <si>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</si>
  <si>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</si>
  <si>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</si>
  <si>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</si>
  <si>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</si>
  <si>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</si>
  <si>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</si>
  <si>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</si>
  <si>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</si>
  <si>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</si>
  <si>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</si>
  <si>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</si>
  <si>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</si>
  <si>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</si>
  <si>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</si>
  <si>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</si>
  <si>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</si>
  <si>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</si>
  <si>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</si>
  <si>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</si>
  <si>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</si>
  <si>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</si>
  <si>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</si>
  <si>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</si>
  <si>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</si>
  <si>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</si>
  <si>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</si>
  <si>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</si>
  <si>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</si>
  <si>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</si>
  <si>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</si>
  <si>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</si>
  <si>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</si>
  <si>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</si>
  <si>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</si>
  <si>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</si>
  <si>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</si>
  <si>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</si>
  <si>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</si>
  <si>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</si>
  <si>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</si>
  <si>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</si>
  <si>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</si>
  <si>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</si>
  <si>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</si>
  <si>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</si>
  <si>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</si>
  <si>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</si>
  <si>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</si>
  <si>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</si>
  <si>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</si>
  <si>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</si>
  <si>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</si>
  <si>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</si>
  <si>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</si>
  <si>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</si>
  <si>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</si>
  <si>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</si>
  <si>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</si>
  <si>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</si>
  <si>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</si>
  <si>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</si>
  <si>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</si>
  <si>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</si>
  <si>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</si>
  <si>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</si>
  <si>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</si>
  <si>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</si>
  <si>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</si>
  <si>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</si>
  <si>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</si>
  <si>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</si>
  <si>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</si>
  <si>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</si>
  <si>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</si>
  <si>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</si>
  <si>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</si>
  <si>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</si>
  <si>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</si>
  <si>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</si>
  <si>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</si>
  <si>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</si>
  <si>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</si>
  <si>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</si>
  <si>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</si>
  <si>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</si>
  <si>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</si>
  <si>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</si>
  <si>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</si>
  <si>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</si>
  <si>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</si>
  <si>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</si>
  <si>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</si>
  <si>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</si>
  <si>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</si>
  <si>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</si>
  <si>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</si>
  <si>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</si>
  <si>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</si>
  <si>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</si>
  <si>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</si>
  <si>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</si>
  <si>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</si>
  <si>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</si>
  <si>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</si>
  <si>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</si>
  <si>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</si>
  <si>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</si>
  <si>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</si>
  <si>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</si>
  <si>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</si>
  <si>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</si>
  <si>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</si>
  <si>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</si>
  <si>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</si>
  <si>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</si>
  <si>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</si>
  <si>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</si>
  <si>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</si>
  <si>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</si>
  <si>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</si>
  <si>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</si>
  <si>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</si>
  <si>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</si>
  <si>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</si>
  <si>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</si>
  <si>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</si>
  <si>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</si>
  <si>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</si>
  <si>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</si>
  <si>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</si>
  <si>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</si>
  <si>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</si>
  <si>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</si>
  <si>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</si>
  <si>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</si>
  <si>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</si>
  <si>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</si>
  <si>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</si>
  <si>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</si>
  <si>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</si>
  <si>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</si>
  <si>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</si>
  <si>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</si>
  <si>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</si>
  <si>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</si>
  <si>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</si>
  <si>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</si>
  <si>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</si>
  <si>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</si>
  <si>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</si>
  <si>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</si>
  <si>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</si>
  <si>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</si>
  <si>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</si>
  <si>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</si>
  <si>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</si>
  <si>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</si>
  <si>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</si>
  <si>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</si>
  <si>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</si>
  <si>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</si>
  <si>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</si>
  <si>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</si>
  <si>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</si>
  <si>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</si>
  <si>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</si>
  <si>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</si>
  <si>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</si>
  <si>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</si>
  <si>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</si>
  <si>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</si>
  <si>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</si>
  <si>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</si>
  <si>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</si>
  <si>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</si>
  <si>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</si>
  <si>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</si>
  <si>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</si>
  <si>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</si>
  <si>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</si>
  <si>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</si>
  <si>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</si>
  <si>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</si>
  <si>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</si>
  <si>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</si>
  <si>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</si>
  <si>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</si>
  <si>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</si>
  <si>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</si>
  <si>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</si>
  <si>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</si>
  <si>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</si>
  <si>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</si>
  <si>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</si>
  <si>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</si>
  <si>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</si>
  <si>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</si>
  <si>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</si>
  <si>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</si>
  <si>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</si>
  <si>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</si>
  <si>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</si>
  <si>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</si>
  <si>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</si>
  <si>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</si>
  <si>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</si>
  <si>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</si>
  <si>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</si>
  <si>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</si>
  <si>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</si>
  <si>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</si>
  <si>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</si>
  <si>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</si>
  <si>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</si>
  <si>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</si>
  <si>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</si>
  <si>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</si>
  <si>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</si>
  <si>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</si>
  <si>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</si>
  <si>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</si>
  <si>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</si>
  <si>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</si>
  <si>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</si>
  <si>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</si>
  <si>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</si>
  <si>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</si>
  <si>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</si>
  <si>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</si>
  <si>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</si>
  <si>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</si>
  <si>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</si>
  <si>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</si>
  <si>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</si>
  <si>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</si>
  <si>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</si>
  <si>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</si>
  <si>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</si>
  <si>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</si>
  <si>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</si>
  <si>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</si>
  <si>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</si>
  <si>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</si>
  <si>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</si>
  <si>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</si>
  <si>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</si>
  <si>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</si>
  <si>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</si>
  <si>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</si>
  <si>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</si>
  <si>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</si>
  <si>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</si>
  <si>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</si>
  <si>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</si>
  <si>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</si>
  <si>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</si>
  <si>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</si>
  <si>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</si>
  <si>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</si>
  <si>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</si>
  <si>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</si>
  <si>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</si>
  <si>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</si>
  <si>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</si>
  <si>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</si>
  <si>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</si>
  <si>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</si>
  <si>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</si>
  <si>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</si>
  <si>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</si>
  <si>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</si>
  <si>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</si>
  <si>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</si>
  <si>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</si>
  <si>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</si>
  <si>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</si>
  <si>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</si>
  <si>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</si>
  <si>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</si>
  <si>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</si>
  <si>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</si>
  <si>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</si>
  <si>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</si>
  <si>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</si>
  <si>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</si>
  <si>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</si>
  <si>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</si>
  <si>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</si>
  <si>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</si>
  <si>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</si>
  <si>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</si>
  <si>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</si>
  <si>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</si>
  <si>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</si>
  <si>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</si>
  <si>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</si>
  <si>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</si>
  <si>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</si>
  <si>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</si>
  <si>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</si>
  <si>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</si>
  <si>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</si>
  <si>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</si>
  <si>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</si>
  <si>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</si>
  <si>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</si>
  <si>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</si>
  <si>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</si>
  <si>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</si>
  <si>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</si>
  <si>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</si>
  <si>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</si>
  <si>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</si>
  <si>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</si>
  <si>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</si>
  <si>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</si>
  <si>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</si>
  <si>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</si>
  <si>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</si>
  <si>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</si>
  <si>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</si>
  <si>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</si>
  <si>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</si>
  <si>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</si>
  <si>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</si>
  <si>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</si>
  <si>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</si>
  <si>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</si>
  <si>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</si>
  <si>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</si>
  <si>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</si>
  <si>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</si>
  <si>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</si>
  <si>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</si>
  <si>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</si>
  <si>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</si>
  <si>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</si>
  <si>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</si>
  <si>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</si>
  <si>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</si>
  <si>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</si>
  <si>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</si>
  <si>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</si>
  <si>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</si>
  <si>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</si>
  <si>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</si>
  <si>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</si>
  <si>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</si>
  <si>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</si>
  <si>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</si>
  <si>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</si>
  <si>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</si>
  <si>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</si>
  <si>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</si>
  <si>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</si>
  <si>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</si>
  <si>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</si>
  <si>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</si>
  <si>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</si>
  <si>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</si>
  <si>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</si>
  <si>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</si>
  <si>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</si>
  <si>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</si>
  <si>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</si>
  <si>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</si>
  <si>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</si>
  <si>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</si>
  <si>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</si>
  <si>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</si>
  <si>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</si>
  <si>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</si>
  <si>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</si>
  <si>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</si>
  <si>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</si>
  <si>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</si>
  <si>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</si>
  <si>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</si>
  <si>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</si>
  <si>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</si>
  <si>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</si>
  <si>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</si>
  <si>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</si>
  <si>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</si>
  <si>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</si>
  <si>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</si>
  <si>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</si>
  <si>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</si>
  <si>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</si>
  <si>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</si>
  <si>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</si>
  <si>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</si>
  <si>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</si>
  <si>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</si>
  <si>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</si>
  <si>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</si>
  <si>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</si>
  <si>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</si>
  <si>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</si>
  <si>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</si>
  <si>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</si>
  <si>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</si>
  <si>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</si>
  <si>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</si>
  <si>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</si>
  <si>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</si>
  <si>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</si>
  <si>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</si>
  <si>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</si>
  <si>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</si>
  <si>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</si>
  <si>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</si>
  <si>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</si>
  <si>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</si>
  <si>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</si>
  <si>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</si>
  <si>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</si>
  <si>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</si>
  <si>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</si>
  <si>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</si>
  <si>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</si>
  <si>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</si>
  <si>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</si>
  <si>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</si>
  <si>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</si>
  <si>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</si>
  <si>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</si>
  <si>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</si>
  <si>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</si>
  <si>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</si>
  <si>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</si>
  <si>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</si>
  <si>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</si>
  <si>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</si>
  <si>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</si>
  <si>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</si>
  <si>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</si>
  <si>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</si>
  <si>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</si>
  <si>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</si>
  <si>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</si>
  <si>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</si>
  <si>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</si>
  <si>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</si>
  <si>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</si>
  <si>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</si>
  <si>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</si>
  <si>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</si>
  <si>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</si>
  <si>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</si>
  <si>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</si>
  <si>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</si>
  <si>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</si>
  <si>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</si>
  <si>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</si>
  <si>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</si>
  <si>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</si>
  <si>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</si>
  <si>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</si>
  <si>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</si>
  <si>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</si>
  <si>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</si>
  <si>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</si>
  <si>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</si>
  <si>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</si>
  <si>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</si>
  <si>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</si>
  <si>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</si>
  <si>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</si>
  <si>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</si>
  <si>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</si>
  <si>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</si>
  <si>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</si>
  <si>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</si>
  <si>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</si>
  <si>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</si>
  <si>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</si>
  <si>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</si>
  <si>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</si>
  <si>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</si>
  <si>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</si>
  <si>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</si>
  <si>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</si>
  <si>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</si>
  <si>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</si>
  <si>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</si>
  <si>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</si>
  <si>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</si>
  <si>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</si>
  <si>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</si>
  <si>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</si>
  <si>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</si>
  <si>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</si>
  <si>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</si>
  <si>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</si>
  <si>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</si>
  <si>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</si>
  <si>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</si>
  <si>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</si>
  <si>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</si>
  <si>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</si>
  <si>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</si>
  <si>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</si>
  <si>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</si>
  <si>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</si>
  <si>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</si>
  <si>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</si>
  <si>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</si>
  <si>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</si>
  <si>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</si>
  <si>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</si>
  <si>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</si>
  <si>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</si>
  <si>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</si>
  <si>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</si>
  <si>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</si>
  <si>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</si>
  <si>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</si>
  <si>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</si>
  <si>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</si>
  <si>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</si>
  <si>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</si>
  <si>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</si>
  <si>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</si>
  <si>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</si>
  <si>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</si>
  <si>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</si>
  <si>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</si>
  <si>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</si>
  <si>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</si>
  <si>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</si>
  <si>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</si>
  <si>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</si>
  <si>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</si>
  <si>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</si>
  <si>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</si>
  <si>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</si>
  <si>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</si>
  <si>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</si>
  <si>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</si>
  <si>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</si>
  <si>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</si>
  <si>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</si>
  <si>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</si>
  <si>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</si>
  <si>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</si>
  <si>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</si>
  <si>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</si>
  <si>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</si>
  <si>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</si>
  <si>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</si>
  <si>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</si>
  <si>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</si>
  <si>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</si>
  <si>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</si>
  <si>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</si>
  <si>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</si>
  <si>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</si>
  <si>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</si>
  <si>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</si>
  <si>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</si>
  <si>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</si>
  <si>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</si>
  <si>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</si>
  <si>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</si>
  <si>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</si>
  <si>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</si>
  <si>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</si>
  <si>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</si>
  <si>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</si>
  <si>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</si>
  <si>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</si>
  <si>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</si>
  <si>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</si>
  <si>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</si>
  <si>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</si>
  <si>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</si>
  <si>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</si>
  <si>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</si>
  <si>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</si>
  <si>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</si>
  <si>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</si>
  <si>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</si>
  <si>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</si>
  <si>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</si>
  <si>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</si>
  <si>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</si>
  <si>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</si>
  <si>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</si>
  <si>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</si>
  <si>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</si>
  <si>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</si>
  <si>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</si>
  <si>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</si>
  <si>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</si>
  <si>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</si>
  <si>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</si>
  <si>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</si>
  <si>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</si>
  <si>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</si>
  <si>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</si>
  <si>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</si>
  <si>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</si>
  <si>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</si>
  <si>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</si>
  <si>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</si>
  <si>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</si>
  <si>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</si>
  <si>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</si>
  <si>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</si>
  <si>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</si>
  <si>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</si>
  <si>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</si>
  <si>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</si>
  <si>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</si>
  <si>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</si>
  <si>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</si>
  <si>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</si>
  <si>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</si>
  <si>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</si>
  <si>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</si>
  <si>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</si>
  <si>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</si>
  <si>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</si>
  <si>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</si>
  <si>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</si>
  <si>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</si>
  <si>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</si>
  <si>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</si>
  <si>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</si>
  <si>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</si>
  <si>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</si>
  <si>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</si>
  <si>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</si>
  <si>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</si>
  <si>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</si>
  <si>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</si>
  <si>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</si>
  <si>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</si>
  <si>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</si>
  <si>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</si>
  <si>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</si>
  <si>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</si>
  <si>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</si>
  <si>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</si>
  <si>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</si>
  <si>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</si>
  <si>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</si>
  <si>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</si>
  <si>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</si>
  <si>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</si>
  <si>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</si>
  <si>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</si>
  <si>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</si>
  <si>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</si>
  <si>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</si>
  <si>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</si>
  <si>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</si>
  <si>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</si>
  <si>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</si>
  <si>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</si>
  <si>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</si>
  <si>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</si>
  <si>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</si>
  <si>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</si>
  <si>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</si>
  <si>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</si>
  <si>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</si>
  <si>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</si>
  <si>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</si>
  <si>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</si>
  <si>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</si>
  <si>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</si>
  <si>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</si>
  <si>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</si>
  <si>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</si>
  <si>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</si>
  <si>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</si>
  <si>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</si>
  <si>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</si>
  <si>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</si>
  <si>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</si>
  <si>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</si>
  <si>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</si>
  <si>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</si>
  <si>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</si>
  <si>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</si>
  <si>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</si>
  <si>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</si>
  <si>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</si>
  <si>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</si>
  <si>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</si>
  <si>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</si>
  <si>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</si>
  <si>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</si>
  <si>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</si>
  <si>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</si>
  <si>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</si>
  <si>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</si>
  <si>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</si>
  <si>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</si>
  <si>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</si>
  <si>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</si>
  <si>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</si>
  <si>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</si>
  <si>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</si>
  <si>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</si>
  <si>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</si>
  <si>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</si>
  <si>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</si>
  <si>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</si>
  <si>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</si>
  <si>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</si>
  <si>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</si>
  <si>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</si>
  <si>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</si>
  <si>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</si>
  <si>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</si>
  <si>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</si>
  <si>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</si>
  <si>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</si>
  <si>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</si>
  <si>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</si>
  <si>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</si>
  <si>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</si>
  <si>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</si>
  <si>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</si>
  <si>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</si>
  <si>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</si>
  <si>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</si>
  <si>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</si>
  <si>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</si>
  <si>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</si>
  <si>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</si>
  <si>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</si>
  <si>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</si>
  <si>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</si>
  <si>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</si>
  <si>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</si>
  <si>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</si>
  <si>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</si>
  <si>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</si>
  <si>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</si>
  <si>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</si>
  <si>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</si>
  <si>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</si>
  <si>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</si>
  <si>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</si>
  <si>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</si>
  <si>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</si>
  <si>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</si>
  <si>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</si>
  <si>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</si>
  <si>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</si>
  <si>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</si>
  <si>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</si>
  <si>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</si>
  <si>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</si>
  <si>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</si>
  <si>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</si>
  <si>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</si>
  <si>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</si>
  <si>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</si>
  <si>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</si>
  <si>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</si>
  <si>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</si>
  <si>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</si>
  <si>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</si>
  <si>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</si>
  <si>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</si>
  <si>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</si>
  <si>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</si>
  <si>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</si>
  <si>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</si>
  <si>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</si>
  <si>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</si>
  <si>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</si>
  <si>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</si>
  <si>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</si>
  <si>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</si>
  <si>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</si>
  <si>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</si>
  <si>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</si>
  <si>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</si>
  <si>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</si>
  <si>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</si>
  <si>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</si>
  <si>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</si>
  <si>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</si>
  <si>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</si>
  <si>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</si>
  <si>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</si>
  <si>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</si>
  <si>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</si>
  <si>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</si>
  <si>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</si>
  <si>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</si>
  <si>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</si>
  <si>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</si>
  <si>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</si>
  <si>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</si>
  <si>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</si>
  <si>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</si>
  <si>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</si>
  <si>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</si>
  <si>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</si>
  <si>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</si>
  <si>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</si>
  <si>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</si>
  <si>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</si>
  <si>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</si>
  <si>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</si>
  <si>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</si>
  <si>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</si>
  <si>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</si>
  <si>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</si>
  <si>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</si>
  <si>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</si>
  <si>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</si>
  <si>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</si>
  <si>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</si>
  <si>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</si>
  <si>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</si>
  <si>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</si>
  <si>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</si>
  <si>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</si>
  <si>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</si>
  <si>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</si>
  <si>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</si>
  <si>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</si>
  <si>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</si>
  <si>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</si>
  <si>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</si>
  <si>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</si>
  <si>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</si>
  <si>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</si>
  <si>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</si>
  <si>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</si>
  <si>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</si>
  <si>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</si>
  <si>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</si>
  <si>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</si>
  <si>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</si>
  <si>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</si>
  <si>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</si>
  <si>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</si>
  <si>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</si>
  <si>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</si>
  <si>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</si>
  <si>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</si>
  <si>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</si>
  <si>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</si>
  <si>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</si>
  <si>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</si>
  <si>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</si>
  <si>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</si>
  <si>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</si>
  <si>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</si>
  <si>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</si>
  <si>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</si>
  <si>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</si>
  <si>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</si>
  <si>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</si>
  <si>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</si>
  <si>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</si>
  <si>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</si>
  <si>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</si>
  <si>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</si>
  <si>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</si>
  <si>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</si>
  <si>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</si>
  <si>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</si>
  <si>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</si>
  <si>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</si>
  <si>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</si>
  <si>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</si>
  <si>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</si>
  <si>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</si>
  <si>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</si>
  <si>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</si>
  <si>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</si>
  <si>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</si>
  <si>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</si>
  <si>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</si>
  <si>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</si>
  <si>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</si>
  <si>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</si>
  <si>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</si>
  <si>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</si>
  <si>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</si>
  <si>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</si>
  <si>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</si>
  <si>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</si>
  <si>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</si>
  <si>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</si>
  <si>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</si>
  <si>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</si>
  <si>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</si>
  <si>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</si>
  <si>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</si>
  <si>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</si>
  <si>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</si>
  <si>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</si>
  <si>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</si>
  <si>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</si>
  <si>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</si>
  <si>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</si>
  <si>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</si>
  <si>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</si>
  <si>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</si>
  <si>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</si>
  <si>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</si>
  <si>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</si>
  <si>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</si>
  <si>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</si>
  <si>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</si>
  <si>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</si>
  <si>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</si>
  <si>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</si>
  <si>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</si>
  <si>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</si>
  <si>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</si>
  <si>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</si>
  <si>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</si>
  <si>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</si>
  <si>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</si>
  <si>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</si>
  <si>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</si>
  <si>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</si>
  <si>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</si>
  <si>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</si>
  <si>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</si>
  <si>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</si>
  <si>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</si>
  <si>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</si>
  <si>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</si>
  <si>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</si>
  <si>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</si>
  <si>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</si>
  <si>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</si>
  <si>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</si>
  <si>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</si>
  <si>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</si>
  <si>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</si>
  <si>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</si>
  <si>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</si>
  <si>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</si>
  <si>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</si>
  <si>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</si>
  <si>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</si>
  <si>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</si>
  <si>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</si>
  <si>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</si>
  <si>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</si>
  <si>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</si>
  <si>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</si>
  <si>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</si>
  <si>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</si>
  <si>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</si>
  <si>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</si>
  <si>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</si>
  <si>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</si>
  <si>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</si>
  <si>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</si>
  <si>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</si>
  <si>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</si>
  <si>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</si>
  <si>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</si>
  <si>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</si>
  <si>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</si>
  <si>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</si>
  <si>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</si>
  <si>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</si>
  <si>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</si>
  <si>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</si>
  <si>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</si>
  <si>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</si>
  <si>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</si>
  <si>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</si>
  <si>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</si>
  <si>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</si>
  <si>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</si>
  <si>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</si>
  <si>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</si>
  <si>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</si>
  <si>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</si>
  <si>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</si>
  <si>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</si>
  <si>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</si>
  <si>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</si>
  <si>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</si>
  <si>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</si>
  <si>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</si>
  <si>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</si>
  <si>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</si>
  <si>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</si>
  <si>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</si>
  <si>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</si>
  <si>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</si>
  <si>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</si>
  <si>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</si>
  <si>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</si>
  <si>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</si>
  <si>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</si>
  <si>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</si>
  <si>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</si>
  <si>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</si>
  <si>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</si>
  <si>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</si>
  <si>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</si>
  <si>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</si>
  <si>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</si>
  <si>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</si>
  <si>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</si>
  <si>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</si>
  <si>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</si>
  <si>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</si>
  <si>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</si>
  <si>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</si>
  <si>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</si>
  <si>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</si>
  <si>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</si>
  <si>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</si>
  <si>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</si>
  <si>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</si>
  <si>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</si>
  <si>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</si>
  <si>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</si>
  <si>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</si>
  <si>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</si>
  <si>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</si>
  <si>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</si>
  <si>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</si>
  <si>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</si>
  <si>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</si>
  <si>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</si>
  <si>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</si>
  <si>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</si>
  <si>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</si>
  <si>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</si>
  <si>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</si>
  <si>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</si>
  <si>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</si>
  <si>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</si>
  <si>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</si>
  <si>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</si>
  <si>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</si>
  <si>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</si>
  <si>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</si>
  <si>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</si>
  <si>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</si>
  <si>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</si>
  <si>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</si>
  <si>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</si>
  <si>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</si>
  <si>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</si>
  <si>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</si>
  <si>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</si>
  <si>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</si>
  <si>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</si>
  <si>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</si>
  <si>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</si>
  <si>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</si>
  <si>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</si>
  <si>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</si>
  <si>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</si>
  <si>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</si>
  <si>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</si>
  <si>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</si>
  <si>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</si>
  <si>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</si>
  <si>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</si>
  <si>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</si>
  <si>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</si>
  <si>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</si>
  <si>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</si>
  <si>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</si>
  <si>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</si>
  <si>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</si>
  <si>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</si>
  <si>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</si>
  <si>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</si>
  <si>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</si>
  <si>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</si>
  <si>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</si>
  <si>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</si>
  <si>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</si>
  <si>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</si>
  <si>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</si>
  <si>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</si>
  <si>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</si>
  <si>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</si>
  <si>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</si>
  <si>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</si>
  <si>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</si>
  <si>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</si>
  <si>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</si>
  <si>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</si>
  <si>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</si>
  <si>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</si>
  <si>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</si>
  <si>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</si>
  <si>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</si>
  <si>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</si>
  <si>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</si>
  <si>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</si>
  <si>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</si>
  <si>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</si>
  <si>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</si>
  <si>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</si>
  <si>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</si>
  <si>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</si>
  <si>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</si>
  <si>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</si>
  <si>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</si>
  <si>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</si>
  <si>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</si>
  <si>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</si>
  <si>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</si>
  <si>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</si>
  <si>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</si>
  <si>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</si>
  <si>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</si>
  <si>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</si>
  <si>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</si>
  <si>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</si>
  <si>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</si>
  <si>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</si>
  <si>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</si>
  <si>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</si>
  <si>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</si>
  <si>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</si>
  <si>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</si>
  <si>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</si>
  <si>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</si>
  <si>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</si>
  <si>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</si>
  <si>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</si>
  <si>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</si>
  <si>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</si>
  <si>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</si>
  <si>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</si>
  <si>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</si>
  <si>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</si>
  <si>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</si>
  <si>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</si>
  <si>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</si>
  <si>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</si>
  <si>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</si>
  <si>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</si>
  <si>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</si>
  <si>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</si>
  <si>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</si>
  <si>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</si>
  <si>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</si>
  <si>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</si>
  <si>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</si>
  <si>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</si>
  <si>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</si>
  <si>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</si>
  <si>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</si>
  <si>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</si>
  <si>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</si>
  <si>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</si>
  <si>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</si>
  <si>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</si>
  <si>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</si>
  <si>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</si>
  <si>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</si>
  <si>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</si>
  <si>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</si>
  <si>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</si>
  <si>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</si>
  <si>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</si>
  <si>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</si>
  <si>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</si>
  <si>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</si>
  <si>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</si>
  <si>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</si>
  <si>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</si>
  <si>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</si>
  <si>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</si>
  <si>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</si>
  <si>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</si>
  <si>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</si>
  <si>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</si>
  <si>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</si>
  <si>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</si>
  <si>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</si>
  <si>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</si>
  <si>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</si>
  <si>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</si>
  <si>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</si>
  <si>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</si>
  <si>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</si>
  <si>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</si>
  <si>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</si>
  <si>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</si>
  <si>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</si>
  <si>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</si>
  <si>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</si>
  <si>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</si>
  <si>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</si>
  <si>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</si>
  <si>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</si>
  <si>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</si>
  <si>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</si>
  <si>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</si>
  <si>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</si>
  <si>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</si>
  <si>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</si>
  <si>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</si>
  <si>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</si>
  <si>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</si>
  <si>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</si>
  <si>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</si>
  <si>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</si>
  <si>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</si>
  <si>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</si>
  <si>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</si>
  <si>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</si>
  <si>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</si>
  <si>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</si>
  <si>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</si>
  <si>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</si>
  <si>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</si>
  <si>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</si>
  <si>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</si>
  <si>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</si>
  <si>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</si>
  <si>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</si>
  <si>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</si>
  <si>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</si>
  <si>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</si>
  <si>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</si>
  <si>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</si>
  <si>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</si>
  <si>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</si>
  <si>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</si>
  <si>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</si>
  <si>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</si>
  <si>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</si>
  <si>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</si>
  <si>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</si>
  <si>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</si>
  <si>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</si>
  <si>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</si>
  <si>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</si>
  <si>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</si>
  <si>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</si>
  <si>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</si>
  <si>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</si>
  <si>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</si>
  <si>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</si>
  <si>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</si>
  <si>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</si>
  <si>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</si>
  <si>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</si>
  <si>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</si>
  <si>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</si>
  <si>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</si>
  <si>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</si>
  <si>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</si>
  <si>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</si>
  <si>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</si>
  <si>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</si>
  <si>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</si>
  <si>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</si>
  <si>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</si>
  <si>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</si>
  <si>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</si>
  <si>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</si>
  <si>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</si>
  <si>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</si>
  <si>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</si>
  <si>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</si>
  <si>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</si>
  <si>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</si>
  <si>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</si>
  <si>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</si>
  <si>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</si>
  <si>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</si>
  <si>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</si>
  <si>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</si>
  <si>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</si>
  <si>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</si>
  <si>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</si>
  <si>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</si>
  <si>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</si>
  <si>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</si>
  <si>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</si>
  <si>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</si>
  <si>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</si>
  <si>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</si>
  <si>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</si>
  <si>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</si>
  <si>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</si>
  <si>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</si>
  <si>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</si>
  <si>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</si>
  <si>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</si>
  <si>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</si>
  <si>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</si>
  <si>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</si>
  <si>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</si>
  <si>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</si>
  <si>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</si>
  <si>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</si>
  <si>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</si>
  <si>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</si>
  <si>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</si>
  <si>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</si>
  <si>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</si>
  <si>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</si>
  <si>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</si>
  <si>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</si>
  <si>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</si>
  <si>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</si>
  <si>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</si>
  <si>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</si>
  <si>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</si>
  <si>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</si>
  <si>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</si>
  <si>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</si>
  <si>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</si>
  <si>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</si>
  <si>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</si>
  <si>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</si>
  <si>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</si>
  <si>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</si>
  <si>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</si>
  <si>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</si>
  <si>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</si>
  <si>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</si>
  <si>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</si>
  <si>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</si>
  <si>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</si>
  <si>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</si>
  <si>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</si>
  <si>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</si>
  <si>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</si>
  <si>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</si>
  <si>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</si>
  <si>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</si>
  <si>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</si>
  <si>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</si>
  <si>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</si>
  <si>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</si>
  <si>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</si>
  <si>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</si>
  <si>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</si>
  <si>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</si>
  <si>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</si>
  <si>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</si>
  <si>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</si>
  <si>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</si>
  <si>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</si>
  <si>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</si>
  <si>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</si>
  <si>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</si>
  <si>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</si>
  <si>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</si>
  <si>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</si>
  <si>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</si>
  <si>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</si>
  <si>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</si>
  <si>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</si>
  <si>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</si>
  <si>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</si>
  <si>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</si>
  <si>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</si>
  <si>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</si>
  <si>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</si>
  <si>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</si>
  <si>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</si>
  <si>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</si>
  <si>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</si>
  <si>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</si>
  <si>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</si>
  <si>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</si>
  <si>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</si>
  <si>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</si>
  <si>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</si>
  <si>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</si>
  <si>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</si>
  <si>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</si>
  <si>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</si>
  <si>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</si>
  <si>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</si>
  <si>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</si>
  <si>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</si>
  <si>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</si>
  <si>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</si>
  <si>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</si>
  <si>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</si>
  <si>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</si>
  <si>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</si>
  <si>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</si>
  <si>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</si>
  <si>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</si>
  <si>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</si>
  <si>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</si>
  <si>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</si>
  <si>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</si>
  <si>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</si>
  <si>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</si>
  <si>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</si>
  <si>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</si>
  <si>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</si>
  <si>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</si>
  <si>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</si>
  <si>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</si>
  <si>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</si>
  <si>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</si>
  <si>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</si>
  <si>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</si>
  <si>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</si>
  <si>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</si>
  <si>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</si>
  <si>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</si>
  <si>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</si>
  <si>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</si>
  <si>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</si>
  <si>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</si>
  <si>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</si>
  <si>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</si>
  <si>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</si>
  <si>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</si>
  <si>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</si>
  <si>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</si>
  <si>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</si>
  <si>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</si>
  <si>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</si>
  <si>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</si>
  <si>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</si>
  <si>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</si>
  <si>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</si>
  <si>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</si>
  <si>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</si>
  <si>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</si>
  <si>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</si>
  <si>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</si>
  <si>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</si>
  <si>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</si>
  <si>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</si>
  <si>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</si>
  <si>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</si>
  <si>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</si>
  <si>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</si>
  <si>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</si>
  <si>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</si>
  <si>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</si>
  <si>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</si>
  <si>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</si>
  <si>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</si>
  <si>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</si>
  <si>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</si>
  <si>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</si>
  <si>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</si>
  <si>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</si>
  <si>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</si>
  <si>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</si>
  <si>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</si>
  <si>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</si>
  <si>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</si>
  <si>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</si>
  <si>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</si>
  <si>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</si>
  <si>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</si>
  <si>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</si>
  <si>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</si>
  <si>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</si>
  <si>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</si>
  <si>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</si>
  <si>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</si>
  <si>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</si>
  <si>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</si>
  <si>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</si>
  <si>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</si>
  <si>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</si>
  <si>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</si>
  <si>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</si>
  <si>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</si>
  <si>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</si>
  <si>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</si>
  <si>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</si>
  <si>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</si>
  <si>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</si>
  <si>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</si>
  <si>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</si>
  <si>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</si>
  <si>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</si>
  <si>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</si>
  <si>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</si>
  <si>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</si>
  <si>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</si>
  <si>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</si>
  <si>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</si>
  <si>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</si>
  <si>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</si>
  <si>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</si>
  <si>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</si>
  <si>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</si>
  <si>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</si>
  <si>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</si>
  <si>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</si>
  <si>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</si>
  <si>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</si>
  <si>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</si>
  <si>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</si>
  <si>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</si>
  <si>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</si>
  <si>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</si>
  <si>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</si>
  <si>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</si>
  <si>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</si>
  <si>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</si>
  <si>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</si>
  <si>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116 E. Washington Street, Suite One</t>
  </si>
  <si>
    <t>Morris</t>
  </si>
  <si>
    <t>IL</t>
  </si>
  <si>
    <t>066-005100</t>
  </si>
  <si>
    <t>tmack@mackcpas.com</t>
  </si>
  <si>
    <t>Mack &amp; Associates, P.C.</t>
  </si>
  <si>
    <t>Ball-Chatham Community Unit School District #5</t>
  </si>
  <si>
    <t>Chatham</t>
  </si>
  <si>
    <t>Mack &amp; Assoicates, P.C.</t>
  </si>
  <si>
    <t>PDF in Opinion Page with signature</t>
  </si>
  <si>
    <t>X</t>
  </si>
  <si>
    <t>Series 2010A</t>
  </si>
  <si>
    <t>Series 2010B</t>
  </si>
  <si>
    <t>Series 2012</t>
  </si>
  <si>
    <t>Series 2013</t>
  </si>
  <si>
    <t>Series 2014A</t>
  </si>
  <si>
    <t>Series 2014B</t>
  </si>
  <si>
    <t>Series 2014C</t>
  </si>
  <si>
    <t>Series 2015A</t>
  </si>
  <si>
    <t>Series 2015B</t>
  </si>
  <si>
    <t>Series 2015C</t>
  </si>
  <si>
    <t>Series 2016</t>
  </si>
  <si>
    <t>Sangamon</t>
  </si>
  <si>
    <t>201 W. Mulberry</t>
  </si>
  <si>
    <t>camontgomery@bcsd5.org</t>
  </si>
  <si>
    <t>Dr. Douglas Wood</t>
  </si>
  <si>
    <t>dwood@bcsd5.org</t>
  </si>
  <si>
    <t>(217) 483-2416</t>
  </si>
  <si>
    <t>(217) 483-2940</t>
  </si>
  <si>
    <t>Tawnya R. Mack, CPA</t>
  </si>
  <si>
    <t>(815) 942-3306</t>
  </si>
  <si>
    <t>(815) 942-9430</t>
  </si>
  <si>
    <t>x</t>
  </si>
  <si>
    <t>Rochester CUSD 3A</t>
  </si>
  <si>
    <t>CACC</t>
  </si>
  <si>
    <t>Page 5, Line 12 - Operations &amp; Maintenance Fund:  Payroll items paid in advance of employee withholdings.</t>
  </si>
  <si>
    <t>Page 10, Line 81 - Educational Fund:  Athletic participation fees.</t>
  </si>
  <si>
    <t>Page 10, Line 91 - Educational Fund:  Sales of physical education uniforms and locks.</t>
  </si>
  <si>
    <t>Page 11, Line 107 - Educational Fund:  RevTrack fees collected, and other miscellaneous receipts.</t>
  </si>
  <si>
    <t>Page 11, Line 107 - Operations &amp; Maintenance Fund:  Other miscellaneous receipts.</t>
  </si>
  <si>
    <t>Page 11, Line 107 - Transportation Fund:  Refunds, insurance reimbursements, and other miscellaneous receipts.</t>
  </si>
  <si>
    <t>Page 14, Line 272 - Educational Fund:  STEP Grant received.</t>
  </si>
  <si>
    <t>Page 15, Line 41 - Educational Fund:  Expenditures for physical therapy, vision, and hearing services.</t>
  </si>
  <si>
    <t>Page 16, Line 56 - Educational Fund:  Expenditures of the human resources department.</t>
  </si>
  <si>
    <t>Page 16, Line 83 - Educational Fund:  Repayment of prior year grant expenditures to ISBE.</t>
  </si>
  <si>
    <t>Page 18, Line 165 - Debt Services Fund:  Repayment of prior year Build American Bond interest credit.</t>
  </si>
  <si>
    <t>Page 19, Line 231 - IMRF &amp; SS Fund:  Employee benefits for physical therapy, vision, and hearing services employees.</t>
  </si>
  <si>
    <t>Page 20, Line 254 - IMRF &amp; SS Fund:  Employee benefits for human resources department employees.</t>
  </si>
  <si>
    <r>
      <t xml:space="preserve">The accompanying Schedule of Expenditures of Federal Awards includes the federal grant activity of </t>
    </r>
    <r>
      <rPr>
        <b/>
        <sz val="9"/>
        <rFont val="Calibri"/>
        <family val="2"/>
        <scheme val="minor"/>
      </rPr>
      <t>Ball-Chatham CUSD #5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</si>
  <si>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Of the federal expenditures presented in the schedule, </t>
    </r>
    <r>
      <rPr>
        <b/>
        <sz val="9"/>
        <rFont val="Calibri"/>
        <family val="2"/>
        <scheme val="minor"/>
      </rPr>
      <t>Ball-Chatham CUSD #5</t>
    </r>
    <r>
      <rPr>
        <sz val="9"/>
        <rFont val="Calibri"/>
        <family val="2"/>
        <scheme val="minor"/>
      </rPr>
      <t xml:space="preserve"> provided federal awards to subrecipients as follows:</t>
    </r>
  </si>
  <si>
    <t>None</t>
  </si>
  <si>
    <t>n/a</t>
  </si>
  <si>
    <r>
      <t xml:space="preserve">The following amounts were expended in the form of non-cash assistance by </t>
    </r>
    <r>
      <rPr>
        <b/>
        <sz val="9"/>
        <rFont val="Calibri"/>
        <family val="2"/>
        <scheme val="minor"/>
      </rPr>
      <t>Ball-Chatham CUSD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</si>
  <si>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</si>
  <si>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 xml:space="preserve">  PASSED THROUGH ISBE:</t>
  </si>
  <si>
    <t xml:space="preserve">    TITLE I - LOW INCOME - 2017</t>
  </si>
  <si>
    <t>84.010A</t>
  </si>
  <si>
    <t>2017-4300</t>
  </si>
  <si>
    <t xml:space="preserve">    TITLE I - LOW INCOME - 2018</t>
  </si>
  <si>
    <t>2018-4300</t>
  </si>
  <si>
    <t xml:space="preserve">      TOTAL TITLE I - LOW INCOME</t>
  </si>
  <si>
    <t>84.367A</t>
  </si>
  <si>
    <t>2017-4932</t>
  </si>
  <si>
    <t xml:space="preserve">    TITLE II - TEACHER QUALITY - 2017</t>
  </si>
  <si>
    <t xml:space="preserve">    TITLE II - TEACHER QUALITY - 2018</t>
  </si>
  <si>
    <t>2018-4932</t>
  </si>
  <si>
    <t xml:space="preserve">      TOTAL TITLE II - TEACHER QUALITY</t>
  </si>
  <si>
    <t xml:space="preserve">    SPECIAL EDUCATION CLUSTER (M):</t>
  </si>
  <si>
    <t xml:space="preserve">      IDEA - SPECIAL EDUCATION FLOW-THRU 2017</t>
  </si>
  <si>
    <t>84.027A</t>
  </si>
  <si>
    <t>2017-4620</t>
  </si>
  <si>
    <t xml:space="preserve">      IDEA - SPECIAL EDUCATION FLOW-THRU 2018</t>
  </si>
  <si>
    <t>2018-4620</t>
  </si>
  <si>
    <t xml:space="preserve">      IDEA - SPECIAL EDUCATION - ROOM &amp; BOARD 2017</t>
  </si>
  <si>
    <t>2017-4625</t>
  </si>
  <si>
    <t>N/A</t>
  </si>
  <si>
    <t xml:space="preserve">      IDEA - SPECIAL EDUCATION - ROOM &amp; BOARD 2018</t>
  </si>
  <si>
    <t>2018-4625</t>
  </si>
  <si>
    <t>US DEPARTMENT OF EDUCATION (CONT):</t>
  </si>
  <si>
    <t xml:space="preserve">  PASSED THROUGH ISBE (CONT):</t>
  </si>
  <si>
    <t xml:space="preserve">        TOTAL IDEA</t>
  </si>
  <si>
    <t xml:space="preserve">    SPECIAL EDUCATION CLUSTER (M) (CONT):</t>
  </si>
  <si>
    <t xml:space="preserve">      IDEA - SPEC. ED. - PRESCHOOL 2017</t>
  </si>
  <si>
    <t>84.173A</t>
  </si>
  <si>
    <t>2017-4600</t>
  </si>
  <si>
    <t xml:space="preserve">      IDEA - SPEC. ED. - PRESCHOOL 2018</t>
  </si>
  <si>
    <t>2018-4600</t>
  </si>
  <si>
    <t xml:space="preserve">        TOTAL IDEA PRESCHOOL</t>
  </si>
  <si>
    <t xml:space="preserve">    TOTAL SPECIAL EDUCATION CLUSTER</t>
  </si>
  <si>
    <t>TOTAL US DEPARTMENT OF EDUCATION</t>
  </si>
  <si>
    <t xml:space="preserve">  TOTAL PASSED THROUGH ISBE</t>
  </si>
  <si>
    <t xml:space="preserve">  PASSED THROUGH IL DHS:</t>
  </si>
  <si>
    <t xml:space="preserve">  STEP  - VR GRANT</t>
  </si>
  <si>
    <t>2018-4999</t>
  </si>
  <si>
    <t>US DEPARTMENT OF AGRICULTURE:</t>
  </si>
  <si>
    <t xml:space="preserve">    PASSED THROUGH U.S. DoD:</t>
  </si>
  <si>
    <t xml:space="preserve">      COMMODITY CREDIT</t>
  </si>
  <si>
    <t>2018-4250</t>
  </si>
  <si>
    <t xml:space="preserve">    PASSED THROUGH ISBE:</t>
  </si>
  <si>
    <t>2017-4210</t>
  </si>
  <si>
    <t xml:space="preserve">      NATIONAL SCHOOL LUNCH PROGRAM - 2018</t>
  </si>
  <si>
    <t xml:space="preserve">      NATIONAL SCHOOL LUNCH PROGRAM - 2017</t>
  </si>
  <si>
    <t>2018-4210</t>
  </si>
  <si>
    <t xml:space="preserve">    TOTAL NATIONAL SCHOOL LUNCH PROGRAM</t>
  </si>
  <si>
    <t>BUILD AMERICA BOND INTEREST REIMBURSEMENT</t>
  </si>
  <si>
    <t>2017-4215</t>
  </si>
  <si>
    <t xml:space="preserve">      SPECIAL MILK PROGRAM - 2017</t>
  </si>
  <si>
    <t xml:space="preserve">      SPECIAL MILK PROGRAM - 2018</t>
  </si>
  <si>
    <t>2018-4215</t>
  </si>
  <si>
    <t xml:space="preserve">    TOTAL SPECIAL MILK PROGRAM</t>
  </si>
  <si>
    <t xml:space="preserve">      SCHOOL BREAKFAST PROGRAM - 2017</t>
  </si>
  <si>
    <t>2017-4220</t>
  </si>
  <si>
    <t xml:space="preserve">      SCHOOL BREAKFAST PROGRAM - 2018</t>
  </si>
  <si>
    <t>2018-4220</t>
  </si>
  <si>
    <t xml:space="preserve">    TOTAL SCHOOL BREAKFAST PROGRAM</t>
  </si>
  <si>
    <t xml:space="preserve">    TOTAL PASSED THROUGH ISBE</t>
  </si>
  <si>
    <t>TOTAL US DEPARTMENT OF AGRICULTURE</t>
  </si>
  <si>
    <t>US DEPARTMENT OF HEALTH &amp; HUMAN SERV:</t>
  </si>
  <si>
    <t xml:space="preserve">  PASSED THROUGH IL DCHFS:</t>
  </si>
  <si>
    <t xml:space="preserve">    MEDICAL ASSISTANCE PROGRAM - 2017</t>
  </si>
  <si>
    <t>2017-4991</t>
  </si>
  <si>
    <t xml:space="preserve">    MEDICAL ASSISTANCE PROGRAM - 2018</t>
  </si>
  <si>
    <t>2018-4991</t>
  </si>
  <si>
    <t>TOTAL US DEPARTMENT OF HEALTH &amp; FAMILY SVC.</t>
  </si>
  <si>
    <t>TOTAL FEDERAL AWARDS</t>
  </si>
  <si>
    <t xml:space="preserve">  CHILD NUTRITION CLUSTER (M):</t>
  </si>
  <si>
    <t>ADVERSE</t>
  </si>
  <si>
    <t>UNMODIFIED</t>
  </si>
  <si>
    <t>84.027A; 84.173A</t>
  </si>
  <si>
    <t>SPECIAL EDUCATION CLUSTER (IDEA)</t>
  </si>
  <si>
    <t>10.555; 10.556; 10.553</t>
  </si>
  <si>
    <t>CHILD NUTRITION CLUSTER</t>
  </si>
  <si>
    <t>NONE</t>
  </si>
  <si>
    <t>O&amp;M - O&amp;M PLANT - PURCHASED SERVICES</t>
  </si>
  <si>
    <t>20-2540-300</t>
  </si>
  <si>
    <t>BACON &amp; VAN BUSKIRK GLASS CO</t>
  </si>
  <si>
    <t>DE SIGNS UNLIMITED</t>
  </si>
  <si>
    <t>DUDE SOLUTIONS</t>
  </si>
  <si>
    <t>ENVIRONMENTAL CONSULTANTS, LLC</t>
  </si>
  <si>
    <t>GEORGE ALARM COMPANY, INC.</t>
  </si>
  <si>
    <t>HENSON ROBINSON COMPANY</t>
  </si>
  <si>
    <t>MENDHALL CONSTRUCTION, INC.</t>
  </si>
  <si>
    <t>SABLOTNY FLOORS</t>
  </si>
  <si>
    <t>TAFT APPRAISAL</t>
  </si>
  <si>
    <t>THERMAL MECHANICS, INC.</t>
  </si>
  <si>
    <t>ED - STAFF SERVICES - PURCHASED SERVICES</t>
  </si>
  <si>
    <t>10-2640-300</t>
  </si>
  <si>
    <t>MEMORIAL EMPLOYEE ASSISTANCE</t>
  </si>
  <si>
    <t>AMERICAN CENTRAL INSURANCE</t>
  </si>
  <si>
    <t>ED - DATA PROCESSING - PURCHASED SERVICES</t>
  </si>
  <si>
    <t>10-2660-300</t>
  </si>
  <si>
    <t>SENTINEL TECHNOLOGIES</t>
  </si>
  <si>
    <t>HEAR TECHNOLOGIES,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</si>
</sst>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ADF11FEC-2790-42F5-8127-23975927A7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2083</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t="s">
        <v>2083</v>
      </c>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3">
        <v>51084005026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2095</v>
      </c>
      <c r="B15" s="2006"/>
      <c r="C15" s="2006"/>
      <c r="D15" s="2006"/>
      <c r="E15" s="2006"/>
      <c r="F15" s="2006"/>
      <c r="G15" s="2006"/>
      <c r="H15" s="2007"/>
      <c r="T15" s="1969" t="s">
        <v>2102</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2079</v>
      </c>
      <c r="B17" s="2031"/>
      <c r="C17" s="2031"/>
      <c r="D17" s="2031"/>
      <c r="E17" s="2031"/>
      <c r="F17" s="2031"/>
      <c r="G17" s="2031"/>
      <c r="H17" s="2032"/>
      <c r="T17" s="2018" t="s">
        <v>2073</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2096</v>
      </c>
      <c r="B19" s="2002"/>
      <c r="C19" s="2002"/>
      <c r="D19" s="2002"/>
      <c r="E19" s="2002"/>
      <c r="F19" s="2002"/>
      <c r="G19" s="2002"/>
      <c r="H19" s="2000"/>
      <c r="I19" s="30"/>
      <c r="J19" s="99"/>
      <c r="K19" s="40"/>
      <c r="L19" s="38"/>
      <c r="M19" s="112" t="s">
        <v>332</v>
      </c>
      <c r="P19" s="27"/>
      <c r="Q19" s="27"/>
      <c r="R19" s="27"/>
      <c r="S19" s="31"/>
      <c r="T19" s="2001" t="s">
        <v>2074</v>
      </c>
      <c r="U19" s="1999"/>
      <c r="V19" s="1999"/>
      <c r="W19" s="2000"/>
      <c r="X19" s="2016" t="s">
        <v>2075</v>
      </c>
      <c r="Y19" s="2017"/>
      <c r="Z19" s="2014">
        <v>60450</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2080</v>
      </c>
      <c r="B21" s="1999"/>
      <c r="C21" s="1999"/>
      <c r="D21" s="1999"/>
      <c r="E21" s="1999"/>
      <c r="F21" s="1999"/>
      <c r="G21" s="1999"/>
      <c r="H21" s="2000"/>
      <c r="I21" s="2024" t="s">
        <v>698</v>
      </c>
      <c r="J21" s="1987"/>
      <c r="K21" s="1987"/>
      <c r="L21" s="1987"/>
      <c r="M21" s="1987"/>
      <c r="N21" s="1987"/>
      <c r="O21" s="1987"/>
      <c r="P21" s="1987"/>
      <c r="Q21" s="1987"/>
      <c r="R21" s="1987"/>
      <c r="S21" s="1988"/>
      <c r="T21" s="1966" t="s">
        <v>2103</v>
      </c>
      <c r="U21" s="1967"/>
      <c r="V21" s="1967"/>
      <c r="W21" s="1967"/>
      <c r="X21" s="1980" t="s">
        <v>2104</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2097</v>
      </c>
      <c r="B23" s="2022"/>
      <c r="C23" s="2022"/>
      <c r="D23" s="2022"/>
      <c r="E23" s="2022"/>
      <c r="F23" s="2022"/>
      <c r="G23" s="2022"/>
      <c r="H23" s="2023"/>
      <c r="T23" s="1961" t="s">
        <v>2076</v>
      </c>
      <c r="U23" s="1962"/>
      <c r="V23" s="1962"/>
      <c r="W23" s="1962"/>
      <c r="X23" s="1977">
        <v>43434</v>
      </c>
      <c r="Y23" s="1978"/>
      <c r="Z23" s="1978"/>
      <c r="AA23" s="1979"/>
    </row>
    <row r="24" spans="1:27" ht="14.1" customHeight="1" x14ac:dyDescent="0.2">
      <c r="A24" s="88" t="s">
        <v>697</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62629</v>
      </c>
      <c r="B25" s="1999"/>
      <c r="C25" s="1999"/>
      <c r="D25" s="1999"/>
      <c r="E25" s="1999"/>
      <c r="F25" s="1999"/>
      <c r="G25" s="1999"/>
      <c r="H25" s="2000"/>
      <c r="I25" s="113"/>
      <c r="J25" s="2065"/>
      <c r="K25" s="2065"/>
      <c r="L25" s="2065"/>
      <c r="M25" s="2065"/>
      <c r="N25" s="2065"/>
      <c r="O25" s="2065"/>
      <c r="P25" s="2065"/>
      <c r="Q25" s="2065"/>
      <c r="R25" s="2065"/>
      <c r="S25" s="2066"/>
      <c r="T25" s="1958" t="s">
        <v>2077</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2083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2083</v>
      </c>
      <c r="C30" s="124" t="s">
        <v>1225</v>
      </c>
      <c r="D30" s="28"/>
      <c r="E30" s="28"/>
      <c r="F30" s="140"/>
      <c r="G30" s="114"/>
      <c r="H30" s="114"/>
      <c r="I30" s="54"/>
      <c r="J30" s="148" t="s">
        <v>2083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2083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2083</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t="s">
        <v>2098</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t="s">
        <v>2099</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t="s">
        <v>2100</v>
      </c>
      <c r="B42" s="2048"/>
      <c r="C42" s="2049"/>
      <c r="D42" s="2062" t="s">
        <v>2101</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7" sqref="C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1901</v>
      </c>
      <c r="B2" s="1550" t="s">
        <v>2031</v>
      </c>
      <c r="C2" s="715" t="s">
        <v>1906</v>
      </c>
      <c r="D2" s="715" t="s">
        <v>1907</v>
      </c>
      <c r="E2" s="715" t="s">
        <v>1908</v>
      </c>
      <c r="F2" s="715" t="s">
        <v>1909</v>
      </c>
    </row>
    <row r="3" spans="1:6" ht="12" customHeight="1" x14ac:dyDescent="0.2">
      <c r="A3" s="2201"/>
      <c r="B3" s="1547"/>
      <c r="C3" s="1548"/>
      <c r="D3" s="1549" t="s">
        <v>274</v>
      </c>
      <c r="E3" s="1548"/>
      <c r="F3" s="1549" t="s">
        <v>275</v>
      </c>
    </row>
    <row r="4" spans="1:6" ht="13.7" customHeight="1" x14ac:dyDescent="0.2">
      <c r="A4" s="716" t="s">
        <v>1216</v>
      </c>
      <c r="B4" s="1771">
        <f>'Revenues 9-14'!C5</f>
        <v>21950231</v>
      </c>
      <c r="C4" s="1546">
        <f>8313380+2936484</f>
        <v>11249864</v>
      </c>
      <c r="D4" s="1774">
        <f>B4-C4</f>
        <v>10700367</v>
      </c>
      <c r="E4" s="1546">
        <v>21191842</v>
      </c>
      <c r="F4" s="1774">
        <f>E4-C4</f>
        <v>9941978</v>
      </c>
    </row>
    <row r="5" spans="1:6" ht="13.7" customHeight="1" x14ac:dyDescent="0.2">
      <c r="A5" s="716" t="s">
        <v>924</v>
      </c>
      <c r="B5" s="1772">
        <f>'Revenues 9-14'!D5</f>
        <v>4231052</v>
      </c>
      <c r="C5" s="585">
        <f>1638585+578787</f>
        <v>2217372</v>
      </c>
      <c r="D5" s="1775">
        <f t="shared" ref="D5:D18" si="0">B5-C5</f>
        <v>2013680</v>
      </c>
      <c r="E5" s="585">
        <v>4176956</v>
      </c>
      <c r="F5" s="1775">
        <f>E5-C5</f>
        <v>1959584</v>
      </c>
    </row>
    <row r="6" spans="1:6" ht="13.7" customHeight="1" x14ac:dyDescent="0.2">
      <c r="A6" s="716" t="s">
        <v>430</v>
      </c>
      <c r="B6" s="1772">
        <f>'Revenues 9-14'!E5</f>
        <v>5391840</v>
      </c>
      <c r="C6" s="585">
        <f>13346565+4714325-15307050</f>
        <v>2753840</v>
      </c>
      <c r="D6" s="1775">
        <f t="shared" si="0"/>
        <v>2638000</v>
      </c>
      <c r="E6" s="585">
        <v>5187635</v>
      </c>
      <c r="F6" s="1775">
        <f t="shared" ref="F6:F18" si="1">E6-C6</f>
        <v>2433795</v>
      </c>
    </row>
    <row r="7" spans="1:6" ht="13.7" customHeight="1" x14ac:dyDescent="0.2">
      <c r="A7" s="716" t="s">
        <v>157</v>
      </c>
      <c r="B7" s="1772">
        <f>'Revenues 9-14'!F5</f>
        <v>1477955</v>
      </c>
      <c r="C7" s="585">
        <f>559915+197775</f>
        <v>757690</v>
      </c>
      <c r="D7" s="1775">
        <f t="shared" si="0"/>
        <v>720265</v>
      </c>
      <c r="E7" s="585">
        <v>1427294</v>
      </c>
      <c r="F7" s="1775">
        <f t="shared" si="1"/>
        <v>669604</v>
      </c>
    </row>
    <row r="8" spans="1:6" ht="13.7" customHeight="1" x14ac:dyDescent="0.2">
      <c r="A8" s="716" t="s">
        <v>1240</v>
      </c>
      <c r="B8" s="1772">
        <f>'Revenues 9-14'!G5</f>
        <v>774232</v>
      </c>
      <c r="C8" s="585">
        <f>293275+103591</f>
        <v>396866</v>
      </c>
      <c r="D8" s="1775">
        <f t="shared" si="0"/>
        <v>377366</v>
      </c>
      <c r="E8" s="585">
        <v>747593</v>
      </c>
      <c r="F8" s="1775">
        <f t="shared" si="1"/>
        <v>350727</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120265</v>
      </c>
      <c r="C10" s="585">
        <f>45701+16143</f>
        <v>61844</v>
      </c>
      <c r="D10" s="1775">
        <f t="shared" si="0"/>
        <v>58421</v>
      </c>
      <c r="E10" s="585">
        <v>116498</v>
      </c>
      <c r="F10" s="1775">
        <f t="shared" si="1"/>
        <v>54654</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94927</v>
      </c>
      <c r="C12" s="585"/>
      <c r="D12" s="1775">
        <f t="shared" si="0"/>
        <v>94927</v>
      </c>
      <c r="E12" s="585"/>
      <c r="F12" s="1775">
        <f t="shared" si="1"/>
        <v>0</v>
      </c>
    </row>
    <row r="13" spans="1:6" ht="13.7" customHeight="1" x14ac:dyDescent="0.2">
      <c r="A13" s="716" t="s">
        <v>992</v>
      </c>
      <c r="B13" s="1772">
        <f>SUM('Revenues 9-14'!C6:D6)</f>
        <v>158284</v>
      </c>
      <c r="C13" s="585">
        <f>59956+21167</f>
        <v>81123</v>
      </c>
      <c r="D13" s="1775">
        <f t="shared" si="0"/>
        <v>77161</v>
      </c>
      <c r="E13" s="585">
        <v>152759</v>
      </c>
      <c r="F13" s="1775">
        <f t="shared" si="1"/>
        <v>71636</v>
      </c>
    </row>
    <row r="14" spans="1:6" ht="13.7" customHeight="1" x14ac:dyDescent="0.2">
      <c r="A14" s="716" t="s">
        <v>429</v>
      </c>
      <c r="B14" s="1772">
        <f>SUM('Revenues 9-14'!C7:D7,'Revenues 9-14'!F7:H7)</f>
        <v>158284</v>
      </c>
      <c r="C14" s="585">
        <v>81123</v>
      </c>
      <c r="D14" s="1775">
        <f t="shared" si="0"/>
        <v>77161</v>
      </c>
      <c r="E14" s="585">
        <v>152759</v>
      </c>
      <c r="F14" s="1775">
        <f t="shared" si="1"/>
        <v>71636</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899665</v>
      </c>
      <c r="C16" s="585">
        <f>340792+120376</f>
        <v>461168</v>
      </c>
      <c r="D16" s="1775">
        <f t="shared" si="0"/>
        <v>438497</v>
      </c>
      <c r="E16" s="585">
        <v>868720</v>
      </c>
      <c r="F16" s="1775">
        <f t="shared" si="1"/>
        <v>407552</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35256735</v>
      </c>
      <c r="C19" s="1773">
        <f>SUM(C4:C18)</f>
        <v>18060890</v>
      </c>
      <c r="D19" s="1773">
        <f>SUM(D4:D18)</f>
        <v>17195845</v>
      </c>
      <c r="E19" s="1773">
        <f>SUM(E4:E18)</f>
        <v>34022056</v>
      </c>
      <c r="F19" s="1773">
        <f>SUM(F4:F18)</f>
        <v>15961166</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J31" sqref="J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2"/>
    </row>
    <row r="2" spans="1:7" ht="33.75" x14ac:dyDescent="0.2">
      <c r="A2" s="2215" t="s">
        <v>1901</v>
      </c>
      <c r="B2" s="2216"/>
      <c r="C2" s="1908" t="s">
        <v>2032</v>
      </c>
      <c r="D2" s="724" t="s">
        <v>2039</v>
      </c>
      <c r="E2" s="724" t="s">
        <v>2040</v>
      </c>
      <c r="F2" s="1908" t="s">
        <v>2033</v>
      </c>
    </row>
    <row r="3" spans="1:7" ht="15.75" customHeight="1" x14ac:dyDescent="0.2">
      <c r="A3" s="2219" t="s">
        <v>1175</v>
      </c>
      <c r="B3" s="2220"/>
      <c r="C3" s="2208"/>
      <c r="D3" s="2209"/>
      <c r="E3" s="2209"/>
      <c r="F3" s="2210"/>
    </row>
    <row r="4" spans="1:7" ht="12.75" customHeight="1" thickBot="1" x14ac:dyDescent="0.25">
      <c r="A4" s="2217" t="s">
        <v>650</v>
      </c>
      <c r="B4" s="2218"/>
      <c r="C4" s="581"/>
      <c r="D4" s="581"/>
      <c r="E4" s="581"/>
      <c r="F4" s="1777">
        <f>SUM(C4+D4)-E4</f>
        <v>0</v>
      </c>
    </row>
    <row r="5" spans="1:7" ht="15.75" customHeight="1" thickTop="1" x14ac:dyDescent="0.2">
      <c r="A5" s="2202" t="s">
        <v>1171</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4" t="s">
        <v>651</v>
      </c>
      <c r="B15" s="2205"/>
      <c r="C15" s="1777">
        <f>SUM(C6:C14)</f>
        <v>0</v>
      </c>
      <c r="D15" s="1777">
        <f>SUM(D6:D14)</f>
        <v>0</v>
      </c>
      <c r="E15" s="1777">
        <f>SUM(E6:E14)</f>
        <v>0</v>
      </c>
      <c r="F15" s="1777">
        <f>SUM(F6:F14)</f>
        <v>0</v>
      </c>
      <c r="G15" s="552"/>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405</v>
      </c>
      <c r="B19" s="2228"/>
      <c r="C19" s="727"/>
      <c r="D19" s="585"/>
      <c r="E19" s="727"/>
      <c r="F19" s="1777">
        <f>SUM(C19+D19)-E19</f>
        <v>0</v>
      </c>
    </row>
    <row r="20" spans="1:11" ht="12.75" customHeight="1" thickTop="1" thickBot="1" x14ac:dyDescent="0.25">
      <c r="A20" s="2227" t="s">
        <v>467</v>
      </c>
      <c r="B20" s="2228"/>
      <c r="C20" s="727"/>
      <c r="D20" s="585"/>
      <c r="E20" s="727"/>
      <c r="F20" s="1777">
        <f>SUM(C20+D20)-E20</f>
        <v>0</v>
      </c>
    </row>
    <row r="21" spans="1:11" ht="14.25" thickTop="1" thickBot="1" x14ac:dyDescent="0.25">
      <c r="A21" s="2204" t="s">
        <v>652</v>
      </c>
      <c r="B21" s="2205"/>
      <c r="C21" s="1777">
        <f>SUM(C17:C20)</f>
        <v>0</v>
      </c>
      <c r="D21" s="1777">
        <f>SUM(D17:D20)</f>
        <v>0</v>
      </c>
      <c r="E21" s="1777">
        <f>SUM(E17:E20)</f>
        <v>0</v>
      </c>
      <c r="F21" s="1777">
        <f>SUM(F17:F20)</f>
        <v>0</v>
      </c>
      <c r="G21" s="552"/>
    </row>
    <row r="22" spans="1:11" ht="15.75" customHeight="1" thickTop="1" x14ac:dyDescent="0.2">
      <c r="A22" s="2229" t="s">
        <v>1173</v>
      </c>
      <c r="B22" s="2203"/>
      <c r="C22" s="2211"/>
      <c r="D22" s="2212"/>
      <c r="E22" s="2212"/>
      <c r="F22" s="2213"/>
    </row>
    <row r="23" spans="1:11" ht="13.5" thickBot="1" x14ac:dyDescent="0.25">
      <c r="A23" s="2217" t="s">
        <v>653</v>
      </c>
      <c r="B23" s="2218"/>
      <c r="C23" s="581"/>
      <c r="D23" s="581"/>
      <c r="E23" s="581"/>
      <c r="F23" s="1777">
        <f>SUM(C23+D23)-E23</f>
        <v>0</v>
      </c>
      <c r="G23" s="552"/>
    </row>
    <row r="24" spans="1:11" ht="15.75" customHeight="1" thickTop="1" x14ac:dyDescent="0.2">
      <c r="A24" s="2229" t="s">
        <v>1174</v>
      </c>
      <c r="B24" s="2203"/>
      <c r="C24" s="2211"/>
      <c r="D24" s="2212"/>
      <c r="E24" s="2212"/>
      <c r="F24" s="2213"/>
    </row>
    <row r="25" spans="1:11" ht="13.5" thickBot="1" x14ac:dyDescent="0.25">
      <c r="A25" s="2217" t="s">
        <v>654</v>
      </c>
      <c r="B25" s="2218"/>
      <c r="C25" s="581"/>
      <c r="D25" s="581"/>
      <c r="E25" s="581"/>
      <c r="F25" s="1777">
        <f>SUM(C25+D25)-E25</f>
        <v>0</v>
      </c>
      <c r="G25" s="552"/>
    </row>
    <row r="26" spans="1:11" ht="15.75" customHeight="1" thickTop="1" x14ac:dyDescent="0.2">
      <c r="A26" s="2202" t="s">
        <v>677</v>
      </c>
      <c r="B26" s="2203"/>
      <c r="C26" s="728"/>
      <c r="D26" s="728"/>
      <c r="E26" s="728"/>
      <c r="F26" s="729"/>
    </row>
    <row r="27" spans="1:11" ht="13.5" thickBot="1" x14ac:dyDescent="0.25">
      <c r="A27" s="2204" t="s">
        <v>1129</v>
      </c>
      <c r="B27" s="2205"/>
      <c r="C27" s="585"/>
      <c r="D27" s="585"/>
      <c r="E27" s="585"/>
      <c r="F27" s="1777">
        <f>SUM(C27+D27)-E27</f>
        <v>0</v>
      </c>
      <c r="G27" s="552"/>
    </row>
    <row r="28" spans="1:11" ht="7.5" customHeight="1" thickTop="1" x14ac:dyDescent="0.2">
      <c r="A28" s="594"/>
    </row>
    <row r="29" spans="1:11" ht="23.25" customHeight="1" x14ac:dyDescent="0.2">
      <c r="A29" s="2230" t="s">
        <v>602</v>
      </c>
      <c r="B29" s="2207"/>
      <c r="C29" s="730"/>
      <c r="D29" s="730"/>
      <c r="E29" s="730"/>
      <c r="F29" s="730"/>
      <c r="G29" s="730"/>
      <c r="H29" s="730"/>
      <c r="I29" s="730"/>
      <c r="J29" s="730"/>
    </row>
    <row r="30" spans="1:11" ht="33.75" x14ac:dyDescent="0.2">
      <c r="A30" s="1551" t="s">
        <v>1130</v>
      </c>
      <c r="B30" s="731" t="s">
        <v>1185</v>
      </c>
      <c r="C30" s="1909" t="s">
        <v>603</v>
      </c>
      <c r="D30" s="1909" t="s">
        <v>1771</v>
      </c>
      <c r="E30" s="1909" t="s">
        <v>2034</v>
      </c>
      <c r="F30" s="1909" t="s">
        <v>2035</v>
      </c>
      <c r="G30" s="1909" t="s">
        <v>2038</v>
      </c>
      <c r="H30" s="1909" t="s">
        <v>2036</v>
      </c>
      <c r="I30" s="1909" t="s">
        <v>2037</v>
      </c>
      <c r="J30" s="1910" t="s">
        <v>2</v>
      </c>
      <c r="K30" s="732"/>
    </row>
    <row r="31" spans="1:11" ht="12" customHeight="1" x14ac:dyDescent="0.2">
      <c r="A31" s="733" t="s">
        <v>2084</v>
      </c>
      <c r="B31" s="734">
        <v>40358</v>
      </c>
      <c r="C31" s="735">
        <v>9500000</v>
      </c>
      <c r="D31" s="736">
        <v>4</v>
      </c>
      <c r="E31" s="735">
        <v>3040000</v>
      </c>
      <c r="F31" s="735"/>
      <c r="G31" s="735"/>
      <c r="H31" s="735"/>
      <c r="I31" s="1778">
        <f>((E31+F31)-H31)+G31</f>
        <v>3040000</v>
      </c>
      <c r="J31" s="735">
        <v>3040000</v>
      </c>
      <c r="K31" s="737"/>
    </row>
    <row r="32" spans="1:11" ht="12" customHeight="1" x14ac:dyDescent="0.2">
      <c r="A32" s="733" t="s">
        <v>2085</v>
      </c>
      <c r="B32" s="734">
        <v>40358</v>
      </c>
      <c r="C32" s="735">
        <v>4080000</v>
      </c>
      <c r="D32" s="736">
        <v>3</v>
      </c>
      <c r="E32" s="735">
        <v>1300000</v>
      </c>
      <c r="F32" s="735"/>
      <c r="G32" s="735"/>
      <c r="H32" s="735">
        <v>625000</v>
      </c>
      <c r="I32" s="1778">
        <f>((E32+F32)-H32)+G32</f>
        <v>675000</v>
      </c>
      <c r="J32" s="735">
        <v>675000</v>
      </c>
      <c r="K32" s="737"/>
    </row>
    <row r="33" spans="1:11" ht="12" customHeight="1" x14ac:dyDescent="0.2">
      <c r="A33" s="733" t="s">
        <v>2086</v>
      </c>
      <c r="B33" s="734">
        <v>41270</v>
      </c>
      <c r="C33" s="735">
        <v>9310000</v>
      </c>
      <c r="D33" s="736">
        <v>6</v>
      </c>
      <c r="E33" s="735">
        <v>9310000</v>
      </c>
      <c r="F33" s="735"/>
      <c r="G33" s="735"/>
      <c r="H33" s="735"/>
      <c r="I33" s="1778">
        <f t="shared" ref="I33:I48" si="1">((E33+F33)-H33)+G33</f>
        <v>9310000</v>
      </c>
      <c r="J33" s="735">
        <v>9310000</v>
      </c>
      <c r="K33" s="737"/>
    </row>
    <row r="34" spans="1:11" ht="12" customHeight="1" x14ac:dyDescent="0.2">
      <c r="A34" s="733" t="s">
        <v>2087</v>
      </c>
      <c r="B34" s="734">
        <v>41310</v>
      </c>
      <c r="C34" s="735">
        <v>8695000</v>
      </c>
      <c r="D34" s="736">
        <v>6</v>
      </c>
      <c r="E34" s="735">
        <v>8695000</v>
      </c>
      <c r="F34" s="735"/>
      <c r="G34" s="735"/>
      <c r="H34" s="735"/>
      <c r="I34" s="1778">
        <f t="shared" si="1"/>
        <v>8695000</v>
      </c>
      <c r="J34" s="735">
        <v>8695000</v>
      </c>
      <c r="K34" s="738"/>
    </row>
    <row r="35" spans="1:11" ht="12" customHeight="1" x14ac:dyDescent="0.2">
      <c r="A35" s="733" t="s">
        <v>2088</v>
      </c>
      <c r="B35" s="734">
        <v>41731</v>
      </c>
      <c r="C35" s="739">
        <v>1230000</v>
      </c>
      <c r="D35" s="736">
        <v>3</v>
      </c>
      <c r="E35" s="739">
        <v>1230000</v>
      </c>
      <c r="F35" s="739"/>
      <c r="G35" s="739"/>
      <c r="H35" s="739"/>
      <c r="I35" s="1778">
        <f t="shared" si="1"/>
        <v>1230000</v>
      </c>
      <c r="J35" s="739">
        <v>1230000</v>
      </c>
      <c r="K35" s="738"/>
    </row>
    <row r="36" spans="1:11" ht="12" customHeight="1" x14ac:dyDescent="0.2">
      <c r="A36" s="733" t="s">
        <v>2089</v>
      </c>
      <c r="B36" s="734">
        <v>41731</v>
      </c>
      <c r="C36" s="735">
        <v>6610000</v>
      </c>
      <c r="D36" s="736">
        <v>6</v>
      </c>
      <c r="E36" s="735">
        <v>6610000</v>
      </c>
      <c r="F36" s="735"/>
      <c r="G36" s="735"/>
      <c r="H36" s="735"/>
      <c r="I36" s="1778">
        <f t="shared" si="1"/>
        <v>6610000</v>
      </c>
      <c r="J36" s="735">
        <v>6610000</v>
      </c>
      <c r="K36" s="740"/>
    </row>
    <row r="37" spans="1:11" ht="12" customHeight="1" x14ac:dyDescent="0.2">
      <c r="A37" s="733" t="s">
        <v>2090</v>
      </c>
      <c r="B37" s="734">
        <v>41731</v>
      </c>
      <c r="C37" s="467">
        <v>2705000</v>
      </c>
      <c r="D37" s="741">
        <v>3</v>
      </c>
      <c r="E37" s="467">
        <v>2705000</v>
      </c>
      <c r="F37" s="467"/>
      <c r="G37" s="467"/>
      <c r="H37" s="467">
        <v>635000</v>
      </c>
      <c r="I37" s="1778">
        <f t="shared" si="1"/>
        <v>2070000</v>
      </c>
      <c r="J37" s="467">
        <v>665000</v>
      </c>
      <c r="K37" s="738"/>
    </row>
    <row r="38" spans="1:11" ht="12" customHeight="1" x14ac:dyDescent="0.2">
      <c r="A38" s="733" t="s">
        <v>2091</v>
      </c>
      <c r="B38" s="734">
        <v>42065</v>
      </c>
      <c r="C38" s="735">
        <v>1700000</v>
      </c>
      <c r="D38" s="742">
        <v>1</v>
      </c>
      <c r="E38" s="743">
        <v>1690000</v>
      </c>
      <c r="F38" s="743"/>
      <c r="G38" s="743"/>
      <c r="H38" s="743">
        <v>40000</v>
      </c>
      <c r="I38" s="1778">
        <f t="shared" si="1"/>
        <v>1650000</v>
      </c>
      <c r="J38" s="744">
        <v>35000</v>
      </c>
      <c r="K38" s="745"/>
    </row>
    <row r="39" spans="1:11" ht="12" customHeight="1" x14ac:dyDescent="0.2">
      <c r="A39" s="733" t="s">
        <v>2092</v>
      </c>
      <c r="B39" s="734">
        <v>42065</v>
      </c>
      <c r="C39" s="735">
        <v>9470000</v>
      </c>
      <c r="D39" s="742">
        <v>6</v>
      </c>
      <c r="E39" s="743">
        <v>9470000</v>
      </c>
      <c r="F39" s="743"/>
      <c r="G39" s="743"/>
      <c r="H39" s="743"/>
      <c r="I39" s="1778">
        <f t="shared" si="1"/>
        <v>9470000</v>
      </c>
      <c r="J39" s="744">
        <v>9470000</v>
      </c>
      <c r="K39" s="745"/>
    </row>
    <row r="40" spans="1:11" ht="12" customHeight="1" x14ac:dyDescent="0.2">
      <c r="A40" s="733" t="s">
        <v>2093</v>
      </c>
      <c r="B40" s="734">
        <v>42065</v>
      </c>
      <c r="C40" s="735">
        <v>140000</v>
      </c>
      <c r="D40" s="742">
        <v>3</v>
      </c>
      <c r="E40" s="743">
        <v>140000</v>
      </c>
      <c r="F40" s="743"/>
      <c r="G40" s="743"/>
      <c r="H40" s="743"/>
      <c r="I40" s="1778">
        <f t="shared" si="1"/>
        <v>140000</v>
      </c>
      <c r="J40" s="744">
        <v>140000</v>
      </c>
      <c r="K40" s="745"/>
    </row>
    <row r="41" spans="1:11" ht="12" customHeight="1" x14ac:dyDescent="0.2">
      <c r="A41" s="733" t="s">
        <v>2094</v>
      </c>
      <c r="B41" s="734">
        <v>42374</v>
      </c>
      <c r="C41" s="735">
        <v>9140000</v>
      </c>
      <c r="D41" s="742">
        <v>3</v>
      </c>
      <c r="E41" s="743">
        <v>7895000</v>
      </c>
      <c r="F41" s="743"/>
      <c r="G41" s="743"/>
      <c r="H41" s="743">
        <v>1795000</v>
      </c>
      <c r="I41" s="1778">
        <f t="shared" si="1"/>
        <v>6100000</v>
      </c>
      <c r="J41" s="744">
        <v>6053598</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62580000</v>
      </c>
      <c r="D49" s="746"/>
      <c r="E49" s="1778">
        <f t="shared" ref="E49:J49" si="2">SUM(E31:E48)</f>
        <v>52085000</v>
      </c>
      <c r="F49" s="1778">
        <f t="shared" si="2"/>
        <v>0</v>
      </c>
      <c r="G49" s="1778">
        <f t="shared" si="2"/>
        <v>0</v>
      </c>
      <c r="H49" s="1778">
        <f t="shared" si="2"/>
        <v>3095000</v>
      </c>
      <c r="I49" s="1778">
        <f t="shared" si="2"/>
        <v>48990000</v>
      </c>
      <c r="J49" s="1778">
        <f t="shared" si="2"/>
        <v>45923598</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1" t="s">
        <v>604</v>
      </c>
      <c r="C52" s="2222"/>
      <c r="D52" s="2222"/>
      <c r="E52" s="750" t="s">
        <v>899</v>
      </c>
      <c r="F52" s="2223"/>
      <c r="G52" s="2224"/>
      <c r="H52" s="737"/>
      <c r="I52" s="737"/>
      <c r="J52" s="747"/>
    </row>
    <row r="53" spans="1:11" ht="11.25" customHeight="1" x14ac:dyDescent="0.2">
      <c r="A53" s="751" t="s">
        <v>968</v>
      </c>
      <c r="B53" s="752" t="s">
        <v>1007</v>
      </c>
      <c r="C53" s="747"/>
      <c r="D53" s="738"/>
      <c r="E53" s="750" t="s">
        <v>517</v>
      </c>
      <c r="F53" s="2225"/>
      <c r="G53" s="2226"/>
      <c r="H53" s="737"/>
      <c r="I53" s="737"/>
      <c r="J53" s="747"/>
    </row>
    <row r="54" spans="1:11" ht="11.25" customHeight="1" x14ac:dyDescent="0.2">
      <c r="A54" s="753" t="s">
        <v>969</v>
      </c>
      <c r="B54" s="748" t="s">
        <v>1008</v>
      </c>
      <c r="C54" s="747"/>
      <c r="D54" s="738"/>
      <c r="E54" s="750" t="s">
        <v>518</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B10" colorId="8" zoomScale="110" zoomScaleNormal="110" workbookViewId="0">
      <selection activeCell="J25" sqref="J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52"/>
      <c r="I1" s="761"/>
      <c r="J1" s="433"/>
    </row>
    <row r="2" spans="1:11" ht="26.25" x14ac:dyDescent="0.2">
      <c r="A2" s="2234" t="s">
        <v>1775</v>
      </c>
      <c r="B2" s="2235"/>
      <c r="C2" s="2235"/>
      <c r="D2" s="2235"/>
      <c r="E2" s="2236"/>
      <c r="F2" s="762" t="s">
        <v>959</v>
      </c>
      <c r="G2" s="763" t="s">
        <v>1772</v>
      </c>
      <c r="H2" s="763" t="s">
        <v>429</v>
      </c>
      <c r="I2" s="763" t="s">
        <v>1219</v>
      </c>
      <c r="J2" s="763" t="s">
        <v>1915</v>
      </c>
      <c r="K2" s="763" t="s">
        <v>140</v>
      </c>
    </row>
    <row r="3" spans="1:11" x14ac:dyDescent="0.2">
      <c r="A3" s="2237" t="s">
        <v>1697</v>
      </c>
      <c r="B3" s="2238"/>
      <c r="C3" s="2238"/>
      <c r="D3" s="2238"/>
      <c r="E3" s="2239"/>
      <c r="F3" s="764"/>
      <c r="G3" s="765"/>
      <c r="H3" s="765"/>
      <c r="I3" s="765"/>
      <c r="J3" s="766"/>
      <c r="K3" s="766"/>
    </row>
    <row r="4" spans="1:11" x14ac:dyDescent="0.2">
      <c r="A4" s="2240" t="s">
        <v>386</v>
      </c>
      <c r="B4" s="2241"/>
      <c r="C4" s="2241"/>
      <c r="D4" s="2241"/>
      <c r="E4" s="2222"/>
      <c r="F4" s="767"/>
      <c r="G4" s="768"/>
      <c r="H4" s="769"/>
      <c r="I4" s="768"/>
      <c r="J4" s="770"/>
      <c r="K4" s="770"/>
    </row>
    <row r="5" spans="1:11" x14ac:dyDescent="0.2">
      <c r="A5" s="2258" t="s">
        <v>1128</v>
      </c>
      <c r="B5" s="2231"/>
      <c r="C5" s="2231"/>
      <c r="D5" s="2231"/>
      <c r="E5" s="2259"/>
      <c r="F5" s="771" t="s">
        <v>902</v>
      </c>
      <c r="G5" s="772"/>
      <c r="H5" s="765">
        <v>158284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60030</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66055</v>
      </c>
    </row>
    <row r="10" spans="1:11" x14ac:dyDescent="0.2">
      <c r="A10" s="2258" t="s">
        <v>1916</v>
      </c>
      <c r="B10" s="2231"/>
      <c r="C10" s="2231"/>
      <c r="D10" s="2231"/>
      <c r="E10" s="2260"/>
      <c r="F10" s="784" t="s">
        <v>916</v>
      </c>
      <c r="G10" s="783"/>
      <c r="H10" s="785"/>
      <c r="I10" s="765"/>
      <c r="J10" s="766"/>
      <c r="K10" s="766"/>
    </row>
    <row r="11" spans="1:11" x14ac:dyDescent="0.2">
      <c r="A11" s="2258" t="s">
        <v>162</v>
      </c>
      <c r="B11" s="2231"/>
      <c r="C11" s="2231"/>
      <c r="D11" s="2231"/>
      <c r="E11" s="2259"/>
      <c r="F11" s="771" t="s">
        <v>906</v>
      </c>
      <c r="G11" s="772"/>
      <c r="H11" s="765"/>
      <c r="I11" s="765"/>
      <c r="J11" s="766"/>
      <c r="K11" s="774"/>
    </row>
    <row r="12" spans="1:11" ht="13.5" thickBot="1" x14ac:dyDescent="0.25">
      <c r="A12" s="2248" t="s">
        <v>960</v>
      </c>
      <c r="B12" s="2249"/>
      <c r="C12" s="2249"/>
      <c r="D12" s="2249"/>
      <c r="E12" s="2250"/>
      <c r="F12" s="1779"/>
      <c r="G12" s="1780">
        <f>SUM(G5:G11)</f>
        <v>0</v>
      </c>
      <c r="H12" s="1780">
        <f>SUM(H5:H11)</f>
        <v>158284</v>
      </c>
      <c r="I12" s="1780">
        <f>SUM(I5:I11)</f>
        <v>0</v>
      </c>
      <c r="J12" s="1780">
        <f>SUM(J5:J11)</f>
        <v>0</v>
      </c>
      <c r="K12" s="1780">
        <f>SUM(K5:K11)</f>
        <v>126085</v>
      </c>
    </row>
    <row r="13" spans="1:11" ht="13.5" thickTop="1" x14ac:dyDescent="0.2">
      <c r="A13" s="2242" t="s">
        <v>387</v>
      </c>
      <c r="B13" s="2243"/>
      <c r="C13" s="2243"/>
      <c r="D13" s="2243"/>
      <c r="E13" s="2244"/>
      <c r="F13" s="786"/>
      <c r="G13" s="787"/>
      <c r="H13" s="788"/>
      <c r="I13" s="789"/>
      <c r="J13" s="789"/>
      <c r="K13" s="789"/>
    </row>
    <row r="14" spans="1:11" x14ac:dyDescent="0.2">
      <c r="A14" s="2264" t="s">
        <v>475</v>
      </c>
      <c r="B14" s="2264"/>
      <c r="C14" s="2264"/>
      <c r="D14" s="2264"/>
      <c r="E14" s="2265"/>
      <c r="F14" s="790" t="s">
        <v>908</v>
      </c>
      <c r="G14" s="783"/>
      <c r="H14" s="765">
        <v>158284</v>
      </c>
      <c r="I14" s="772"/>
      <c r="J14" s="774"/>
      <c r="K14" s="766">
        <v>126085</v>
      </c>
    </row>
    <row r="15" spans="1:11" x14ac:dyDescent="0.2">
      <c r="A15" s="2231" t="s">
        <v>4</v>
      </c>
      <c r="B15" s="2231"/>
      <c r="C15" s="2231"/>
      <c r="D15" s="2231"/>
      <c r="E15" s="2259"/>
      <c r="F15" s="790" t="s">
        <v>909</v>
      </c>
      <c r="G15" s="772"/>
      <c r="H15" s="765"/>
      <c r="I15" s="765"/>
      <c r="J15" s="766"/>
      <c r="K15" s="766"/>
    </row>
    <row r="16" spans="1:11" x14ac:dyDescent="0.2">
      <c r="A16" s="2231" t="s">
        <v>315</v>
      </c>
      <c r="B16" s="2231"/>
      <c r="C16" s="2231"/>
      <c r="D16" s="2231"/>
      <c r="E16" s="2259"/>
      <c r="F16" s="790" t="s">
        <v>979</v>
      </c>
      <c r="G16" s="773"/>
      <c r="H16" s="768"/>
      <c r="I16" s="768"/>
      <c r="J16" s="770"/>
      <c r="K16" s="770"/>
    </row>
    <row r="17" spans="1:11" x14ac:dyDescent="0.2">
      <c r="A17" s="2253" t="s">
        <v>991</v>
      </c>
      <c r="B17" s="2253"/>
      <c r="C17" s="2253"/>
      <c r="D17" s="2253"/>
      <c r="E17" s="2254"/>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66" t="s">
        <v>1912</v>
      </c>
      <c r="B19" s="2266"/>
      <c r="C19" s="2266"/>
      <c r="D19" s="2266"/>
      <c r="E19" s="2267"/>
      <c r="F19" s="790" t="s">
        <v>989</v>
      </c>
      <c r="G19" s="783"/>
      <c r="H19" s="783"/>
      <c r="I19" s="783"/>
      <c r="J19" s="766"/>
      <c r="K19" s="796"/>
    </row>
    <row r="20" spans="1:11" x14ac:dyDescent="0.2">
      <c r="A20" s="2245" t="s">
        <v>1917</v>
      </c>
      <c r="B20" s="2246"/>
      <c r="C20" s="2246"/>
      <c r="D20" s="2246"/>
      <c r="E20" s="2247"/>
      <c r="F20" s="790" t="s">
        <v>990</v>
      </c>
      <c r="G20" s="783"/>
      <c r="H20" s="783"/>
      <c r="I20" s="783"/>
      <c r="J20" s="766"/>
      <c r="K20" s="796"/>
    </row>
    <row r="21" spans="1:11" ht="13.5" thickBot="1" x14ac:dyDescent="0.25">
      <c r="A21" s="2251" t="s">
        <v>658</v>
      </c>
      <c r="B21" s="2251"/>
      <c r="C21" s="2251"/>
      <c r="D21" s="2251"/>
      <c r="E21" s="2251"/>
      <c r="F21" s="1781"/>
      <c r="G21" s="793"/>
      <c r="H21" s="797"/>
      <c r="I21" s="797"/>
      <c r="J21" s="1782">
        <f>SUM(J18:J20)</f>
        <v>0</v>
      </c>
      <c r="K21" s="794"/>
    </row>
    <row r="22" spans="1:11" ht="13.5" thickTop="1" x14ac:dyDescent="0.2">
      <c r="A22" s="2231" t="s">
        <v>1918</v>
      </c>
      <c r="B22" s="2231"/>
      <c r="C22" s="2231"/>
      <c r="D22" s="2231"/>
      <c r="E22" s="2259"/>
      <c r="F22" s="790" t="s">
        <v>916</v>
      </c>
      <c r="G22" s="783"/>
      <c r="H22" s="765"/>
      <c r="I22" s="765"/>
      <c r="J22" s="798"/>
      <c r="K22" s="766"/>
    </row>
    <row r="23" spans="1:11" ht="13.5" thickBot="1" x14ac:dyDescent="0.25">
      <c r="A23" s="2252" t="s">
        <v>961</v>
      </c>
      <c r="B23" s="2251"/>
      <c r="C23" s="2251"/>
      <c r="D23" s="2251"/>
      <c r="E23" s="2251"/>
      <c r="F23" s="1783"/>
      <c r="G23" s="1780">
        <f>SUM(G14:G16,G21,G22)</f>
        <v>0</v>
      </c>
      <c r="H23" s="1780">
        <f>SUM(H14:H16,H21,H22)</f>
        <v>158284</v>
      </c>
      <c r="I23" s="1780">
        <f>SUM(I14:I16,I21,I22)</f>
        <v>0</v>
      </c>
      <c r="J23" s="1780">
        <f>SUM(J14:J16,J21,J22)</f>
        <v>0</v>
      </c>
      <c r="K23" s="1780">
        <f>SUM(K14:K16,K21,K22)</f>
        <v>126085</v>
      </c>
    </row>
    <row r="24" spans="1:11" ht="14.25" thickTop="1" thickBot="1" x14ac:dyDescent="0.25">
      <c r="A24" s="2252" t="s">
        <v>2020</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2030</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1"/>
      <c r="I31" s="2262"/>
      <c r="J31" s="2262"/>
      <c r="K31" s="2262"/>
    </row>
    <row r="32" spans="1:11" x14ac:dyDescent="0.2">
      <c r="A32" s="810"/>
      <c r="B32" s="237"/>
      <c r="C32" s="237"/>
      <c r="D32" s="237"/>
      <c r="E32" s="806"/>
      <c r="F32" s="812" t="s">
        <v>560</v>
      </c>
      <c r="G32" s="765"/>
      <c r="H32" s="2263"/>
      <c r="I32" s="2262"/>
      <c r="J32" s="2262"/>
      <c r="K32" s="2262"/>
    </row>
    <row r="33" spans="1:11" ht="1.5" customHeight="1" x14ac:dyDescent="0.2">
      <c r="A33" s="813" t="s">
        <v>1230</v>
      </c>
      <c r="B33" s="364"/>
      <c r="C33" s="364"/>
      <c r="D33" s="364"/>
      <c r="E33" s="364"/>
      <c r="F33" s="364"/>
      <c r="G33" s="814"/>
      <c r="H33" s="2263"/>
      <c r="I33" s="2262"/>
      <c r="J33" s="2262"/>
      <c r="K33" s="2262"/>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1" t="s">
        <v>561</v>
      </c>
      <c r="B41" s="2232"/>
      <c r="C41" s="2232"/>
      <c r="D41" s="2232"/>
      <c r="E41" s="2232"/>
      <c r="F41" s="223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2029</v>
      </c>
      <c r="B1" s="2271"/>
      <c r="C1" s="2272"/>
      <c r="D1" s="827"/>
      <c r="E1" s="828"/>
      <c r="F1" s="828"/>
      <c r="G1" s="829"/>
      <c r="H1" s="830"/>
      <c r="I1" s="831"/>
      <c r="J1" s="2268"/>
      <c r="K1" s="2269"/>
      <c r="L1" s="2269"/>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4426429</v>
      </c>
      <c r="D5" s="842"/>
      <c r="E5" s="842"/>
      <c r="F5" s="1782">
        <f>(C5+D5)-E5</f>
        <v>4426429</v>
      </c>
      <c r="G5" s="838"/>
      <c r="H5" s="843"/>
      <c r="I5" s="843"/>
      <c r="J5" s="843"/>
      <c r="K5" s="794"/>
      <c r="L5" s="1791">
        <f>F5-K5</f>
        <v>4426429</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111041262</v>
      </c>
      <c r="D8" s="845">
        <v>263484</v>
      </c>
      <c r="E8" s="845"/>
      <c r="F8" s="1782">
        <f>(C8+D8)-E8</f>
        <v>111304746</v>
      </c>
      <c r="G8" s="844">
        <v>50</v>
      </c>
      <c r="H8" s="766">
        <v>4581044</v>
      </c>
      <c r="I8" s="766">
        <v>1050670</v>
      </c>
      <c r="J8" s="766"/>
      <c r="K8" s="1791">
        <f>(H8+I8)-J8</f>
        <v>5631714</v>
      </c>
      <c r="L8" s="1791">
        <f>F8-K8</f>
        <v>105673032</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8341565</v>
      </c>
      <c r="D10" s="847"/>
      <c r="E10" s="847"/>
      <c r="F10" s="1786">
        <f>(C10+D10)-E10</f>
        <v>8341565</v>
      </c>
      <c r="G10" s="844">
        <v>20</v>
      </c>
      <c r="H10" s="848">
        <v>650442</v>
      </c>
      <c r="I10" s="848">
        <v>164264</v>
      </c>
      <c r="J10" s="848"/>
      <c r="K10" s="1791">
        <f>(H10+I10)-J10</f>
        <v>814706</v>
      </c>
      <c r="L10" s="1791">
        <f>F10-K10</f>
        <v>7526859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10873029</v>
      </c>
      <c r="D12" s="845">
        <v>122365.41</v>
      </c>
      <c r="E12" s="845"/>
      <c r="F12" s="1782">
        <f>(C12+D12)-E12</f>
        <v>10995394.41</v>
      </c>
      <c r="G12" s="844">
        <v>10</v>
      </c>
      <c r="H12" s="766">
        <v>3019723</v>
      </c>
      <c r="I12" s="766">
        <v>611383.28</v>
      </c>
      <c r="J12" s="766"/>
      <c r="K12" s="1791">
        <f>(H12+I12)-J12</f>
        <v>3631106.2800000003</v>
      </c>
      <c r="L12" s="1791">
        <f>F12-K12</f>
        <v>7364288.1299999999</v>
      </c>
    </row>
    <row r="13" spans="1:14" ht="14.25" thickTop="1" thickBot="1" x14ac:dyDescent="0.25">
      <c r="A13" s="849" t="s">
        <v>1183</v>
      </c>
      <c r="B13" s="841">
        <v>252</v>
      </c>
      <c r="C13" s="845">
        <v>3888877</v>
      </c>
      <c r="D13" s="845">
        <v>182040</v>
      </c>
      <c r="E13" s="845"/>
      <c r="F13" s="1782">
        <f>(C13+D13)-E13</f>
        <v>4070917</v>
      </c>
      <c r="G13" s="844">
        <v>5</v>
      </c>
      <c r="H13" s="766">
        <v>853820</v>
      </c>
      <c r="I13" s="766">
        <v>49522</v>
      </c>
      <c r="J13" s="766"/>
      <c r="K13" s="1791">
        <f>(H13+I13)-J13</f>
        <v>903342</v>
      </c>
      <c r="L13" s="1791">
        <f>F13-K13</f>
        <v>3167575</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73683</v>
      </c>
      <c r="D15" s="845">
        <v>68279</v>
      </c>
      <c r="E15" s="845">
        <v>73683</v>
      </c>
      <c r="F15" s="1782">
        <f>(C15+D15)-E15</f>
        <v>68279</v>
      </c>
      <c r="G15" s="850" t="s">
        <v>916</v>
      </c>
      <c r="H15" s="782"/>
      <c r="I15" s="782"/>
      <c r="J15" s="782"/>
      <c r="K15" s="782"/>
      <c r="L15" s="1791">
        <f>F15-K15</f>
        <v>68279</v>
      </c>
    </row>
    <row r="16" spans="1:14" ht="15" customHeight="1" thickTop="1" thickBot="1" x14ac:dyDescent="0.25">
      <c r="A16" s="1787" t="s">
        <v>663</v>
      </c>
      <c r="B16" s="1788">
        <v>200</v>
      </c>
      <c r="C16" s="1782">
        <f>SUM(C3,C5:C6,C8:C10,C12:C15)</f>
        <v>138644845</v>
      </c>
      <c r="D16" s="1782">
        <f>SUM(D3,D5:D6,D8:D10,D12:D15)</f>
        <v>636168.41</v>
      </c>
      <c r="E16" s="1782">
        <f>SUM(E3,E5:E6,E8:E10,E12:E15)</f>
        <v>73683</v>
      </c>
      <c r="F16" s="1782">
        <f>SUM(F3,F5:F6,F8:F10,F12:F15)</f>
        <v>139207330.41</v>
      </c>
      <c r="G16" s="844"/>
      <c r="H16" s="1782">
        <f>SUM(H3,H6,H8:H10,H12:H14,)</f>
        <v>9105029</v>
      </c>
      <c r="I16" s="1782">
        <f>SUM(I3,I6,I8:I10,I12:I14,)</f>
        <v>1875839.28</v>
      </c>
      <c r="J16" s="1782">
        <f>SUM(J3,J6,J8:J10,J12:J14,)</f>
        <v>0</v>
      </c>
      <c r="K16" s="1782">
        <f>(H16+I16)-J16</f>
        <v>10980868.279999999</v>
      </c>
      <c r="L16" s="1782">
        <f>F16-K16</f>
        <v>128226462.13</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79760</v>
      </c>
      <c r="G17" s="838">
        <v>10</v>
      </c>
      <c r="H17" s="770"/>
      <c r="I17" s="1791">
        <f>F17/G17</f>
        <v>7976</v>
      </c>
      <c r="J17" s="770"/>
      <c r="K17" s="796"/>
      <c r="L17" s="796"/>
    </row>
    <row r="18" spans="1:12" ht="14.25" thickTop="1" thickBot="1" x14ac:dyDescent="0.25">
      <c r="A18" s="1789" t="s">
        <v>705</v>
      </c>
      <c r="B18" s="1790"/>
      <c r="C18" s="772"/>
      <c r="D18" s="772"/>
      <c r="E18" s="772"/>
      <c r="F18" s="851"/>
      <c r="G18" s="852"/>
      <c r="H18" s="774"/>
      <c r="I18" s="1782">
        <f>SUM(I16,I17)</f>
        <v>1883815.28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32708784</v>
      </c>
      <c r="G8" s="866"/>
    </row>
    <row r="9" spans="1:7" x14ac:dyDescent="0.2">
      <c r="A9" s="870" t="s">
        <v>479</v>
      </c>
      <c r="B9" s="871" t="s">
        <v>1984</v>
      </c>
      <c r="C9" s="872"/>
      <c r="D9" s="870" t="s">
        <v>521</v>
      </c>
      <c r="E9" s="869"/>
      <c r="F9" s="1934">
        <f>'Expenditures 15-22'!K151</f>
        <v>3824930</v>
      </c>
      <c r="G9" s="873"/>
    </row>
    <row r="10" spans="1:7" x14ac:dyDescent="0.2">
      <c r="A10" s="870" t="s">
        <v>519</v>
      </c>
      <c r="B10" s="871" t="s">
        <v>1985</v>
      </c>
      <c r="C10" s="872"/>
      <c r="D10" s="870" t="s">
        <v>521</v>
      </c>
      <c r="E10" s="869"/>
      <c r="F10" s="1934">
        <f>'Expenditures 15-22'!K174</f>
        <v>5073945</v>
      </c>
      <c r="G10" s="873"/>
    </row>
    <row r="11" spans="1:7" x14ac:dyDescent="0.2">
      <c r="A11" s="870" t="s">
        <v>480</v>
      </c>
      <c r="B11" s="871" t="s">
        <v>1986</v>
      </c>
      <c r="C11" s="872"/>
      <c r="D11" s="870" t="s">
        <v>521</v>
      </c>
      <c r="E11" s="869"/>
      <c r="F11" s="1934">
        <f>'Expenditures 15-22'!K210</f>
        <v>2044538</v>
      </c>
      <c r="G11" s="873"/>
    </row>
    <row r="12" spans="1:7" x14ac:dyDescent="0.2">
      <c r="A12" s="870" t="s">
        <v>481</v>
      </c>
      <c r="B12" s="871" t="s">
        <v>1987</v>
      </c>
      <c r="C12" s="872"/>
      <c r="D12" s="870" t="s">
        <v>521</v>
      </c>
      <c r="E12" s="869"/>
      <c r="F12" s="1934">
        <f>'Expenditures 15-22'!K295</f>
        <v>1443470</v>
      </c>
      <c r="G12" s="873"/>
    </row>
    <row r="13" spans="1:7" x14ac:dyDescent="0.2">
      <c r="A13" s="870" t="s">
        <v>108</v>
      </c>
      <c r="B13" s="871" t="s">
        <v>1988</v>
      </c>
      <c r="C13" s="872"/>
      <c r="D13" s="870" t="s">
        <v>521</v>
      </c>
      <c r="E13" s="869"/>
      <c r="F13" s="1934">
        <f>'Expenditures 15-22'!K342</f>
        <v>0</v>
      </c>
      <c r="G13" s="874"/>
    </row>
    <row r="14" spans="1:7" ht="12" customHeight="1" thickBot="1" x14ac:dyDescent="0.25">
      <c r="A14" s="1792"/>
      <c r="B14" s="1793"/>
      <c r="C14" s="1794"/>
      <c r="D14" s="1795" t="s">
        <v>521</v>
      </c>
      <c r="E14" s="1796" t="s">
        <v>1014</v>
      </c>
      <c r="F14" s="1797">
        <f>SUM(F8:F13)</f>
        <v>45095667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269083</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40633</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45233</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19673</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1298168</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9639</v>
      </c>
      <c r="G52" s="866"/>
    </row>
    <row r="53" spans="1:7" x14ac:dyDescent="0.2">
      <c r="A53" s="870" t="s">
        <v>478</v>
      </c>
      <c r="B53" s="870" t="s">
        <v>1550</v>
      </c>
      <c r="C53" s="890">
        <f>'Expenditures 15-22'!B102</f>
        <v>4000</v>
      </c>
      <c r="D53" s="889" t="str">
        <f>'Expenditures 15-22'!A102</f>
        <v>Total Payments to Other Govt Units</v>
      </c>
      <c r="E53" s="869"/>
      <c r="F53" s="1938">
        <f>'Expenditures 15-22'!K102</f>
        <v>474275</v>
      </c>
      <c r="G53" s="866"/>
    </row>
    <row r="54" spans="1:7" x14ac:dyDescent="0.2">
      <c r="A54" s="870" t="s">
        <v>478</v>
      </c>
      <c r="B54" s="870" t="s">
        <v>1551</v>
      </c>
      <c r="C54" s="890" t="s">
        <v>1038</v>
      </c>
      <c r="D54" s="886" t="s">
        <v>1156</v>
      </c>
      <c r="E54" s="869"/>
      <c r="F54" s="1938">
        <f>'Expenditures 15-22'!G114</f>
        <v>261936</v>
      </c>
      <c r="G54" s="866"/>
    </row>
    <row r="55" spans="1:7" x14ac:dyDescent="0.2">
      <c r="A55" s="870" t="s">
        <v>478</v>
      </c>
      <c r="B55" s="870" t="s">
        <v>1552</v>
      </c>
      <c r="C55" s="890" t="s">
        <v>1038</v>
      </c>
      <c r="D55" s="886" t="s">
        <v>308</v>
      </c>
      <c r="E55" s="869"/>
      <c r="F55" s="1938">
        <f>'Expenditures 15-22'!I114</f>
        <v>41726</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8">
        <f>'Expenditures 15-22'!K139</f>
        <v>0</v>
      </c>
      <c r="G57" s="866"/>
    </row>
    <row r="58" spans="1:7" x14ac:dyDescent="0.2">
      <c r="A58" s="870" t="s">
        <v>479</v>
      </c>
      <c r="B58" s="870" t="s">
        <v>1990</v>
      </c>
      <c r="C58" s="887" t="s">
        <v>1038</v>
      </c>
      <c r="D58" s="886" t="s">
        <v>1156</v>
      </c>
      <c r="E58" s="869"/>
      <c r="F58" s="1940">
        <f>'Expenditures 15-22'!G151</f>
        <v>179439</v>
      </c>
      <c r="G58" s="866"/>
    </row>
    <row r="59" spans="1:7" x14ac:dyDescent="0.2">
      <c r="A59" s="894" t="s">
        <v>479</v>
      </c>
      <c r="B59" s="857" t="s">
        <v>1991</v>
      </c>
      <c r="C59" s="895" t="s">
        <v>1038</v>
      </c>
      <c r="D59" s="857" t="s">
        <v>308</v>
      </c>
      <c r="F59" s="1941">
        <f>'Expenditures 15-22'!I151</f>
        <v>36795</v>
      </c>
      <c r="G59" s="866"/>
    </row>
    <row r="60" spans="1:7" x14ac:dyDescent="0.2">
      <c r="A60" s="894" t="s">
        <v>519</v>
      </c>
      <c r="B60" s="857" t="s">
        <v>1992</v>
      </c>
      <c r="C60" s="895">
        <v>4000</v>
      </c>
      <c r="D60" s="857" t="s">
        <v>329</v>
      </c>
      <c r="F60" s="1939">
        <f>'Expenditures 15-22'!K160</f>
        <v>0</v>
      </c>
      <c r="G60" s="866"/>
    </row>
    <row r="61" spans="1:7" x14ac:dyDescent="0.2">
      <c r="A61" s="896" t="s">
        <v>519</v>
      </c>
      <c r="B61" s="896" t="s">
        <v>1993</v>
      </c>
      <c r="C61" s="897" t="str">
        <f>'Expenditures 15-22'!B170</f>
        <v>5300</v>
      </c>
      <c r="D61" s="898" t="s">
        <v>328</v>
      </c>
      <c r="E61" s="880"/>
      <c r="F61" s="1938">
        <f>'Expenditures 15-22'!K170</f>
        <v>3095000</v>
      </c>
      <c r="G61" s="866"/>
    </row>
    <row r="62" spans="1:7" x14ac:dyDescent="0.2">
      <c r="A62" s="870" t="s">
        <v>480</v>
      </c>
      <c r="B62" s="870" t="s">
        <v>1994</v>
      </c>
      <c r="C62" s="887">
        <f>'Expenditures 15-22'!B185</f>
        <v>3000</v>
      </c>
      <c r="D62" s="877" t="s">
        <v>468</v>
      </c>
      <c r="E62" s="869"/>
      <c r="F62" s="1938">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1996</v>
      </c>
      <c r="C64" s="897" t="str">
        <f>'Expenditures 15-22'!B206</f>
        <v>5300</v>
      </c>
      <c r="D64" s="893" t="s">
        <v>328</v>
      </c>
      <c r="E64" s="869"/>
      <c r="F64" s="1938">
        <f>'Expenditures 15-22'!K206</f>
        <v>0</v>
      </c>
      <c r="G64" s="866"/>
    </row>
    <row r="65" spans="1:8" x14ac:dyDescent="0.2">
      <c r="A65" s="870" t="s">
        <v>480</v>
      </c>
      <c r="B65" s="870" t="s">
        <v>1997</v>
      </c>
      <c r="C65" s="887" t="s">
        <v>1038</v>
      </c>
      <c r="D65" s="886" t="s">
        <v>1156</v>
      </c>
      <c r="E65" s="869"/>
      <c r="F65" s="1938">
        <f>'Expenditures 15-22'!G210</f>
        <v>160560</v>
      </c>
      <c r="G65" s="866"/>
    </row>
    <row r="66" spans="1:8" x14ac:dyDescent="0.2">
      <c r="A66" s="870" t="s">
        <v>480</v>
      </c>
      <c r="B66" s="870" t="s">
        <v>1998</v>
      </c>
      <c r="C66" s="887" t="s">
        <v>1038</v>
      </c>
      <c r="D66" s="886" t="s">
        <v>308</v>
      </c>
      <c r="E66" s="869"/>
      <c r="F66" s="1938">
        <f>'Expenditures 15-22'!I210</f>
        <v>1239</v>
      </c>
      <c r="G66" s="866"/>
    </row>
    <row r="67" spans="1:8" x14ac:dyDescent="0.2">
      <c r="A67" s="870" t="s">
        <v>481</v>
      </c>
      <c r="B67" s="870" t="s">
        <v>1999</v>
      </c>
      <c r="C67" s="887" t="str">
        <f>'Expenditures 15-22'!B216</f>
        <v>1125</v>
      </c>
      <c r="D67" s="893" t="str">
        <f>'Expenditures 15-22'!A216</f>
        <v>Pre-K Programs</v>
      </c>
      <c r="E67" s="869"/>
      <c r="F67" s="1938">
        <f>'Expenditures 15-22'!K216</f>
        <v>3155</v>
      </c>
      <c r="G67" s="866"/>
    </row>
    <row r="68" spans="1:8" x14ac:dyDescent="0.2">
      <c r="A68" s="870" t="s">
        <v>481</v>
      </c>
      <c r="B68" s="870" t="s">
        <v>1554</v>
      </c>
      <c r="C68" s="887" t="str">
        <f>'Expenditures 15-22'!B218</f>
        <v>1225</v>
      </c>
      <c r="D68" s="893" t="str">
        <f>'Expenditures 15-22'!A218</f>
        <v>Special Education Programs - Pre-K</v>
      </c>
      <c r="E68" s="869"/>
      <c r="F68" s="1938">
        <f>'Expenditures 15-22'!K218</f>
        <v>1793</v>
      </c>
      <c r="G68" s="866"/>
    </row>
    <row r="69" spans="1:8" x14ac:dyDescent="0.2">
      <c r="A69" s="870" t="s">
        <v>481</v>
      </c>
      <c r="B69" s="870" t="s">
        <v>2000</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2001</v>
      </c>
      <c r="C70" s="887">
        <f>'Expenditures 15-22'!B221</f>
        <v>1300</v>
      </c>
      <c r="D70" s="888" t="str">
        <f>'Expenditures 15-22'!A221</f>
        <v>Adult/Continuing Education Programs</v>
      </c>
      <c r="E70" s="869"/>
      <c r="F70" s="1938">
        <f>'Expenditures 15-22'!K221</f>
        <v>6841</v>
      </c>
      <c r="G70" s="866"/>
    </row>
    <row r="71" spans="1:8" x14ac:dyDescent="0.2">
      <c r="A71" s="870" t="s">
        <v>481</v>
      </c>
      <c r="B71" s="870" t="s">
        <v>2002</v>
      </c>
      <c r="C71" s="887">
        <f>'Expenditures 15-22'!B224</f>
        <v>1600</v>
      </c>
      <c r="D71" s="888" t="str">
        <f>'Expenditures 15-22'!A224</f>
        <v>Summer School Programs</v>
      </c>
      <c r="E71" s="869"/>
      <c r="F71" s="1938">
        <f>'Expenditures 15-22'!K224</f>
        <v>273</v>
      </c>
      <c r="G71" s="866"/>
    </row>
    <row r="72" spans="1:8" x14ac:dyDescent="0.2">
      <c r="A72" s="870" t="s">
        <v>481</v>
      </c>
      <c r="B72" s="870" t="s">
        <v>2003</v>
      </c>
      <c r="C72" s="887">
        <f>'Expenditures 15-22'!B280</f>
        <v>3000</v>
      </c>
      <c r="D72" s="877" t="s">
        <v>468</v>
      </c>
      <c r="E72" s="869"/>
      <c r="F72" s="1938">
        <f>'Expenditures 15-22'!K280</f>
        <v>1464</v>
      </c>
      <c r="G72" s="866"/>
    </row>
    <row r="73" spans="1:8" x14ac:dyDescent="0.2">
      <c r="A73" s="870" t="s">
        <v>481</v>
      </c>
      <c r="B73" s="870" t="s">
        <v>2004</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2005</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1014</v>
      </c>
      <c r="F76" s="1800">
        <f>SUM(F18:F74)</f>
        <v>5946925</v>
      </c>
      <c r="G76" s="866"/>
    </row>
    <row r="77" spans="1:8" s="894" customFormat="1" ht="12" customHeight="1" thickTop="1" thickBot="1" x14ac:dyDescent="0.25">
      <c r="A77" s="1801"/>
      <c r="B77" s="1798"/>
      <c r="C77" s="1794"/>
      <c r="D77" s="1799" t="s">
        <v>2007</v>
      </c>
      <c r="E77" s="1796"/>
      <c r="F77" s="1802">
        <f>(F14-F76)</f>
        <v>39148742</v>
      </c>
      <c r="G77" s="870"/>
    </row>
    <row r="78" spans="1:8" s="894" customFormat="1" ht="12" customHeight="1" thickTop="1" x14ac:dyDescent="0.2">
      <c r="A78" s="1803"/>
      <c r="B78" s="1798"/>
      <c r="C78" s="1794"/>
      <c r="D78" s="1799" t="s">
        <v>2053</v>
      </c>
      <c r="E78" s="1796"/>
      <c r="F78" s="899">
        <v>4324.88</v>
      </c>
      <c r="G78" s="900"/>
      <c r="H78" s="870"/>
    </row>
    <row r="79" spans="1:8" s="894" customFormat="1" ht="12" customHeight="1" thickBot="1" x14ac:dyDescent="0.25">
      <c r="A79" s="1804"/>
      <c r="B79" s="1798"/>
      <c r="C79" s="1794"/>
      <c r="D79" s="1799" t="s">
        <v>2008</v>
      </c>
      <c r="E79" s="1796" t="s">
        <v>1014</v>
      </c>
      <c r="F79" s="1805">
        <f>IF(F78&gt;0,F77/F78," Complete Line 78")</f>
        <v>9051.9834076321185</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1610669</v>
      </c>
      <c r="G94" s="913"/>
    </row>
    <row r="95" spans="1:7" x14ac:dyDescent="0.2">
      <c r="A95" s="909" t="s">
        <v>142</v>
      </c>
      <c r="B95" s="909" t="s">
        <v>177</v>
      </c>
      <c r="C95" s="911">
        <v>1700</v>
      </c>
      <c r="D95" s="919" t="str">
        <f>'Revenues 9-14'!A82</f>
        <v>Total District/School Activity Income</v>
      </c>
      <c r="E95" s="907"/>
      <c r="F95" s="1811">
        <f>SUM('Revenues 9-14'!C82,'Revenues 9-14'!D82)</f>
        <v>326642</v>
      </c>
      <c r="G95" s="913"/>
    </row>
    <row r="96" spans="1:7" x14ac:dyDescent="0.2">
      <c r="A96" s="909" t="s">
        <v>478</v>
      </c>
      <c r="B96" s="909" t="s">
        <v>178</v>
      </c>
      <c r="C96" s="911">
        <f>'Revenues 9-14'!B84</f>
        <v>1811</v>
      </c>
      <c r="D96" s="912" t="str">
        <f>'Revenues 9-14'!A84</f>
        <v>Rentals - Regular Textbooks</v>
      </c>
      <c r="E96" s="907"/>
      <c r="F96" s="1811">
        <f>'Revenues 9-14'!C84</f>
        <v>560575</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8680</v>
      </c>
      <c r="G100" s="913"/>
    </row>
    <row r="101" spans="1:7" x14ac:dyDescent="0.2">
      <c r="A101" s="909" t="s">
        <v>142</v>
      </c>
      <c r="B101" s="909" t="s">
        <v>183</v>
      </c>
      <c r="C101" s="911">
        <f>'Revenues 9-14'!B95</f>
        <v>1910</v>
      </c>
      <c r="D101" s="912" t="str">
        <f>'Revenues 9-14'!A95</f>
        <v>Rentals</v>
      </c>
      <c r="E101" s="907"/>
      <c r="F101" s="1811">
        <f>SUM('Revenues 9-14'!C95:D95)</f>
        <v>128602</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6980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1474651</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4482</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66055</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910503</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8007</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416182</v>
      </c>
      <c r="G129" s="931"/>
    </row>
    <row r="130" spans="1:7" x14ac:dyDescent="0.2">
      <c r="A130" s="928" t="s">
        <v>688</v>
      </c>
      <c r="B130" s="928" t="s">
        <v>803</v>
      </c>
      <c r="C130" s="933">
        <v>4300</v>
      </c>
      <c r="D130" s="934" t="str">
        <f>'Revenues 9-14'!A211</f>
        <v>Total Title I</v>
      </c>
      <c r="E130" s="907"/>
      <c r="F130" s="1811">
        <f>SUM('Revenues 9-14'!C211,'Revenues 9-14'!D211,'Revenues 9-14'!F211,'Revenues 9-14'!G211)</f>
        <v>349260</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884279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353865</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52293</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52293</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55356</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79858</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105077</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53534</v>
      </c>
      <c r="G174" s="928"/>
    </row>
    <row r="175" spans="1:7" x14ac:dyDescent="0.2">
      <c r="A175" s="1943" t="s">
        <v>5</v>
      </c>
      <c r="B175" s="1944" t="s">
        <v>2052</v>
      </c>
      <c r="C175" s="1945">
        <v>3100</v>
      </c>
      <c r="D175" s="1946" t="s">
        <v>2055</v>
      </c>
      <c r="E175" s="907"/>
      <c r="F175" s="1930"/>
      <c r="G175" s="928"/>
    </row>
    <row r="176" spans="1:7" x14ac:dyDescent="0.2">
      <c r="A176" s="1943" t="s">
        <v>684</v>
      </c>
      <c r="B176" s="1944" t="s">
        <v>2052</v>
      </c>
      <c r="C176" s="1945">
        <v>3300</v>
      </c>
      <c r="D176" s="1946" t="s">
        <v>2056</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1014</v>
      </c>
      <c r="F178" s="1810">
        <f>SUM(F84:F136,F161:F176)</f>
        <v>7455550</v>
      </c>
    </row>
    <row r="179" spans="1:7" ht="12" customHeight="1" x14ac:dyDescent="0.2">
      <c r="A179" s="1792"/>
      <c r="B179" s="1806"/>
      <c r="C179" s="1807"/>
      <c r="D179" s="1808" t="s">
        <v>2010</v>
      </c>
      <c r="E179" s="1809"/>
      <c r="F179" s="1811">
        <f>'PCTC-OEPP 27-28'!F77-F178</f>
        <v>31693192</v>
      </c>
    </row>
    <row r="180" spans="1:7" ht="12" customHeight="1" x14ac:dyDescent="0.2">
      <c r="A180" s="1792"/>
      <c r="B180" s="1806"/>
      <c r="C180" s="1807"/>
      <c r="D180" s="1808" t="s">
        <v>1920</v>
      </c>
      <c r="E180" s="1809"/>
      <c r="F180" s="1811">
        <f>'Cap Outlay Deprec 26'!I18</f>
        <v>1883815.28</v>
      </c>
    </row>
    <row r="181" spans="1:7" ht="12" customHeight="1" x14ac:dyDescent="0.2">
      <c r="A181" s="1792"/>
      <c r="B181" s="1806"/>
      <c r="C181" s="1807"/>
      <c r="D181" s="1808" t="s">
        <v>2011</v>
      </c>
      <c r="E181" s="1809"/>
      <c r="F181" s="1811">
        <f>F179+F180</f>
        <v>33577007.280000001</v>
      </c>
    </row>
    <row r="182" spans="1:7" ht="12" customHeight="1" x14ac:dyDescent="0.2">
      <c r="A182" s="1792"/>
      <c r="B182" s="1812"/>
      <c r="C182" s="1807"/>
      <c r="D182" s="1808" t="str">
        <f>D78</f>
        <v>9 Month ADA from District Average Daily Attendance/Prior General State Aid Inquiry 2017-2018</v>
      </c>
      <c r="E182" s="1809"/>
      <c r="F182" s="1813">
        <f>'PCTC-OEPP 27-28'!F78</f>
        <v>4324.88</v>
      </c>
      <c r="G182" s="931"/>
    </row>
    <row r="183" spans="1:7" ht="12" customHeight="1" thickBot="1" x14ac:dyDescent="0.25">
      <c r="A183" s="1792"/>
      <c r="B183" s="1812"/>
      <c r="C183" s="1807"/>
      <c r="D183" s="1808" t="s">
        <v>2012</v>
      </c>
      <c r="E183" s="1809" t="s">
        <v>1625</v>
      </c>
      <c r="F183" s="1814">
        <f>F181/F182</f>
        <v>7763.6852999389575</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7" customFormat="1" ht="12.2" customHeight="1" x14ac:dyDescent="0.2">
      <c r="A186" s="1947" t="s">
        <v>2059</v>
      </c>
      <c r="B186" s="1948"/>
      <c r="C186" s="1949"/>
      <c r="D186" s="1948"/>
      <c r="E186" s="1949"/>
      <c r="F186" s="1948"/>
      <c r="G186" s="1948"/>
    </row>
    <row r="187" spans="1:7" s="1947" customFormat="1" ht="12.2" customHeight="1" x14ac:dyDescent="0.2">
      <c r="A187" s="1950" t="s">
        <v>2060</v>
      </c>
      <c r="C187" s="1949"/>
      <c r="D187" s="1948"/>
      <c r="E187" s="1949"/>
      <c r="F187" s="1948"/>
      <c r="G187" s="1948"/>
    </row>
    <row r="188" spans="1:7" ht="12" customHeight="1" x14ac:dyDescent="0.2">
      <c r="C188" s="950"/>
      <c r="D188" s="931"/>
      <c r="E188" s="950"/>
      <c r="F188" s="931"/>
      <c r="G188" s="931"/>
    </row>
    <row r="189" spans="1:7" x14ac:dyDescent="0.2">
      <c r="A189" s="1951" t="s">
        <v>2058</v>
      </c>
      <c r="B189" s="1952"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31" sqref="D3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1921</v>
      </c>
      <c r="B4" s="2288"/>
      <c r="C4" s="2288"/>
      <c r="D4" s="2288"/>
      <c r="E4" s="2288"/>
      <c r="F4" s="2288"/>
      <c r="G4" s="2289"/>
    </row>
    <row r="5" spans="1:7" x14ac:dyDescent="0.25">
      <c r="A5" s="2290"/>
      <c r="B5" s="2291"/>
      <c r="C5" s="2291"/>
      <c r="D5" s="2291"/>
      <c r="E5" s="2291"/>
      <c r="F5" s="2291"/>
      <c r="G5" s="2292"/>
    </row>
    <row r="6" spans="1:7" ht="18.75" x14ac:dyDescent="0.25">
      <c r="A6" s="1556" t="s">
        <v>1922</v>
      </c>
      <c r="B6" s="1557"/>
      <c r="C6" s="1557"/>
      <c r="D6" s="1557"/>
      <c r="E6" s="1557"/>
      <c r="F6" s="1557"/>
      <c r="G6" s="1558"/>
    </row>
    <row r="7" spans="1:7" ht="30.75" customHeight="1" x14ac:dyDescent="0.25">
      <c r="A7" s="2293" t="s">
        <v>2069</v>
      </c>
      <c r="B7" s="2294"/>
      <c r="C7" s="2294"/>
      <c r="D7" s="2294"/>
      <c r="E7" s="2294"/>
      <c r="F7" s="2294"/>
      <c r="G7" s="2295"/>
    </row>
    <row r="8" spans="1:7" ht="15.75" customHeight="1" x14ac:dyDescent="0.25">
      <c r="A8" s="2296" t="s">
        <v>2018</v>
      </c>
      <c r="B8" s="2297"/>
      <c r="C8" s="2297"/>
      <c r="D8" s="2297"/>
      <c r="E8" s="2297"/>
      <c r="F8" s="2297"/>
      <c r="G8" s="2298"/>
    </row>
    <row r="9" spans="1:7" ht="35.25" customHeight="1" x14ac:dyDescent="0.25">
      <c r="A9" s="2293" t="s">
        <v>2072</v>
      </c>
      <c r="B9" s="2294"/>
      <c r="C9" s="2294"/>
      <c r="D9" s="2294"/>
      <c r="E9" s="2294"/>
      <c r="F9" s="2294"/>
      <c r="G9" s="2295"/>
    </row>
    <row r="10" spans="1:7" ht="15" customHeight="1" x14ac:dyDescent="0.25">
      <c r="A10" s="1559" t="s">
        <v>1923</v>
      </c>
      <c r="B10" s="1560"/>
      <c r="C10" s="1560"/>
      <c r="D10" s="1560"/>
      <c r="E10" s="1560"/>
      <c r="F10" s="1560"/>
      <c r="G10" s="1561"/>
    </row>
    <row r="11" spans="1:7" ht="17.25" customHeight="1" x14ac:dyDescent="0.25">
      <c r="A11" s="2293" t="s">
        <v>2071</v>
      </c>
      <c r="B11" s="2294"/>
      <c r="C11" s="2294"/>
      <c r="D11" s="2294"/>
      <c r="E11" s="2294"/>
      <c r="F11" s="2294"/>
      <c r="G11" s="2295"/>
    </row>
    <row r="12" spans="1:7" ht="15" customHeight="1" x14ac:dyDescent="0.25">
      <c r="A12" s="1559" t="s">
        <v>1928</v>
      </c>
      <c r="B12" s="1560"/>
      <c r="C12" s="1560"/>
      <c r="D12" s="1560"/>
      <c r="E12" s="1560"/>
      <c r="F12" s="1560"/>
      <c r="G12" s="1561"/>
    </row>
    <row r="13" spans="1:7" ht="32.25" customHeight="1" x14ac:dyDescent="0.25">
      <c r="A13" s="2284" t="s">
        <v>1929</v>
      </c>
      <c r="B13" s="2285"/>
      <c r="C13" s="2285"/>
      <c r="D13" s="2285"/>
      <c r="E13" s="2285"/>
      <c r="F13" s="2285"/>
      <c r="G13" s="2286"/>
    </row>
    <row r="14" spans="1:7" x14ac:dyDescent="0.25">
      <c r="A14" s="1683" t="s">
        <v>1937</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2206</v>
      </c>
      <c r="B17" s="1956" t="s">
        <v>2207</v>
      </c>
      <c r="C17" s="1957" t="s">
        <v>2208</v>
      </c>
      <c r="D17" s="1867">
        <v>13008</v>
      </c>
      <c r="E17" s="1562">
        <f t="shared" ref="E17:E141" si="1">IF(D17&lt;=25000,D17,IF(D17&gt;25000,25000,0))</f>
        <v>13008</v>
      </c>
      <c r="F17" s="1815">
        <f t="shared" si="0"/>
        <v>13008</v>
      </c>
      <c r="G17" s="1816">
        <f>IF(F17=0,0,D17-F17)</f>
        <v>0</v>
      </c>
      <c r="H17" s="1669"/>
    </row>
    <row r="18" spans="1:8" x14ac:dyDescent="0.25">
      <c r="A18" s="1955" t="s">
        <v>2206</v>
      </c>
      <c r="B18" s="1956" t="s">
        <v>2207</v>
      </c>
      <c r="C18" s="1957" t="s">
        <v>2209</v>
      </c>
      <c r="D18" s="1867">
        <v>4100</v>
      </c>
      <c r="E18" s="1562">
        <f t="shared" ref="E18:E140" si="2">IF(D18&lt;=25000,D18,IF(D18&gt;25000,25000,0))</f>
        <v>4100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4100</v>
      </c>
      <c r="G18" s="1816">
        <f t="shared" ref="G18:G140" si="4">IF(F18=0,0,D18-F18)</f>
        <v>0</v>
      </c>
    </row>
    <row r="19" spans="1:8" x14ac:dyDescent="0.25">
      <c r="A19" s="1955" t="s">
        <v>2206</v>
      </c>
      <c r="B19" s="1956" t="s">
        <v>2207</v>
      </c>
      <c r="C19" s="1957" t="s">
        <v>2210</v>
      </c>
      <c r="D19" s="1867">
        <v>9923</v>
      </c>
      <c r="E19" s="1562">
        <f t="shared" si="2"/>
        <v>9923</v>
      </c>
      <c r="F19" s="1815">
        <f t="shared" si="3"/>
        <v>9923</v>
      </c>
      <c r="G19" s="1816">
        <f t="shared" si="4"/>
        <v>0</v>
      </c>
    </row>
    <row r="20" spans="1:8" x14ac:dyDescent="0.25">
      <c r="A20" s="1955" t="s">
        <v>2206</v>
      </c>
      <c r="B20" s="1956" t="s">
        <v>2207</v>
      </c>
      <c r="C20" s="1957" t="s">
        <v>2211</v>
      </c>
      <c r="D20" s="1867">
        <f>32248-5960-1100-2700-2180-2540-300-1540-960-1760+1170</f>
        <v>14378</v>
      </c>
      <c r="E20" s="1562">
        <f t="shared" si="2"/>
        <v>14378</v>
      </c>
      <c r="F20" s="1815">
        <f t="shared" si="3"/>
        <v>14378</v>
      </c>
      <c r="G20" s="1816">
        <f t="shared" si="4"/>
        <v>0</v>
      </c>
    </row>
    <row r="21" spans="1:8" x14ac:dyDescent="0.25">
      <c r="A21" s="1955" t="s">
        <v>2206</v>
      </c>
      <c r="B21" s="1956" t="s">
        <v>2207</v>
      </c>
      <c r="C21" s="1957" t="s">
        <v>2212</v>
      </c>
      <c r="D21" s="1867">
        <v>15849</v>
      </c>
      <c r="E21" s="1562">
        <f t="shared" si="2"/>
        <v>15849</v>
      </c>
      <c r="F21" s="1815">
        <f t="shared" si="3"/>
        <v>15849</v>
      </c>
      <c r="G21" s="1816">
        <f t="shared" si="4"/>
        <v>0</v>
      </c>
    </row>
    <row r="22" spans="1:8" x14ac:dyDescent="0.25">
      <c r="A22" s="1955" t="s">
        <v>2206</v>
      </c>
      <c r="B22" s="1956" t="s">
        <v>2207</v>
      </c>
      <c r="C22" s="1957" t="s">
        <v>2213</v>
      </c>
      <c r="D22" s="1867">
        <f>157450-94150-11339-22315</f>
        <v>29646</v>
      </c>
      <c r="E22" s="1562">
        <f t="shared" si="2"/>
        <v>25000</v>
      </c>
      <c r="F22" s="1815">
        <f t="shared" si="3"/>
        <v>25000</v>
      </c>
      <c r="G22" s="1816">
        <f t="shared" si="4"/>
        <v>4646</v>
      </c>
    </row>
    <row r="23" spans="1:8" x14ac:dyDescent="0.25">
      <c r="A23" s="1955" t="s">
        <v>2206</v>
      </c>
      <c r="B23" s="1956" t="s">
        <v>2207</v>
      </c>
      <c r="C23" s="1957" t="s">
        <v>2214</v>
      </c>
      <c r="D23" s="1867">
        <v>41570</v>
      </c>
      <c r="E23" s="1562">
        <f t="shared" si="2"/>
        <v>25000</v>
      </c>
      <c r="F23" s="1815">
        <f t="shared" si="3"/>
        <v>25000</v>
      </c>
      <c r="G23" s="1816">
        <f t="shared" si="4"/>
        <v>16570</v>
      </c>
    </row>
    <row r="24" spans="1:8" x14ac:dyDescent="0.25">
      <c r="A24" s="1955" t="s">
        <v>2206</v>
      </c>
      <c r="B24" s="1956" t="s">
        <v>2207</v>
      </c>
      <c r="C24" s="1957" t="s">
        <v>2215</v>
      </c>
      <c r="D24" s="1867">
        <v>2370</v>
      </c>
      <c r="E24" s="1562">
        <f t="shared" si="2"/>
        <v>2370</v>
      </c>
      <c r="F24" s="1815">
        <f t="shared" si="3"/>
        <v>2370</v>
      </c>
      <c r="G24" s="1816">
        <f t="shared" si="4"/>
        <v>0</v>
      </c>
    </row>
    <row r="25" spans="1:8" x14ac:dyDescent="0.25">
      <c r="A25" s="1955" t="s">
        <v>2206</v>
      </c>
      <c r="B25" s="1956" t="s">
        <v>2207</v>
      </c>
      <c r="C25" s="1957" t="s">
        <v>2216</v>
      </c>
      <c r="D25" s="1867">
        <v>7500</v>
      </c>
      <c r="E25" s="1562">
        <f t="shared" si="2"/>
        <v>7500</v>
      </c>
      <c r="F25" s="1815">
        <f t="shared" si="3"/>
        <v>7500</v>
      </c>
      <c r="G25" s="1816">
        <f t="shared" si="4"/>
        <v>0</v>
      </c>
    </row>
    <row r="26" spans="1:8" x14ac:dyDescent="0.25">
      <c r="A26" s="1955" t="s">
        <v>2206</v>
      </c>
      <c r="B26" s="1956" t="s">
        <v>2207</v>
      </c>
      <c r="C26" s="1957" t="s">
        <v>2217</v>
      </c>
      <c r="D26" s="1867">
        <v>5319</v>
      </c>
      <c r="E26" s="1562">
        <f t="shared" si="2"/>
        <v>5319</v>
      </c>
      <c r="F26" s="1815">
        <f t="shared" si="3"/>
        <v>5319</v>
      </c>
      <c r="G26" s="1816">
        <f t="shared" si="4"/>
        <v>0</v>
      </c>
    </row>
    <row r="27" spans="1:8" x14ac:dyDescent="0.25">
      <c r="A27" s="1955" t="s">
        <v>2218</v>
      </c>
      <c r="B27" s="1956" t="s">
        <v>2219</v>
      </c>
      <c r="C27" s="1957" t="s">
        <v>2220</v>
      </c>
      <c r="D27" s="1867">
        <v>4675</v>
      </c>
      <c r="E27" s="1562">
        <f t="shared" si="2"/>
        <v>4675</v>
      </c>
      <c r="F27" s="1815">
        <f t="shared" si="3"/>
        <v>4675</v>
      </c>
      <c r="G27" s="1816">
        <f t="shared" si="4"/>
        <v>0</v>
      </c>
    </row>
    <row r="28" spans="1:8" x14ac:dyDescent="0.25">
      <c r="A28" s="1955" t="s">
        <v>2218</v>
      </c>
      <c r="B28" s="1956" t="s">
        <v>2219</v>
      </c>
      <c r="C28" s="1957" t="s">
        <v>2221</v>
      </c>
      <c r="D28" s="1867">
        <f>780+390*10</f>
        <v>4680</v>
      </c>
      <c r="E28" s="1562">
        <f t="shared" si="2"/>
        <v>4680</v>
      </c>
      <c r="F28" s="1815">
        <f t="shared" si="3"/>
        <v>4680</v>
      </c>
      <c r="G28" s="1816">
        <f t="shared" si="4"/>
        <v>0</v>
      </c>
    </row>
    <row r="29" spans="1:8" x14ac:dyDescent="0.25">
      <c r="A29" s="1955" t="s">
        <v>2222</v>
      </c>
      <c r="B29" s="1956" t="s">
        <v>2223</v>
      </c>
      <c r="C29" s="1957" t="s">
        <v>2224</v>
      </c>
      <c r="D29" s="1867">
        <v>94446</v>
      </c>
      <c r="E29" s="1562">
        <f t="shared" si="2"/>
        <v>25000</v>
      </c>
      <c r="F29" s="1815">
        <f t="shared" si="3"/>
        <v>25000</v>
      </c>
      <c r="G29" s="1816">
        <f t="shared" si="4"/>
        <v>69446</v>
      </c>
    </row>
    <row r="30" spans="1:8" x14ac:dyDescent="0.25">
      <c r="A30" s="1955" t="s">
        <v>2222</v>
      </c>
      <c r="B30" s="1956" t="s">
        <v>2223</v>
      </c>
      <c r="C30" s="1957" t="s">
        <v>2225</v>
      </c>
      <c r="D30" s="1867">
        <v>7873</v>
      </c>
      <c r="E30" s="1562">
        <f t="shared" si="2"/>
        <v>7873</v>
      </c>
      <c r="F30" s="1815">
        <f t="shared" si="3"/>
        <v>7873</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255337</v>
      </c>
      <c r="E141" s="1563">
        <f t="shared" si="1"/>
        <v>25000</v>
      </c>
      <c r="F141" s="1817">
        <f>SUM(F17:F140)</f>
        <v>164675</v>
      </c>
      <c r="G141" s="1818">
        <f>SUM(G17:G140)</f>
        <v>90662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f>+'Revenues 9-14'!C201</f>
        <v>416182</v>
      </c>
      <c r="F10" s="975"/>
      <c r="G10" s="976"/>
      <c r="H10" s="162"/>
      <c r="I10" s="162"/>
    </row>
    <row r="11" spans="1:9" s="669" customFormat="1" ht="22.5" customHeight="1" x14ac:dyDescent="0.2">
      <c r="A11" s="2304" t="s">
        <v>1940</v>
      </c>
      <c r="B11" s="2305"/>
      <c r="C11" s="2305"/>
      <c r="D11" s="2306"/>
      <c r="E11" s="978">
        <v>108170.37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22529330</v>
      </c>
      <c r="F19" s="1822"/>
      <c r="G19" s="1824">
        <f>'Expenditures 15-22'!K33-SUM('Expenditures 15-22'!G33,'Expenditures 15-22'!I33)+'Expenditures 15-22'!D229</f>
        <v>22529330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2475257</v>
      </c>
      <c r="F21" s="1825"/>
      <c r="G21" s="1828">
        <f>'Expenditures 15-22'!K42-SUM('Expenditures 15-22'!G42,'Expenditures 15-22'!I42)+'Expenditures 15-22'!K120-SUM('Expenditures 15-22'!G120,'Expenditures 15-22'!I120)+'Expenditures 15-22'!K180-SUM('Expenditures 15-22'!G180,'Expenditures 15-22'!I180)+'Expenditures 15-22'!D238</f>
        <v>2475257</v>
      </c>
      <c r="H21" s="988"/>
      <c r="I21" s="162"/>
    </row>
    <row r="22" spans="1:9" s="669" customFormat="1" ht="12" customHeight="1" x14ac:dyDescent="0.2">
      <c r="A22" s="995" t="s">
        <v>584</v>
      </c>
      <c r="B22" s="996"/>
      <c r="C22" s="994">
        <v>2200</v>
      </c>
      <c r="D22" s="1825"/>
      <c r="E22" s="1827">
        <f>'Expenditures 15-22'!K47-SUM('Expenditures 15-22'!G47,'Expenditures 15-22'!I47)+'Expenditures 15-22'!D243</f>
        <v>467267</v>
      </c>
      <c r="F22" s="1825"/>
      <c r="G22" s="1828">
        <f>'Expenditures 15-22'!K47-SUM('Expenditures 15-22'!G47,'Expenditures 15-22'!I47)+'Expenditures 15-22'!D243</f>
        <v>467267</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1476376</v>
      </c>
      <c r="F23" s="1825"/>
      <c r="G23" s="1827">
        <f>'Expenditures 15-22'!K53-SUM('Expenditures 15-22'!G53,'Expenditures 15-22'!I53)+'Expenditures 15-22'!D257+'Expenditures 15-22'!K330-SUM('Expenditures 15-22'!G330,'Expenditures 15-22'!I330)</f>
        <v>1476376</v>
      </c>
      <c r="H23" s="988"/>
      <c r="I23" s="162"/>
    </row>
    <row r="24" spans="1:9" s="669" customFormat="1" ht="12" customHeight="1" x14ac:dyDescent="0.2">
      <c r="A24" s="995" t="s">
        <v>586</v>
      </c>
      <c r="B24" s="996"/>
      <c r="C24" s="994">
        <v>2400</v>
      </c>
      <c r="D24" s="1825"/>
      <c r="E24" s="1827">
        <f>'Expenditures 15-22'!K57-SUM('Expenditures 15-22'!G57,'Expenditures 15-22'!I57)+'Expenditures 15-22'!D261</f>
        <v>2114034</v>
      </c>
      <c r="F24" s="1825"/>
      <c r="G24" s="1828">
        <f>'Expenditures 15-22'!K57-SUM('Expenditures 15-22'!G57,'Expenditures 15-22'!I57)+'Expenditures 15-22'!D261</f>
        <v>2114034</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122720</v>
      </c>
      <c r="E26" s="1827">
        <f>'Expenditures 15-22'!K122-SUM('Expenditures 15-22'!G122,'Expenditures 15-22'!I122)+E7</f>
        <v>0</v>
      </c>
      <c r="F26" s="1827">
        <f>'Expenditures 15-22'!K59-SUM('Expenditures 15-22'!G59,'Expenditures 15-22'!I59)+'Expenditures 15-22'!D263-E7</f>
        <v>122720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191100</v>
      </c>
      <c r="E27" s="1827">
        <f>E8</f>
        <v>0</v>
      </c>
      <c r="F27" s="1827">
        <f>'Expenditures 15-22'!K60-SUM('Expenditures 15-22'!G60,'Expenditures 15-22'!I60)+'Expenditures 15-22'!D264-E8</f>
        <v>191100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4184043</v>
      </c>
      <c r="F28" s="1829">
        <f>'Expenditures 15-22'!K61-SUM('Expenditures 15-22'!G61,'Expenditures 15-22'!I61)+'Expenditures 15-22'!K124-SUM('Expenditures 15-22'!G124,'Expenditures 15-22'!I124)+'Expenditures 15-22'!D266-E9</f>
        <v>4184043</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2108858</v>
      </c>
      <c r="F29" s="1825"/>
      <c r="G29" s="1828">
        <f>'Expenditures 15-22'!K62-SUM('Expenditures 15-22'!G62,'Expenditures 15-22'!I62)+'Expenditures 15-22'!K125-SUM('Expenditures 15-22'!G125,'Expenditures 15-22'!I125)+'Expenditures 15-22'!K182-SUM('Expenditures 15-22'!G182,'Expenditures 15-22'!I182)+'Expenditures 15-22'!D267</f>
        <v>2108858</v>
      </c>
      <c r="H29" s="986"/>
    </row>
    <row r="30" spans="1:9" ht="12" customHeight="1" x14ac:dyDescent="0.2">
      <c r="A30" s="995" t="s">
        <v>102</v>
      </c>
      <c r="B30" s="998"/>
      <c r="C30" s="994">
        <v>2560</v>
      </c>
      <c r="D30" s="1825"/>
      <c r="E30" s="1827">
        <f>'Expenditures 15-22'!K63-SUM('Expenditures 15-22'!G63,'Expenditures 15-22'!I63)+'Expenditures 15-22'!D268-E10</f>
        <v>1594793</v>
      </c>
      <c r="F30" s="1825"/>
      <c r="G30" s="1827">
        <f>'Expenditures 15-22'!K63-SUM('Expenditures 15-22'!G63,'Expenditures 15-22'!I63)+'Expenditures 15-22'!D268-E10</f>
        <v>1594793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80984</v>
      </c>
      <c r="F35" s="1825"/>
      <c r="G35" s="1827">
        <f>'Expenditures 15-22'!K69-SUM('Expenditures 15-22'!G69,'Expenditures 15-22'!I69)+'Expenditures 15-22'!D274</f>
        <v>80984</v>
      </c>
    </row>
    <row r="36" spans="1:7" ht="12" customHeight="1" x14ac:dyDescent="0.2">
      <c r="A36" s="995" t="s">
        <v>422</v>
      </c>
      <c r="B36" s="998"/>
      <c r="C36" s="994">
        <v>2640</v>
      </c>
      <c r="D36" s="1827">
        <f>'Expenditures 15-22'!K70-SUM('Expenditures 15-22'!G70,'Expenditures 15-22'!I70)+'Expenditures 15-22'!D275-E13</f>
        <v>63554</v>
      </c>
      <c r="E36" s="1827">
        <f>E13</f>
        <v>0</v>
      </c>
      <c r="F36" s="1827">
        <f>'Expenditures 15-22'!K70-SUM('Expenditures 15-22'!G70,'Expenditures 15-22'!I70)+'Expenditures 15-22'!D275-E13</f>
        <v>63554</v>
      </c>
      <c r="G36" s="1827">
        <f>E13</f>
        <v>0</v>
      </c>
    </row>
    <row r="37" spans="1:7" ht="12" customHeight="1" x14ac:dyDescent="0.2">
      <c r="A37" s="995" t="s">
        <v>423</v>
      </c>
      <c r="B37" s="998"/>
      <c r="C37" s="994">
        <v>2660</v>
      </c>
      <c r="D37" s="1827">
        <f>'Expenditures 15-22'!K71-SUM('Expenditures 15-22'!G71,'Expenditures 15-22'!I71)+'Expenditures 15-22'!D276-E14</f>
        <v>1028897</v>
      </c>
      <c r="E37" s="1827">
        <f>E14</f>
        <v>0</v>
      </c>
      <c r="F37" s="1827">
        <f>'Expenditures 15-22'!K71-SUM('Expenditures 15-22'!G71,'Expenditures 15-22'!I71)+'Expenditures 15-22'!D276-E14</f>
        <v>1028897</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1254</v>
      </c>
      <c r="F38" s="1825"/>
      <c r="G38" s="1827">
        <f>'Expenditures 15-22'!K73-SUM('Expenditures 15-22'!G73,'Expenditures 15-22'!I73)+'Expenditures 15-22'!K128-SUM('Expenditures 15-22'!G128,'Expenditures 15-22'!I128)+'Expenditures 15-22'!K183-SUM('Expenditures 15-22'!G183,'Expenditures 15-22'!I183)+'Expenditures 15-22'!D278</f>
        <v>1254</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11103</v>
      </c>
      <c r="F39" s="1825"/>
      <c r="G39" s="1827">
        <f>'Expenditures 15-22'!K75-SUM('Expenditures 15-22'!G75,'Expenditures 15-22'!I75)+'Expenditures 15-22'!K130-SUM('Expenditures 15-22'!G130,'Expenditures 15-22'!I130)+'Expenditures 15-22'!K185-SUM('Expenditures 15-22'!G185,'Expenditures 15-22'!I185)+'Expenditures 15-22'!D280</f>
        <v>11103</v>
      </c>
    </row>
    <row r="40" spans="1:7" ht="12" customHeight="1" x14ac:dyDescent="0.2">
      <c r="A40" s="991" t="s">
        <v>1926</v>
      </c>
      <c r="B40" s="992"/>
      <c r="C40" s="994"/>
      <c r="D40" s="1825"/>
      <c r="E40" s="1829">
        <f>-'Contracts Paid in CY 29'!G141</f>
        <v>-90662</v>
      </c>
      <c r="F40" s="1825"/>
      <c r="G40" s="1829">
        <f>-'Contracts Paid in CY 29'!G141</f>
        <v>-90662</v>
      </c>
    </row>
    <row r="41" spans="1:7" ht="12" customHeight="1" x14ac:dyDescent="0.2">
      <c r="A41" s="999" t="s">
        <v>158</v>
      </c>
      <c r="B41" s="1000"/>
      <c r="C41" s="1001"/>
      <c r="D41" s="1829">
        <f>SUM(D19:D39)</f>
        <v>1406271</v>
      </c>
      <c r="E41" s="1829">
        <f>SUM(E19:E40)</f>
        <v>36952637</v>
      </c>
      <c r="F41" s="1829">
        <f>SUM(F19:F39)</f>
        <v>5590314</v>
      </c>
      <c r="G41" s="1829">
        <f>SUM(G19:G40)</f>
        <v>32768594</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1406271</v>
      </c>
      <c r="F43" s="1830" t="s">
        <v>494</v>
      </c>
      <c r="G43" s="1831">
        <f>F41</f>
        <v>5590314</v>
      </c>
    </row>
    <row r="44" spans="1:7" ht="12" customHeight="1" x14ac:dyDescent="0.2">
      <c r="A44" s="988"/>
      <c r="B44" s="162"/>
      <c r="C44" s="1002"/>
      <c r="D44" s="1830" t="s">
        <v>493</v>
      </c>
      <c r="E44" s="1831">
        <f>E41</f>
        <v>36952637</v>
      </c>
      <c r="F44" s="1830" t="s">
        <v>493</v>
      </c>
      <c r="G44" s="1831">
        <f>G41</f>
        <v>32768594</v>
      </c>
    </row>
    <row r="45" spans="1:7" ht="12" customHeight="1" x14ac:dyDescent="0.2">
      <c r="A45" s="988"/>
      <c r="B45" s="162"/>
      <c r="C45" s="162"/>
      <c r="D45" s="1832" t="s">
        <v>1062</v>
      </c>
      <c r="E45" s="1833">
        <f>(E43/E44)</f>
        <v>3.8056039140048382E-2</v>
      </c>
      <c r="F45" s="1832" t="s">
        <v>1062</v>
      </c>
      <c r="G45" s="1833">
        <f>(G43/G44)</f>
        <v>0.17059975170127836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1445</v>
      </c>
      <c r="B1" s="2310"/>
      <c r="C1" s="2310"/>
      <c r="D1" s="2310"/>
      <c r="E1" s="2310"/>
      <c r="F1" s="2310"/>
    </row>
    <row r="2" spans="1:10" x14ac:dyDescent="0.2">
      <c r="A2" s="1911" t="s">
        <v>2042</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1" t="s">
        <v>1626</v>
      </c>
      <c r="B5" s="2312"/>
      <c r="C5" s="2313"/>
      <c r="D5" s="2313"/>
      <c r="E5" s="2313"/>
      <c r="F5" s="2313"/>
    </row>
    <row r="6" spans="1:10" ht="12" customHeight="1" x14ac:dyDescent="0.25">
      <c r="A6" s="1874"/>
      <c r="B6" s="1875"/>
      <c r="C6" s="2314" t="str">
        <f>COVER!A17</f>
        <v>Ball-Chatham Community Unit School District #5</v>
      </c>
      <c r="D6" s="2314"/>
      <c r="E6" s="2314"/>
      <c r="F6" s="1876"/>
    </row>
    <row r="7" spans="1:10" ht="11.25" customHeight="1" thickBot="1" x14ac:dyDescent="0.3">
      <c r="A7" s="1874"/>
      <c r="B7" s="1875"/>
      <c r="C7" s="2315">
        <f>COVER!A13</f>
        <v>51084005026</v>
      </c>
      <c r="D7" s="2315"/>
      <c r="E7" s="2315"/>
      <c r="F7" s="1876"/>
    </row>
    <row r="8" spans="1:10" ht="25.5" customHeight="1" thickBot="1" x14ac:dyDescent="0.25">
      <c r="A8" s="1917" t="s">
        <v>2019</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c r="D26" s="1889"/>
      <c r="E26" s="1892"/>
      <c r="F26" s="1891"/>
      <c r="H26" s="1902">
        <f t="shared" si="0"/>
        <v>0</v>
      </c>
      <c r="I26" s="1902">
        <f t="shared" si="1"/>
        <v>0</v>
      </c>
      <c r="J26" s="1902">
        <f t="shared" si="2"/>
        <v>0</v>
      </c>
    </row>
    <row r="27" spans="1:12" ht="18.75" x14ac:dyDescent="0.2">
      <c r="A27" s="1887" t="s">
        <v>1615</v>
      </c>
      <c r="B27" s="1888"/>
      <c r="C27" s="1889" t="s">
        <v>2105</v>
      </c>
      <c r="D27" s="1889" t="s">
        <v>2105</v>
      </c>
      <c r="E27" s="1892"/>
      <c r="F27" s="1891" t="s">
        <v>2106</v>
      </c>
      <c r="H27" s="1902">
        <f t="shared" si="0"/>
        <v>5</v>
      </c>
      <c r="I27" s="1902">
        <f t="shared" si="1"/>
        <v>5</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t="s">
        <v>2105</v>
      </c>
      <c r="D31" s="1889" t="s">
        <v>2105</v>
      </c>
      <c r="E31" s="1892"/>
      <c r="F31" s="1891" t="s">
        <v>2107</v>
      </c>
      <c r="H31" s="1902">
        <f t="shared" si="0"/>
        <v>5</v>
      </c>
      <c r="I31" s="1902">
        <f t="shared" si="1"/>
        <v>5</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1458</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1457</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34" t="str">
        <f>COVER!A17</f>
        <v>Ball-Chatham Community Unit School District #5</v>
      </c>
      <c r="J6" s="2335"/>
      <c r="Q6" s="1686"/>
    </row>
    <row r="7" spans="1:17" x14ac:dyDescent="0.2">
      <c r="A7" s="2336" t="s">
        <v>923</v>
      </c>
      <c r="B7" s="2337"/>
      <c r="C7" s="2337"/>
      <c r="D7" s="2337"/>
      <c r="E7" s="2338"/>
      <c r="F7" s="1018"/>
      <c r="G7" s="1010"/>
      <c r="H7" s="1017" t="s">
        <v>389</v>
      </c>
      <c r="I7" s="2339">
        <f>COVER!A13</f>
        <v>51084005026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394097</v>
      </c>
      <c r="F12" s="1040"/>
      <c r="G12" s="1834">
        <f t="shared" ref="G12:G18" si="0">SUM(E12:F12)</f>
        <v>394097</v>
      </c>
      <c r="H12" s="1041">
        <v>404972</v>
      </c>
      <c r="I12" s="1040"/>
      <c r="J12" s="1834">
        <f t="shared" ref="J12:J18" si="1">SUM(H12:I12)</f>
        <v>404972</v>
      </c>
    </row>
    <row r="13" spans="1:17" ht="15" customHeight="1" x14ac:dyDescent="0.2">
      <c r="A13" s="1036">
        <v>2</v>
      </c>
      <c r="B13" s="1037" t="s">
        <v>44</v>
      </c>
      <c r="C13" s="1038"/>
      <c r="D13" s="1039">
        <v>2330</v>
      </c>
      <c r="E13" s="1834">
        <f>'Expenditures 15-22'!K51</f>
        <v>238728</v>
      </c>
      <c r="F13" s="1040"/>
      <c r="G13" s="1834">
        <f t="shared" si="0"/>
        <v>238728</v>
      </c>
      <c r="H13" s="1041">
        <v>260118</v>
      </c>
      <c r="I13" s="1040"/>
      <c r="J13" s="1834">
        <f t="shared" si="1"/>
        <v>260118</v>
      </c>
    </row>
    <row r="14" spans="1:17" ht="15" customHeight="1" x14ac:dyDescent="0.2">
      <c r="A14" s="1036">
        <v>3</v>
      </c>
      <c r="B14" s="1037" t="s">
        <v>45</v>
      </c>
      <c r="C14" s="1038"/>
      <c r="D14" s="1042">
        <v>2490</v>
      </c>
      <c r="E14" s="1834">
        <f>'Expenditures 15-22'!K56</f>
        <v>203450</v>
      </c>
      <c r="F14" s="1040"/>
      <c r="G14" s="1834">
        <f t="shared" si="0"/>
        <v>203450</v>
      </c>
      <c r="H14" s="1041">
        <v>245238</v>
      </c>
      <c r="I14" s="1040"/>
      <c r="J14" s="1834">
        <f t="shared" si="1"/>
        <v>245238</v>
      </c>
    </row>
    <row r="15" spans="1:17" ht="15" customHeight="1" x14ac:dyDescent="0.2">
      <c r="A15" s="1036">
        <v>4</v>
      </c>
      <c r="B15" s="1037" t="s">
        <v>1127</v>
      </c>
      <c r="C15" s="1038"/>
      <c r="D15" s="1039">
        <v>2510</v>
      </c>
      <c r="E15" s="1834">
        <f>'Expenditures 15-22'!K59</f>
        <v>118628</v>
      </c>
      <c r="F15" s="1834">
        <f>'Expenditures 15-22'!K122</f>
        <v>0</v>
      </c>
      <c r="G15" s="1834">
        <f t="shared" si="0"/>
        <v>118628</v>
      </c>
      <c r="H15" s="1041">
        <v>125117</v>
      </c>
      <c r="I15" s="1041"/>
      <c r="J15" s="1834">
        <f t="shared" si="1"/>
        <v>125117</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954903</v>
      </c>
      <c r="F19" s="1836">
        <f t="shared" si="2"/>
        <v>0</v>
      </c>
      <c r="G19" s="1836">
        <f t="shared" si="2"/>
        <v>954903</v>
      </c>
      <c r="H19" s="1836">
        <f t="shared" si="2"/>
        <v>1035445</v>
      </c>
      <c r="I19" s="1836">
        <f t="shared" si="2"/>
        <v>0</v>
      </c>
      <c r="J19" s="1836">
        <f t="shared" si="2"/>
        <v>1035445</v>
      </c>
    </row>
    <row r="20" spans="1:10" ht="13.5" thickTop="1" x14ac:dyDescent="0.2">
      <c r="A20" s="1036">
        <v>9</v>
      </c>
      <c r="B20" s="2346" t="s">
        <v>1702</v>
      </c>
      <c r="C20" s="2346"/>
      <c r="D20" s="2347"/>
      <c r="E20" s="1047"/>
      <c r="F20" s="1047"/>
      <c r="G20" s="1047"/>
      <c r="H20" s="1047"/>
      <c r="I20" s="1047"/>
      <c r="J20" s="1837">
        <f>IF(AND(G19&gt;0,J19&gt;0),(((J19-G19)/G19)),"Enter Budget Data")</f>
        <v>8.4345739829071648E-2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1939</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t="s">
        <v>2105</v>
      </c>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8" sqref="A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2109</v>
      </c>
    </row>
    <row r="7" spans="1:2" x14ac:dyDescent="0.2">
      <c r="A7" s="1069">
        <v>3</v>
      </c>
      <c r="B7" s="329" t="s">
        <v>2110</v>
      </c>
    </row>
    <row r="8" spans="1:2" x14ac:dyDescent="0.2">
      <c r="A8" s="1069">
        <v>4</v>
      </c>
      <c r="B8" s="329" t="s">
        <v>2111</v>
      </c>
    </row>
    <row r="9" spans="1:2" x14ac:dyDescent="0.2">
      <c r="A9" s="1069">
        <v>5</v>
      </c>
      <c r="B9" s="329" t="s">
        <v>2112</v>
      </c>
    </row>
    <row r="10" spans="1:2" x14ac:dyDescent="0.2">
      <c r="A10" s="1069">
        <v>6</v>
      </c>
      <c r="B10" s="329" t="s">
        <v>2113</v>
      </c>
    </row>
    <row r="11" spans="1:2" x14ac:dyDescent="0.2">
      <c r="A11" s="1069">
        <v>7</v>
      </c>
      <c r="B11" s="329" t="s">
        <v>2114</v>
      </c>
    </row>
    <row r="12" spans="1:2" x14ac:dyDescent="0.2">
      <c r="A12" s="1069">
        <v>8</v>
      </c>
      <c r="B12" s="329" t="s">
        <v>2115</v>
      </c>
    </row>
    <row r="13" spans="1:2" x14ac:dyDescent="0.2">
      <c r="A13" s="1069">
        <v>9</v>
      </c>
      <c r="B13" s="329" t="s">
        <v>2116</v>
      </c>
    </row>
    <row r="14" spans="1:2" x14ac:dyDescent="0.2">
      <c r="A14" s="1069">
        <v>10</v>
      </c>
      <c r="B14" s="329" t="s">
        <v>2117</v>
      </c>
    </row>
    <row r="15" spans="1:2" x14ac:dyDescent="0.2">
      <c r="A15" s="1069">
        <v>11</v>
      </c>
      <c r="B15" s="329" t="s">
        <v>2118</v>
      </c>
    </row>
    <row r="16" spans="1:2" x14ac:dyDescent="0.2">
      <c r="A16" s="1069">
        <v>12</v>
      </c>
      <c r="B16" s="329" t="s">
        <v>2119</v>
      </c>
    </row>
    <row r="17" spans="1:2" x14ac:dyDescent="0.2">
      <c r="A17" s="1069">
        <v>13</v>
      </c>
      <c r="B17" s="329" t="s">
        <v>2120</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Ball-Chatham Community Unit School District #5</v>
      </c>
    </row>
    <row r="65" spans="2:2" x14ac:dyDescent="0.2">
      <c r="B65" s="1071">
        <f>COVER!A13</f>
        <v>51084005026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859" t="s">
        <v>1708</v>
      </c>
    </row>
    <row r="23" spans="1:5" x14ac:dyDescent="0.2">
      <c r="A23" s="168"/>
      <c r="B23" s="162" t="s">
        <v>1964</v>
      </c>
      <c r="D23" s="167" t="s">
        <v>657</v>
      </c>
      <c r="E23" s="1859"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2050</v>
      </c>
      <c r="B4" s="2374"/>
      <c r="C4" s="2374"/>
      <c r="D4" s="2374"/>
      <c r="E4" s="2374"/>
      <c r="F4" s="2375"/>
      <c r="G4" s="1075"/>
      <c r="H4" s="1075"/>
    </row>
    <row r="5" spans="1:8" ht="14.25" customHeight="1" x14ac:dyDescent="0.2">
      <c r="A5" s="2376" t="s">
        <v>2051</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36855517</v>
      </c>
      <c r="C8" s="1838">
        <f>'Acct Summary 7-8'!D8</f>
        <v>4400922</v>
      </c>
      <c r="D8" s="1838">
        <f>'Acct Summary 7-8'!F8</f>
        <v>2752567</v>
      </c>
      <c r="E8" s="1838">
        <f>'Acct Summary 7-8'!I8</f>
        <v>120331</v>
      </c>
      <c r="F8" s="1838">
        <f>SUM(B8:E8)</f>
        <v>44129337</v>
      </c>
    </row>
    <row r="9" spans="1:8" s="1080" customFormat="1" ht="14.25" customHeight="1" thickBot="1" x14ac:dyDescent="0.25">
      <c r="A9" s="1079" t="s">
        <v>1435</v>
      </c>
      <c r="B9" s="1839">
        <f>'Acct Summary 7-8'!C17</f>
        <v>32708784</v>
      </c>
      <c r="C9" s="1839">
        <f>'Acct Summary 7-8'!D17</f>
        <v>3824930</v>
      </c>
      <c r="D9" s="1839">
        <f>'Acct Summary 7-8'!F17</f>
        <v>2044538</v>
      </c>
      <c r="E9" s="1838"/>
      <c r="F9" s="1838">
        <f>SUM(B9:E9)</f>
        <v>38578252</v>
      </c>
    </row>
    <row r="10" spans="1:8" s="1080" customFormat="1" ht="14.25" thickTop="1" thickBot="1" x14ac:dyDescent="0.25">
      <c r="A10" s="1081" t="s">
        <v>1436</v>
      </c>
      <c r="B10" s="1840">
        <f>(B8-B9)</f>
        <v>4146733</v>
      </c>
      <c r="C10" s="1840">
        <f>(C8-C9)</f>
        <v>575992</v>
      </c>
      <c r="D10" s="1840">
        <f>(D8-D9)</f>
        <v>708029</v>
      </c>
      <c r="E10" s="1839">
        <f>(E8-E9)</f>
        <v>120331</v>
      </c>
      <c r="F10" s="1841">
        <f>SUM(F8-F9)</f>
        <v>5551085</v>
      </c>
    </row>
    <row r="11" spans="1:8" s="1080" customFormat="1" ht="14.25" thickTop="1" thickBot="1" x14ac:dyDescent="0.25">
      <c r="A11" s="1082" t="s">
        <v>1784</v>
      </c>
      <c r="B11" s="1842">
        <f>'Acct Summary 7-8'!C81</f>
        <v>11614889</v>
      </c>
      <c r="C11" s="1842">
        <f>'Acct Summary 7-8'!D81</f>
        <v>7428337</v>
      </c>
      <c r="D11" s="1842">
        <f>'Acct Summary 7-8'!F81</f>
        <v>2277692</v>
      </c>
      <c r="E11" s="1842">
        <f>'Acct Summary 7-8'!I81</f>
        <v>2262217</v>
      </c>
      <c r="F11" s="1843">
        <f>SUM(B11:E11)</f>
        <v>23583135</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51084005026</v>
      </c>
    </row>
    <row r="3" spans="1:2" x14ac:dyDescent="0.2">
      <c r="A3" t="s">
        <v>1012</v>
      </c>
      <c r="B3" s="138" t="str">
        <f>COVER!A15</f>
        <v>Sangamon</v>
      </c>
    </row>
    <row r="4" spans="1:2" x14ac:dyDescent="0.2">
      <c r="A4" t="s">
        <v>1063</v>
      </c>
      <c r="B4" s="138" t="str">
        <f>COVER!A17</f>
        <v>Ball-Chatham Community Unit School District #5</v>
      </c>
    </row>
    <row r="5" spans="1:2" x14ac:dyDescent="0.2">
      <c r="A5" t="s">
        <v>727</v>
      </c>
      <c r="B5" s="138" t="str">
        <f>COVER!A38</f>
        <v>Dr. Douglas Wood</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066-005100</v>
      </c>
    </row>
    <row r="16" spans="1:2" x14ac:dyDescent="0.2">
      <c r="A16" t="s">
        <v>441</v>
      </c>
      <c r="B16" s="138" t="str">
        <f>COVER!T13</f>
        <v>Mack &amp; Associates, P.C.</v>
      </c>
    </row>
    <row r="17" spans="1:2" x14ac:dyDescent="0.2">
      <c r="A17" t="s">
        <v>938</v>
      </c>
      <c r="B17" s="138" t="str">
        <f>COVER!T15</f>
        <v>Tawnya R. Mack, CPA</v>
      </c>
    </row>
    <row r="18" spans="1:2" x14ac:dyDescent="0.2">
      <c r="A18" t="s">
        <v>1211</v>
      </c>
      <c r="B18" s="138" t="str">
        <f>COVER!T17</f>
        <v>116 E. Washington Street, Suite One</v>
      </c>
    </row>
    <row r="19" spans="1:2" x14ac:dyDescent="0.2">
      <c r="A19" t="s">
        <v>940</v>
      </c>
      <c r="B19" s="138" t="str">
        <f>COVER!T25</f>
        <v>tmack@mackcpas.com</v>
      </c>
    </row>
    <row r="20" spans="1:2" x14ac:dyDescent="0.2">
      <c r="A20" t="s">
        <v>941</v>
      </c>
      <c r="B20" s="138" t="str">
        <f>COVER!T19</f>
        <v>Morris</v>
      </c>
    </row>
    <row r="21" spans="1:2" x14ac:dyDescent="0.2">
      <c r="A21" t="s">
        <v>499</v>
      </c>
      <c r="B21" s="138" t="str">
        <f>COVER!X19</f>
        <v>IL</v>
      </c>
    </row>
    <row r="22" spans="1:2" x14ac:dyDescent="0.2">
      <c r="A22" t="s">
        <v>942</v>
      </c>
      <c r="B22" s="138">
        <f>COVER!Z19</f>
        <v>60450</v>
      </c>
    </row>
    <row r="23" spans="1:2" x14ac:dyDescent="0.2">
      <c r="A23" t="s">
        <v>1213</v>
      </c>
      <c r="B23" s="138" t="str">
        <f>COVER!T21</f>
        <v>(815) 942-3306</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35431</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11904360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289471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289471</v>
      </c>
      <c r="C91" s="2" t="s">
        <v>593</v>
      </c>
      <c r="D91" s="2" t="str">
        <f t="shared" si="0"/>
        <v>Error?</v>
      </c>
    </row>
    <row r="92" spans="1:4" x14ac:dyDescent="0.2">
      <c r="A92" s="5">
        <v>31</v>
      </c>
      <c r="B92" s="138">
        <f>'Assets-Liab 5-6'!C39</f>
        <v>9844720</v>
      </c>
      <c r="D92" s="2" t="str">
        <f t="shared" si="0"/>
        <v>Error?</v>
      </c>
    </row>
    <row r="93" spans="1:4" x14ac:dyDescent="0.2">
      <c r="A93" s="5">
        <v>32</v>
      </c>
      <c r="B93" s="138">
        <f>'Assets-Liab 5-6'!C41</f>
        <v>11904360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7456159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27822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27822</v>
      </c>
      <c r="C122" s="2" t="s">
        <v>593</v>
      </c>
      <c r="D122" s="2" t="str">
        <f t="shared" si="0"/>
        <v>Error?</v>
      </c>
    </row>
    <row r="123" spans="1:4" x14ac:dyDescent="0.2">
      <c r="A123" s="5">
        <v>62</v>
      </c>
      <c r="B123" s="138">
        <f>'Assets-Liab 5-6'!D39</f>
        <v>7428337</v>
      </c>
      <c r="D123" s="2" t="str">
        <f t="shared" si="0"/>
        <v>Error?</v>
      </c>
    </row>
    <row r="124" spans="1:4" x14ac:dyDescent="0.2">
      <c r="A124" s="5">
        <v>63</v>
      </c>
      <c r="B124" s="138">
        <f>'Assets-Liab 5-6'!D41</f>
        <v>7456159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3066402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3066402</v>
      </c>
      <c r="D140" s="2" t="str">
        <f t="shared" si="1"/>
        <v>Error?</v>
      </c>
    </row>
    <row r="141" spans="1:4" x14ac:dyDescent="0.2">
      <c r="A141" s="5">
        <v>80</v>
      </c>
      <c r="B141" s="138">
        <f>'Assets-Liab 5-6'!E41</f>
        <v>3066402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2290414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12722</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12722</v>
      </c>
      <c r="C169" s="2" t="s">
        <v>593</v>
      </c>
      <c r="D169" s="2" t="str">
        <f t="shared" si="1"/>
        <v>Error?</v>
      </c>
    </row>
    <row r="170" spans="1:4" x14ac:dyDescent="0.2">
      <c r="A170" s="5">
        <v>109</v>
      </c>
      <c r="B170" s="138">
        <f>'Assets-Liab 5-6'!F39</f>
        <v>2277692</v>
      </c>
      <c r="D170" s="2" t="str">
        <f t="shared" si="1"/>
        <v>Error?</v>
      </c>
    </row>
    <row r="171" spans="1:4" x14ac:dyDescent="0.2">
      <c r="A171" s="5">
        <v>110</v>
      </c>
      <c r="B171" s="138">
        <f>'Assets-Liab 5-6'!F41</f>
        <v>2290414</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1132405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3241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3241</v>
      </c>
      <c r="C188" s="2" t="s">
        <v>593</v>
      </c>
      <c r="D188" s="2" t="str">
        <f t="shared" si="1"/>
        <v>Error?</v>
      </c>
    </row>
    <row r="189" spans="1:4" x14ac:dyDescent="0.2">
      <c r="A189" s="5">
        <v>128</v>
      </c>
      <c r="B189" s="138">
        <f>'Assets-Liab 5-6'!G39</f>
        <v>566786</v>
      </c>
      <c r="D189" s="2" t="str">
        <f t="shared" si="1"/>
        <v>Error?</v>
      </c>
    </row>
    <row r="190" spans="1:4" x14ac:dyDescent="0.2">
      <c r="A190" s="5">
        <v>129</v>
      </c>
      <c r="B190" s="138">
        <f>'Assets-Liab 5-6'!G41</f>
        <v>1132405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4426429</v>
      </c>
      <c r="D273" s="2" t="str">
        <f t="shared" si="3"/>
        <v>Error?</v>
      </c>
    </row>
    <row r="274" spans="1:4" x14ac:dyDescent="0.2">
      <c r="A274" s="5">
        <v>213</v>
      </c>
      <c r="B274" s="138">
        <f>'Assets-Liab 5-6'!M17</f>
        <v>111304746</v>
      </c>
      <c r="D274" s="2" t="str">
        <f t="shared" si="3"/>
        <v>Error?</v>
      </c>
    </row>
    <row r="275" spans="1:4" x14ac:dyDescent="0.2">
      <c r="A275" s="5">
        <v>214</v>
      </c>
      <c r="B275" s="138">
        <f>'Assets-Liab 5-6'!M18</f>
        <v>8341565</v>
      </c>
      <c r="D275" s="2" t="str">
        <f t="shared" si="3"/>
        <v>Error?</v>
      </c>
    </row>
    <row r="276" spans="1:4" x14ac:dyDescent="0.2">
      <c r="A276" s="5">
        <v>215</v>
      </c>
      <c r="B276" s="138">
        <f>'Assets-Liab 5-6'!M19</f>
        <v>15066311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139207330</v>
      </c>
      <c r="C279" s="2" t="s">
        <v>593</v>
      </c>
      <c r="D279" s="2" t="str">
        <f t="shared" si="3"/>
        <v>Error?</v>
      </c>
    </row>
    <row r="280" spans="1:4" x14ac:dyDescent="0.2">
      <c r="A280" s="5">
        <v>219</v>
      </c>
      <c r="B280" s="138">
        <f>'Assets-Liab 5-6'!M40</f>
        <v>139207330</v>
      </c>
      <c r="D280" s="2" t="str">
        <f t="shared" si="3"/>
        <v>Error?</v>
      </c>
    </row>
    <row r="281" spans="1:4" x14ac:dyDescent="0.2">
      <c r="A281" s="5">
        <v>220</v>
      </c>
      <c r="B281" s="138">
        <f>'Assets-Liab 5-6'!M41</f>
        <v>139207330</v>
      </c>
      <c r="C281" s="2" t="s">
        <v>593</v>
      </c>
      <c r="D281" s="2" t="str">
        <f t="shared" si="3"/>
        <v>Error?</v>
      </c>
    </row>
    <row r="282" spans="1:4" x14ac:dyDescent="0.2">
      <c r="A282" s="5">
        <v>221</v>
      </c>
      <c r="B282" s="138">
        <f>'Assets-Liab 5-6'!N21</f>
        <v>3066402</v>
      </c>
      <c r="D282" s="2" t="str">
        <f t="shared" si="3"/>
        <v>Error?</v>
      </c>
    </row>
    <row r="283" spans="1:4" x14ac:dyDescent="0.2">
      <c r="A283" s="5">
        <v>222</v>
      </c>
      <c r="B283" s="138">
        <f>'Assets-Liab 5-6'!N22</f>
        <v>45923598</v>
      </c>
      <c r="D283" s="2" t="str">
        <f t="shared" si="3"/>
        <v>Error?</v>
      </c>
    </row>
    <row r="284" spans="1:4" x14ac:dyDescent="0.2">
      <c r="A284" s="5">
        <v>223</v>
      </c>
      <c r="B284" s="138">
        <f>'Assets-Liab 5-6'!N23</f>
        <v>48990000</v>
      </c>
      <c r="C284" s="2" t="s">
        <v>593</v>
      </c>
      <c r="D284" s="2" t="str">
        <f t="shared" si="3"/>
        <v>Error?</v>
      </c>
    </row>
    <row r="285" spans="1:4" x14ac:dyDescent="0.2">
      <c r="A285" s="5">
        <v>224</v>
      </c>
      <c r="B285" s="138">
        <f>'Assets-Liab 5-6'!N36</f>
        <v>48990000</v>
      </c>
      <c r="D285" s="2" t="str">
        <f t="shared" si="3"/>
        <v>Error?</v>
      </c>
    </row>
    <row r="286" spans="1:4" x14ac:dyDescent="0.2">
      <c r="A286" s="10">
        <v>225</v>
      </c>
      <c r="D286" s="2" t="str">
        <f t="shared" si="3"/>
        <v>OK</v>
      </c>
    </row>
    <row r="287" spans="1:4" x14ac:dyDescent="0.2">
      <c r="A287" s="5">
        <v>226</v>
      </c>
      <c r="B287" s="138">
        <f>'Assets-Liab 5-6'!N37</f>
        <v>48990000</v>
      </c>
      <c r="C287" s="2" t="s">
        <v>593</v>
      </c>
      <c r="D287" s="2" t="str">
        <f t="shared" si="3"/>
        <v>Error?</v>
      </c>
    </row>
    <row r="288" spans="1:4" x14ac:dyDescent="0.2">
      <c r="A288" s="5">
        <v>227</v>
      </c>
      <c r="B288" s="138">
        <f>'Assets-Liab 5-6'!N41</f>
        <v>48990000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11574662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38280</v>
      </c>
      <c r="D716" s="2" t="str">
        <f t="shared" si="10"/>
        <v>Error?</v>
      </c>
    </row>
    <row r="717" spans="1:4" x14ac:dyDescent="0.2">
      <c r="A717" s="5">
        <v>656</v>
      </c>
      <c r="B717" s="138">
        <f>'Expenditures 15-22'!C13</f>
        <v>436345</v>
      </c>
      <c r="D717" s="2" t="str">
        <f t="shared" si="10"/>
        <v>Error?</v>
      </c>
    </row>
    <row r="718" spans="1:4" x14ac:dyDescent="0.2">
      <c r="A718" s="5">
        <v>657</v>
      </c>
      <c r="B718" s="138">
        <f>'Expenditures 15-22'!C14</f>
        <v>528990</v>
      </c>
      <c r="D718" s="2" t="str">
        <f t="shared" si="10"/>
        <v>Error?</v>
      </c>
    </row>
    <row r="719" spans="1:4" x14ac:dyDescent="0.2">
      <c r="A719" s="5">
        <v>658</v>
      </c>
      <c r="B719" s="138">
        <f>'Expenditures 15-22'!C15</f>
        <v>19407</v>
      </c>
      <c r="D719" s="2" t="str">
        <f t="shared" si="10"/>
        <v>Error?</v>
      </c>
    </row>
    <row r="720" spans="1:4" x14ac:dyDescent="0.2">
      <c r="A720" s="5">
        <v>659</v>
      </c>
      <c r="B720" s="138">
        <f>'Expenditures 15-22'!C33</f>
        <v>15445747</v>
      </c>
      <c r="C720" s="2" t="s">
        <v>593</v>
      </c>
      <c r="D720" s="2" t="str">
        <f t="shared" si="10"/>
        <v>Error?</v>
      </c>
    </row>
    <row r="721" spans="1:4" x14ac:dyDescent="0.2">
      <c r="A721" s="5">
        <v>660</v>
      </c>
      <c r="B721" s="138">
        <f>'Expenditures 15-22'!C36</f>
        <v>227275</v>
      </c>
      <c r="D721" s="2" t="str">
        <f t="shared" si="10"/>
        <v>Error?</v>
      </c>
    </row>
    <row r="722" spans="1:4" x14ac:dyDescent="0.2">
      <c r="A722" s="5">
        <v>661</v>
      </c>
      <c r="B722" s="138">
        <f>'Expenditures 15-22'!C37</f>
        <v>598263</v>
      </c>
      <c r="D722" s="2" t="str">
        <f t="shared" si="10"/>
        <v>Error?</v>
      </c>
    </row>
    <row r="723" spans="1:4" x14ac:dyDescent="0.2">
      <c r="A723" s="5">
        <v>662</v>
      </c>
      <c r="B723" s="138">
        <f>'Expenditures 15-22'!C38</f>
        <v>199261</v>
      </c>
      <c r="D723" s="2" t="str">
        <f t="shared" si="10"/>
        <v>Error?</v>
      </c>
    </row>
    <row r="724" spans="1:4" x14ac:dyDescent="0.2">
      <c r="A724" s="5">
        <v>663</v>
      </c>
      <c r="B724" s="138">
        <f>'Expenditures 15-22'!C39</f>
        <v>135874</v>
      </c>
      <c r="D724" s="2" t="str">
        <f t="shared" si="10"/>
        <v>Error?</v>
      </c>
    </row>
    <row r="725" spans="1:4" x14ac:dyDescent="0.2">
      <c r="A725" s="5">
        <v>664</v>
      </c>
      <c r="B725" s="138">
        <f>'Expenditures 15-22'!C40</f>
        <v>397325</v>
      </c>
      <c r="D725" s="2" t="str">
        <f t="shared" si="10"/>
        <v>Error?</v>
      </c>
    </row>
    <row r="726" spans="1:4" x14ac:dyDescent="0.2">
      <c r="A726" s="5">
        <v>665</v>
      </c>
      <c r="B726" s="138">
        <f>'Expenditures 15-22'!C41</f>
        <v>363982</v>
      </c>
      <c r="D726" s="2" t="str">
        <f t="shared" si="10"/>
        <v>Error?</v>
      </c>
    </row>
    <row r="727" spans="1:4" x14ac:dyDescent="0.2">
      <c r="A727" s="5">
        <v>666</v>
      </c>
      <c r="B727" s="138">
        <f>'Expenditures 15-22'!C42</f>
        <v>1921980</v>
      </c>
      <c r="C727" s="2" t="s">
        <v>593</v>
      </c>
      <c r="D727" s="2" t="str">
        <f t="shared" si="10"/>
        <v>Error?</v>
      </c>
    </row>
    <row r="728" spans="1:4" x14ac:dyDescent="0.2">
      <c r="A728" s="5">
        <v>667</v>
      </c>
      <c r="B728" s="138">
        <f>'Expenditures 15-22'!C44</f>
        <v>43539</v>
      </c>
      <c r="D728" s="2" t="str">
        <f t="shared" si="10"/>
        <v>Error?</v>
      </c>
    </row>
    <row r="729" spans="1:4" x14ac:dyDescent="0.2">
      <c r="A729" s="5">
        <v>668</v>
      </c>
      <c r="B729" s="138">
        <f>'Expenditures 15-22'!C45</f>
        <v>164162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207701</v>
      </c>
      <c r="C731" s="2" t="s">
        <v>593</v>
      </c>
      <c r="D731" s="2" t="str">
        <f t="shared" si="10"/>
        <v>Error?</v>
      </c>
    </row>
    <row r="732" spans="1:4" x14ac:dyDescent="0.2">
      <c r="A732" s="5">
        <v>671</v>
      </c>
      <c r="B732" s="138">
        <f>'Expenditures 15-22'!C49</f>
        <v>72706</v>
      </c>
      <c r="D732" s="2" t="str">
        <f t="shared" si="10"/>
        <v>Error?</v>
      </c>
    </row>
    <row r="733" spans="1:4" x14ac:dyDescent="0.2">
      <c r="A733" s="5">
        <v>672</v>
      </c>
      <c r="B733" s="138">
        <f>'Expenditures 15-22'!C50</f>
        <v>310674</v>
      </c>
      <c r="D733" s="2" t="str">
        <f t="shared" si="10"/>
        <v>Error?</v>
      </c>
    </row>
    <row r="734" spans="1:4" x14ac:dyDescent="0.2">
      <c r="A734" s="5">
        <v>673</v>
      </c>
      <c r="B734" s="138">
        <f>'Expenditures 15-22'!C53</f>
        <v>565896</v>
      </c>
      <c r="C734" s="2" t="s">
        <v>593</v>
      </c>
      <c r="D734" s="2" t="str">
        <f t="shared" si="10"/>
        <v>Error?</v>
      </c>
    </row>
    <row r="735" spans="1:4" x14ac:dyDescent="0.2">
      <c r="A735" s="5">
        <v>674</v>
      </c>
      <c r="B735" s="138">
        <f>'Expenditures 15-22'!C55</f>
        <v>1444120</v>
      </c>
      <c r="D735" s="2" t="str">
        <f t="shared" si="10"/>
        <v>Error?</v>
      </c>
    </row>
    <row r="736" spans="1:4" x14ac:dyDescent="0.2">
      <c r="A736" s="5">
        <v>675</v>
      </c>
      <c r="B736" s="138">
        <f>'Expenditures 15-22'!C56</f>
        <v>176181</v>
      </c>
      <c r="D736" s="2" t="str">
        <f t="shared" si="10"/>
        <v>Error?</v>
      </c>
    </row>
    <row r="737" spans="1:4" x14ac:dyDescent="0.2">
      <c r="A737" s="5">
        <v>676</v>
      </c>
      <c r="B737" s="138">
        <f>'Expenditures 15-22'!C57</f>
        <v>1620301</v>
      </c>
      <c r="C737" s="2" t="s">
        <v>593</v>
      </c>
      <c r="D737" s="2" t="str">
        <f t="shared" si="10"/>
        <v>Error?</v>
      </c>
    </row>
    <row r="738" spans="1:4" x14ac:dyDescent="0.2">
      <c r="A738" s="5">
        <v>677</v>
      </c>
      <c r="B738" s="138">
        <f>'Expenditures 15-22'!C59</f>
        <v>102141</v>
      </c>
      <c r="D738" s="2" t="str">
        <f t="shared" si="10"/>
        <v>Error?</v>
      </c>
    </row>
    <row r="739" spans="1:4" x14ac:dyDescent="0.2">
      <c r="A739" s="5">
        <v>678</v>
      </c>
      <c r="B739" s="138">
        <f>'Expenditures 15-22'!C60</f>
        <v>87719</v>
      </c>
      <c r="D739" s="2" t="str">
        <f t="shared" si="10"/>
        <v>Error?</v>
      </c>
    </row>
    <row r="740" spans="1:4" x14ac:dyDescent="0.2">
      <c r="A740" s="5">
        <v>679</v>
      </c>
      <c r="B740" s="138">
        <f>'Expenditures 15-22'!C61</f>
        <v>242101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760855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1192816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68015</v>
      </c>
      <c r="D748" s="2" t="str">
        <f t="shared" si="10"/>
        <v>Error?</v>
      </c>
    </row>
    <row r="749" spans="1:4" x14ac:dyDescent="0.2">
      <c r="A749" s="5">
        <v>688</v>
      </c>
      <c r="B749" s="138">
        <f>'Expenditures 15-22'!C70</f>
        <v>41335</v>
      </c>
      <c r="D749" s="2" t="str">
        <f t="shared" si="10"/>
        <v>Error?</v>
      </c>
    </row>
    <row r="750" spans="1:4" x14ac:dyDescent="0.2">
      <c r="A750" s="10">
        <v>689</v>
      </c>
      <c r="D750" s="2" t="str">
        <f t="shared" si="10"/>
        <v>OK</v>
      </c>
    </row>
    <row r="751" spans="1:4" x14ac:dyDescent="0.2">
      <c r="A751" s="5">
        <v>690</v>
      </c>
      <c r="B751" s="138">
        <f>'Expenditures 15-22'!C71</f>
        <v>305331</v>
      </c>
      <c r="D751" s="2" t="str">
        <f t="shared" si="10"/>
        <v>Error?</v>
      </c>
    </row>
    <row r="752" spans="1:4" x14ac:dyDescent="0.2">
      <c r="A752" s="10">
        <v>691</v>
      </c>
      <c r="D752" s="2" t="str">
        <f t="shared" si="10"/>
        <v>OK</v>
      </c>
    </row>
    <row r="753" spans="1:4" x14ac:dyDescent="0.2">
      <c r="A753" s="5">
        <v>692</v>
      </c>
      <c r="B753" s="138">
        <f>'Expenditures 15-22'!C72</f>
        <v>414681</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5923375</v>
      </c>
      <c r="C755" s="2" t="s">
        <v>593</v>
      </c>
      <c r="D755" s="2" t="str">
        <f t="shared" si="10"/>
        <v>Error?</v>
      </c>
    </row>
    <row r="756" spans="1:4" x14ac:dyDescent="0.2">
      <c r="A756" s="5">
        <v>695</v>
      </c>
      <c r="B756" s="138">
        <f>'Expenditures 15-22'!C75</f>
        <v>8920</v>
      </c>
      <c r="D756" s="2" t="str">
        <f t="shared" si="10"/>
        <v>Error?</v>
      </c>
    </row>
    <row r="757" spans="1:4" x14ac:dyDescent="0.2">
      <c r="A757" s="5">
        <v>696</v>
      </c>
      <c r="B757" s="138">
        <f>'Expenditures 15-22'!C114</f>
        <v>21378042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2643375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6878</v>
      </c>
      <c r="D774" s="2" t="str">
        <f t="shared" si="11"/>
        <v>Error?</v>
      </c>
    </row>
    <row r="775" spans="1:4" x14ac:dyDescent="0.2">
      <c r="A775" s="5">
        <v>714</v>
      </c>
      <c r="B775" s="138">
        <f>'Expenditures 15-22'!D13</f>
        <v>93834</v>
      </c>
      <c r="D775" s="2" t="str">
        <f t="shared" si="11"/>
        <v>Error?</v>
      </c>
    </row>
    <row r="776" spans="1:4" x14ac:dyDescent="0.2">
      <c r="A776" s="5">
        <v>715</v>
      </c>
      <c r="B776" s="138">
        <f>'Expenditures 15-22'!D14</f>
        <v>53443</v>
      </c>
      <c r="D776" s="2" t="str">
        <f t="shared" si="11"/>
        <v>Error?</v>
      </c>
    </row>
    <row r="777" spans="1:4" x14ac:dyDescent="0.2">
      <c r="A777" s="5">
        <v>716</v>
      </c>
      <c r="B777" s="138">
        <f>'Expenditures 15-22'!D15</f>
        <v>266</v>
      </c>
      <c r="D777" s="2" t="str">
        <f t="shared" si="11"/>
        <v>Error?</v>
      </c>
    </row>
    <row r="778" spans="1:4" x14ac:dyDescent="0.2">
      <c r="A778" s="5">
        <v>717</v>
      </c>
      <c r="B778" s="138">
        <f>'Expenditures 15-22'!D33</f>
        <v>3603076</v>
      </c>
      <c r="C778" s="2" t="s">
        <v>593</v>
      </c>
      <c r="D778" s="2" t="str">
        <f t="shared" si="11"/>
        <v>Error?</v>
      </c>
    </row>
    <row r="779" spans="1:4" x14ac:dyDescent="0.2">
      <c r="A779" s="5">
        <v>718</v>
      </c>
      <c r="B779" s="138">
        <f>'Expenditures 15-22'!D36</f>
        <v>33354</v>
      </c>
      <c r="D779" s="2" t="str">
        <f t="shared" si="11"/>
        <v>Error?</v>
      </c>
    </row>
    <row r="780" spans="1:4" x14ac:dyDescent="0.2">
      <c r="A780" s="5">
        <v>719</v>
      </c>
      <c r="B780" s="138">
        <f>'Expenditures 15-22'!D37</f>
        <v>135006</v>
      </c>
      <c r="D780" s="2" t="str">
        <f t="shared" si="11"/>
        <v>Error?</v>
      </c>
    </row>
    <row r="781" spans="1:4" x14ac:dyDescent="0.2">
      <c r="A781" s="5">
        <v>720</v>
      </c>
      <c r="B781" s="138">
        <f>'Expenditures 15-22'!D38</f>
        <v>28225</v>
      </c>
      <c r="D781" s="2" t="str">
        <f t="shared" si="11"/>
        <v>Error?</v>
      </c>
    </row>
    <row r="782" spans="1:4" x14ac:dyDescent="0.2">
      <c r="A782" s="5">
        <v>721</v>
      </c>
      <c r="B782" s="138">
        <f>'Expenditures 15-22'!D39</f>
        <v>29889</v>
      </c>
      <c r="D782" s="2" t="str">
        <f t="shared" si="11"/>
        <v>Error?</v>
      </c>
    </row>
    <row r="783" spans="1:4" x14ac:dyDescent="0.2">
      <c r="A783" s="5">
        <v>722</v>
      </c>
      <c r="B783" s="138">
        <f>'Expenditures 15-22'!D40</f>
        <v>107938</v>
      </c>
      <c r="D783" s="2" t="str">
        <f t="shared" si="11"/>
        <v>Error?</v>
      </c>
    </row>
    <row r="784" spans="1:4" x14ac:dyDescent="0.2">
      <c r="A784" s="5">
        <v>723</v>
      </c>
      <c r="B784" s="138">
        <f>'Expenditures 15-22'!D41</f>
        <v>35811</v>
      </c>
      <c r="D784" s="2" t="str">
        <f t="shared" si="11"/>
        <v>Error?</v>
      </c>
    </row>
    <row r="785" spans="1:4" x14ac:dyDescent="0.2">
      <c r="A785" s="5">
        <v>724</v>
      </c>
      <c r="B785" s="138">
        <f>'Expenditures 15-22'!D42</f>
        <v>370223</v>
      </c>
      <c r="C785" s="2" t="s">
        <v>593</v>
      </c>
      <c r="D785" s="2" t="str">
        <f t="shared" si="11"/>
        <v>Error?</v>
      </c>
    </row>
    <row r="786" spans="1:4" x14ac:dyDescent="0.2">
      <c r="A786" s="5">
        <v>725</v>
      </c>
      <c r="B786" s="138">
        <f>'Expenditures 15-22'!D44</f>
        <v>6241</v>
      </c>
      <c r="D786" s="2" t="str">
        <f t="shared" si="11"/>
        <v>Error?</v>
      </c>
    </row>
    <row r="787" spans="1:4" x14ac:dyDescent="0.2">
      <c r="A787" s="5">
        <v>726</v>
      </c>
      <c r="B787" s="138">
        <f>'Expenditures 15-22'!D45</f>
        <v>50712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56953</v>
      </c>
      <c r="C789" s="2" t="s">
        <v>593</v>
      </c>
      <c r="D789" s="2" t="str">
        <f t="shared" si="11"/>
        <v>Error?</v>
      </c>
    </row>
    <row r="790" spans="1:4" x14ac:dyDescent="0.2">
      <c r="A790" s="5">
        <v>729</v>
      </c>
      <c r="B790" s="138">
        <f>'Expenditures 15-22'!D49</f>
        <v>17707</v>
      </c>
      <c r="D790" s="2" t="str">
        <f t="shared" si="11"/>
        <v>Error?</v>
      </c>
    </row>
    <row r="791" spans="1:4" x14ac:dyDescent="0.2">
      <c r="A791" s="5">
        <v>730</v>
      </c>
      <c r="B791" s="138">
        <f>'Expenditures 15-22'!D50</f>
        <v>69477</v>
      </c>
      <c r="D791" s="2" t="str">
        <f t="shared" si="11"/>
        <v>Error?</v>
      </c>
    </row>
    <row r="792" spans="1:4" x14ac:dyDescent="0.2">
      <c r="A792" s="5">
        <v>731</v>
      </c>
      <c r="B792" s="138">
        <f>'Expenditures 15-22'!D53</f>
        <v>125945</v>
      </c>
      <c r="C792" s="2" t="s">
        <v>593</v>
      </c>
      <c r="D792" s="2" t="str">
        <f t="shared" si="11"/>
        <v>Error?</v>
      </c>
    </row>
    <row r="793" spans="1:4" x14ac:dyDescent="0.2">
      <c r="A793" s="5">
        <v>732</v>
      </c>
      <c r="B793" s="138">
        <f>'Expenditures 15-22'!D55</f>
        <v>309090</v>
      </c>
      <c r="D793" s="2" t="str">
        <f t="shared" si="11"/>
        <v>Error?</v>
      </c>
    </row>
    <row r="794" spans="1:4" x14ac:dyDescent="0.2">
      <c r="A794" s="5">
        <v>733</v>
      </c>
      <c r="B794" s="138">
        <f>'Expenditures 15-22'!D56</f>
        <v>22192</v>
      </c>
      <c r="D794" s="2" t="str">
        <f t="shared" si="11"/>
        <v>Error?</v>
      </c>
    </row>
    <row r="795" spans="1:4" x14ac:dyDescent="0.2">
      <c r="A795" s="5">
        <v>734</v>
      </c>
      <c r="B795" s="138">
        <f>'Expenditures 15-22'!D57</f>
        <v>331282</v>
      </c>
      <c r="C795" s="2" t="s">
        <v>593</v>
      </c>
      <c r="D795" s="2" t="str">
        <f t="shared" si="11"/>
        <v>Error?</v>
      </c>
    </row>
    <row r="796" spans="1:4" x14ac:dyDescent="0.2">
      <c r="A796" s="5">
        <v>735</v>
      </c>
      <c r="B796" s="138">
        <f>'Expenditures 15-22'!D59</f>
        <v>11556</v>
      </c>
      <c r="D796" s="2" t="str">
        <f t="shared" si="11"/>
        <v>Error?</v>
      </c>
    </row>
    <row r="797" spans="1:4" x14ac:dyDescent="0.2">
      <c r="A797" s="5">
        <v>736</v>
      </c>
      <c r="B797" s="138">
        <f>'Expenditures 15-22'!D60</f>
        <v>14352</v>
      </c>
      <c r="D797" s="2" t="str">
        <f t="shared" si="11"/>
        <v>Error?</v>
      </c>
    </row>
    <row r="798" spans="1:4" x14ac:dyDescent="0.2">
      <c r="A798" s="5">
        <v>737</v>
      </c>
      <c r="B798" s="138">
        <f>'Expenditures 15-22'!D61</f>
        <v>1248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124806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151962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211</v>
      </c>
      <c r="D806" s="2" t="str">
        <f t="shared" si="11"/>
        <v>Error?</v>
      </c>
    </row>
    <row r="807" spans="1:4" x14ac:dyDescent="0.2">
      <c r="A807" s="5">
        <v>746</v>
      </c>
      <c r="B807" s="138">
        <f>'Expenditures 15-22'!D70</f>
        <v>7596</v>
      </c>
      <c r="D807" s="2" t="str">
        <f t="shared" si="11"/>
        <v>Error?</v>
      </c>
    </row>
    <row r="808" spans="1:4" x14ac:dyDescent="0.2">
      <c r="A808" s="10">
        <v>747</v>
      </c>
      <c r="D808" s="2" t="str">
        <f t="shared" si="11"/>
        <v>OK</v>
      </c>
    </row>
    <row r="809" spans="1:4" x14ac:dyDescent="0.2">
      <c r="A809" s="5">
        <v>748</v>
      </c>
      <c r="B809" s="138">
        <f>'Expenditures 15-22'!D71</f>
        <v>49186</v>
      </c>
      <c r="D809" s="2" t="str">
        <f t="shared" si="11"/>
        <v>Error?</v>
      </c>
    </row>
    <row r="810" spans="1:4" x14ac:dyDescent="0.2">
      <c r="A810" s="10">
        <v>749</v>
      </c>
      <c r="D810" s="2" t="str">
        <f t="shared" si="11"/>
        <v>OK</v>
      </c>
    </row>
    <row r="811" spans="1:4" x14ac:dyDescent="0.2">
      <c r="A811" s="5">
        <v>750</v>
      </c>
      <c r="B811" s="138">
        <f>'Expenditures 15-22'!D72</f>
        <v>56993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1093358</v>
      </c>
      <c r="C813" s="2" t="s">
        <v>593</v>
      </c>
      <c r="D813" s="2" t="str">
        <f t="shared" si="11"/>
        <v>Error?</v>
      </c>
    </row>
    <row r="814" spans="1:4" x14ac:dyDescent="0.2">
      <c r="A814" s="5">
        <v>753</v>
      </c>
      <c r="B814" s="138">
        <f>'Expenditures 15-22'!D75</f>
        <v>13</v>
      </c>
      <c r="D814" s="2" t="str">
        <f t="shared" si="11"/>
        <v>Error?</v>
      </c>
    </row>
    <row r="815" spans="1:4" x14ac:dyDescent="0.2">
      <c r="A815" s="5">
        <v>754</v>
      </c>
      <c r="B815" s="138">
        <f>'Expenditures 15-22'!D114</f>
        <v>4696447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376223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75</v>
      </c>
      <c r="D832" s="2" t="str">
        <f t="shared" si="12"/>
        <v>Error?</v>
      </c>
    </row>
    <row r="833" spans="1:4" x14ac:dyDescent="0.2">
      <c r="A833" s="5">
        <v>772</v>
      </c>
      <c r="B833" s="138">
        <f>'Expenditures 15-22'!E13</f>
        <v>2665</v>
      </c>
      <c r="D833" s="2" t="str">
        <f t="shared" si="12"/>
        <v>Error?</v>
      </c>
    </row>
    <row r="834" spans="1:4" x14ac:dyDescent="0.2">
      <c r="A834" s="5">
        <v>773</v>
      </c>
      <c r="B834" s="138">
        <f>'Expenditures 15-22'!E14</f>
        <v>77982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492517</v>
      </c>
      <c r="C836" s="2" t="s">
        <v>593</v>
      </c>
      <c r="D836" s="2" t="str">
        <f t="shared" si="12"/>
        <v>Error?</v>
      </c>
    </row>
    <row r="837" spans="1:4" x14ac:dyDescent="0.2">
      <c r="A837" s="5">
        <v>776</v>
      </c>
      <c r="B837" s="138">
        <f>'Expenditures 15-22'!E36</f>
        <v>481</v>
      </c>
      <c r="D837" s="2" t="str">
        <f t="shared" si="12"/>
        <v>Error?</v>
      </c>
    </row>
    <row r="838" spans="1:4" x14ac:dyDescent="0.2">
      <c r="A838" s="5">
        <v>777</v>
      </c>
      <c r="B838" s="138">
        <f>'Expenditures 15-22'!E37</f>
        <v>1138</v>
      </c>
      <c r="D838" s="2" t="str">
        <f t="shared" si="12"/>
        <v>Error?</v>
      </c>
    </row>
    <row r="839" spans="1:4" x14ac:dyDescent="0.2">
      <c r="A839" s="5">
        <v>778</v>
      </c>
      <c r="B839" s="138">
        <f>'Expenditures 15-22'!E38</f>
        <v>1280</v>
      </c>
      <c r="D839" s="2" t="str">
        <f t="shared" si="12"/>
        <v>Error?</v>
      </c>
    </row>
    <row r="840" spans="1:4" x14ac:dyDescent="0.2">
      <c r="A840" s="5">
        <v>779</v>
      </c>
      <c r="B840" s="138">
        <f>'Expenditures 15-22'!E39</f>
        <v>500</v>
      </c>
      <c r="D840" s="2" t="str">
        <f t="shared" si="12"/>
        <v>Error?</v>
      </c>
    </row>
    <row r="841" spans="1:4" x14ac:dyDescent="0.2">
      <c r="A841" s="5">
        <v>780</v>
      </c>
      <c r="B841" s="138">
        <f>'Expenditures 15-22'!E40</f>
        <v>37529</v>
      </c>
      <c r="D841" s="2" t="str">
        <f t="shared" si="12"/>
        <v>Error?</v>
      </c>
    </row>
    <row r="842" spans="1:4" x14ac:dyDescent="0.2">
      <c r="A842" s="5">
        <v>781</v>
      </c>
      <c r="B842" s="138">
        <f>'Expenditures 15-22'!E41</f>
        <v>1428</v>
      </c>
      <c r="D842" s="2" t="str">
        <f t="shared" si="12"/>
        <v>Error?</v>
      </c>
    </row>
    <row r="843" spans="1:4" x14ac:dyDescent="0.2">
      <c r="A843" s="5">
        <v>782</v>
      </c>
      <c r="B843" s="138">
        <f>'Expenditures 15-22'!E42</f>
        <v>42356</v>
      </c>
      <c r="C843" s="2" t="s">
        <v>593</v>
      </c>
      <c r="D843" s="2" t="str">
        <f t="shared" si="12"/>
        <v>Error?</v>
      </c>
    </row>
    <row r="844" spans="1:4" x14ac:dyDescent="0.2">
      <c r="A844" s="5">
        <v>783</v>
      </c>
      <c r="B844" s="138">
        <f>'Expenditures 15-22'!E44</f>
        <v>122010</v>
      </c>
      <c r="D844" s="2" t="str">
        <f t="shared" si="12"/>
        <v>Error?</v>
      </c>
    </row>
    <row r="845" spans="1:4" x14ac:dyDescent="0.2">
      <c r="A845" s="5">
        <v>784</v>
      </c>
      <c r="B845" s="138">
        <f>'Expenditures 15-22'!E45</f>
        <v>170</v>
      </c>
      <c r="D845" s="2" t="str">
        <f t="shared" si="12"/>
        <v>Error?</v>
      </c>
    </row>
    <row r="846" spans="1:4" x14ac:dyDescent="0.2">
      <c r="A846" s="5">
        <v>785</v>
      </c>
      <c r="B846" s="138">
        <f>'Expenditures 15-22'!E46</f>
        <v>16651</v>
      </c>
      <c r="D846" s="2" t="str">
        <f t="shared" si="12"/>
        <v>Error?</v>
      </c>
    </row>
    <row r="847" spans="1:4" x14ac:dyDescent="0.2">
      <c r="A847" s="5">
        <v>786</v>
      </c>
      <c r="B847" s="138">
        <f>'Expenditures 15-22'!E47</f>
        <v>138831</v>
      </c>
      <c r="C847" s="2" t="s">
        <v>593</v>
      </c>
      <c r="D847" s="2" t="str">
        <f t="shared" si="12"/>
        <v>Error?</v>
      </c>
    </row>
    <row r="848" spans="1:4" x14ac:dyDescent="0.2">
      <c r="A848" s="5">
        <v>787</v>
      </c>
      <c r="B848" s="138">
        <f>'Expenditures 15-22'!E49</f>
        <v>118952</v>
      </c>
      <c r="D848" s="2" t="str">
        <f t="shared" si="12"/>
        <v>Error?</v>
      </c>
    </row>
    <row r="849" spans="1:4" x14ac:dyDescent="0.2">
      <c r="A849" s="5">
        <v>788</v>
      </c>
      <c r="B849" s="138">
        <f>'Expenditures 15-22'!E50</f>
        <v>11421</v>
      </c>
      <c r="D849" s="2" t="str">
        <f t="shared" si="12"/>
        <v>Error?</v>
      </c>
    </row>
    <row r="850" spans="1:4" x14ac:dyDescent="0.2">
      <c r="A850" s="5">
        <v>789</v>
      </c>
      <c r="B850" s="138">
        <f>'Expenditures 15-22'!E53</f>
        <v>725307</v>
      </c>
      <c r="C850" s="2" t="s">
        <v>593</v>
      </c>
      <c r="D850" s="2" t="str">
        <f t="shared" si="12"/>
        <v>Error?</v>
      </c>
    </row>
    <row r="851" spans="1:4" x14ac:dyDescent="0.2">
      <c r="A851" s="5">
        <v>790</v>
      </c>
      <c r="B851" s="138">
        <f>'Expenditures 15-22'!E55</f>
        <v>21985</v>
      </c>
      <c r="D851" s="2" t="str">
        <f t="shared" si="12"/>
        <v>Error?</v>
      </c>
    </row>
    <row r="852" spans="1:4" x14ac:dyDescent="0.2">
      <c r="A852" s="5">
        <v>791</v>
      </c>
      <c r="B852" s="138">
        <f>'Expenditures 15-22'!E56</f>
        <v>3591</v>
      </c>
      <c r="D852" s="2" t="str">
        <f t="shared" si="12"/>
        <v>Error?</v>
      </c>
    </row>
    <row r="853" spans="1:4" x14ac:dyDescent="0.2">
      <c r="A853" s="5">
        <v>792</v>
      </c>
      <c r="B853" s="138">
        <f>'Expenditures 15-22'!E57</f>
        <v>25576</v>
      </c>
      <c r="C853" s="2" t="s">
        <v>593</v>
      </c>
      <c r="D853" s="2" t="str">
        <f t="shared" si="12"/>
        <v>Error?</v>
      </c>
    </row>
    <row r="854" spans="1:4" x14ac:dyDescent="0.2">
      <c r="A854" s="5">
        <v>793</v>
      </c>
      <c r="B854" s="138">
        <f>'Expenditures 15-22'!E59</f>
        <v>4203</v>
      </c>
      <c r="D854" s="2" t="str">
        <f t="shared" si="12"/>
        <v>Error?</v>
      </c>
    </row>
    <row r="855" spans="1:4" x14ac:dyDescent="0.2">
      <c r="A855" s="5">
        <v>794</v>
      </c>
      <c r="B855" s="138">
        <f>'Expenditures 15-22'!E60</f>
        <v>71504</v>
      </c>
      <c r="D855" s="2" t="str">
        <f t="shared" si="12"/>
        <v>Error?</v>
      </c>
    </row>
    <row r="856" spans="1:4" x14ac:dyDescent="0.2">
      <c r="A856" s="5">
        <v>795</v>
      </c>
      <c r="B856" s="138">
        <f>'Expenditures 15-22'!E61</f>
        <v>315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9040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85062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175</v>
      </c>
      <c r="D864" s="2" t="str">
        <f t="shared" si="12"/>
        <v>Error?</v>
      </c>
    </row>
    <row r="865" spans="1:4" x14ac:dyDescent="0.2">
      <c r="A865" s="5">
        <v>804</v>
      </c>
      <c r="B865" s="138">
        <f>'Expenditures 15-22'!E70</f>
        <v>9355</v>
      </c>
      <c r="D865" s="2" t="str">
        <f t="shared" si="12"/>
        <v>Error?</v>
      </c>
    </row>
    <row r="866" spans="1:4" x14ac:dyDescent="0.2">
      <c r="A866" s="10">
        <v>805</v>
      </c>
      <c r="D866" s="2" t="str">
        <f t="shared" si="12"/>
        <v>OK</v>
      </c>
    </row>
    <row r="867" spans="1:4" x14ac:dyDescent="0.2">
      <c r="A867" s="5">
        <v>806</v>
      </c>
      <c r="B867" s="138">
        <f>'Expenditures 15-22'!E71</f>
        <v>245163</v>
      </c>
      <c r="D867" s="2" t="str">
        <f t="shared" si="12"/>
        <v>Error?</v>
      </c>
    </row>
    <row r="868" spans="1:4" x14ac:dyDescent="0.2">
      <c r="A868" s="10">
        <v>807</v>
      </c>
      <c r="D868" s="2" t="str">
        <f t="shared" si="12"/>
        <v>OK</v>
      </c>
    </row>
    <row r="869" spans="1:4" x14ac:dyDescent="0.2">
      <c r="A869" s="5">
        <v>808</v>
      </c>
      <c r="B869" s="138">
        <f>'Expenditures 15-22'!E72</f>
        <v>254693</v>
      </c>
      <c r="C869" s="2" t="s">
        <v>593</v>
      </c>
      <c r="D869" s="2" t="str">
        <f t="shared" si="12"/>
        <v>Error?</v>
      </c>
    </row>
    <row r="870" spans="1:4" x14ac:dyDescent="0.2">
      <c r="A870" s="5">
        <v>809</v>
      </c>
      <c r="B870" s="138">
        <f>'Expenditures 15-22'!E73</f>
        <v>963</v>
      </c>
      <c r="D870" s="2" t="str">
        <f t="shared" si="12"/>
        <v>Error?</v>
      </c>
    </row>
    <row r="871" spans="1:4" x14ac:dyDescent="0.2">
      <c r="A871" s="5">
        <v>810</v>
      </c>
      <c r="B871" s="138">
        <f>'Expenditures 15-22'!E74</f>
        <v>1272788</v>
      </c>
      <c r="C871" s="2" t="s">
        <v>593</v>
      </c>
      <c r="D871" s="2" t="str">
        <f t="shared" si="12"/>
        <v>Error?</v>
      </c>
    </row>
    <row r="872" spans="1:4" x14ac:dyDescent="0.2">
      <c r="A872" s="5">
        <v>811</v>
      </c>
      <c r="B872" s="138">
        <f>'Expenditures 15-22'!E75</f>
        <v>279</v>
      </c>
      <c r="D872" s="2" t="str">
        <f t="shared" si="12"/>
        <v>Error?</v>
      </c>
    </row>
    <row r="873" spans="1:4" x14ac:dyDescent="0.2">
      <c r="A873" s="5">
        <v>812</v>
      </c>
      <c r="B873" s="138">
        <f>'Expenditures 15-22'!E114</f>
        <v>1785078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1139048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17272</v>
      </c>
      <c r="D891" s="2" t="str">
        <f t="shared" si="12"/>
        <v>Error?</v>
      </c>
    </row>
    <row r="892" spans="1:4" x14ac:dyDescent="0.2">
      <c r="A892" s="5">
        <v>831</v>
      </c>
      <c r="B892" s="138">
        <f>'Expenditures 15-22'!F14</f>
        <v>47755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1223708</v>
      </c>
      <c r="C894" s="2" t="s">
        <v>593</v>
      </c>
      <c r="D894" s="2" t="str">
        <f t="shared" si="12"/>
        <v>Error?</v>
      </c>
    </row>
    <row r="895" spans="1:4" x14ac:dyDescent="0.2">
      <c r="A895" s="5">
        <v>834</v>
      </c>
      <c r="B895" s="138">
        <f>'Expenditures 15-22'!F36</f>
        <v>2088</v>
      </c>
      <c r="D895" s="2" t="str">
        <f t="shared" ref="D895:D958" si="13">IF(ISBLANK(B895),"OK",IF(A895-B895=0,"OK","Error?"))</f>
        <v>Error?</v>
      </c>
    </row>
    <row r="896" spans="1:4" x14ac:dyDescent="0.2">
      <c r="A896" s="5">
        <v>835</v>
      </c>
      <c r="B896" s="138">
        <f>'Expenditures 15-22'!F37</f>
        <v>3785</v>
      </c>
      <c r="D896" s="2" t="str">
        <f t="shared" si="13"/>
        <v>Error?</v>
      </c>
    </row>
    <row r="897" spans="1:4" x14ac:dyDescent="0.2">
      <c r="A897" s="5">
        <v>836</v>
      </c>
      <c r="B897" s="138">
        <f>'Expenditures 15-22'!F38</f>
        <v>15230</v>
      </c>
      <c r="D897" s="2" t="str">
        <f t="shared" si="13"/>
        <v>Error?</v>
      </c>
    </row>
    <row r="898" spans="1:4" x14ac:dyDescent="0.2">
      <c r="A898" s="5">
        <v>837</v>
      </c>
      <c r="B898" s="138">
        <f>'Expenditures 15-22'!F39</f>
        <v>2980</v>
      </c>
      <c r="D898" s="2" t="str">
        <f t="shared" si="13"/>
        <v>Error?</v>
      </c>
    </row>
    <row r="899" spans="1:4" x14ac:dyDescent="0.2">
      <c r="A899" s="5">
        <v>838</v>
      </c>
      <c r="B899" s="138">
        <f>'Expenditures 15-22'!F40</f>
        <v>3583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27666</v>
      </c>
      <c r="C901" s="2" t="s">
        <v>593</v>
      </c>
      <c r="D901" s="2" t="str">
        <f t="shared" si="13"/>
        <v>Error?</v>
      </c>
    </row>
    <row r="902" spans="1:4" x14ac:dyDescent="0.2">
      <c r="A902" s="5">
        <v>841</v>
      </c>
      <c r="B902" s="138">
        <f>'Expenditures 15-22'!F44</f>
        <v>4437</v>
      </c>
      <c r="D902" s="2" t="str">
        <f t="shared" si="13"/>
        <v>Error?</v>
      </c>
    </row>
    <row r="903" spans="1:4" x14ac:dyDescent="0.2">
      <c r="A903" s="5">
        <v>842</v>
      </c>
      <c r="B903" s="138">
        <f>'Expenditures 15-22'!F45</f>
        <v>39358</v>
      </c>
      <c r="D903" s="2" t="str">
        <f t="shared" si="13"/>
        <v>Error?</v>
      </c>
    </row>
    <row r="904" spans="1:4" x14ac:dyDescent="0.2">
      <c r="A904" s="5">
        <v>843</v>
      </c>
      <c r="B904" s="138">
        <f>'Expenditures 15-22'!F46</f>
        <v>1950</v>
      </c>
      <c r="D904" s="2" t="str">
        <f t="shared" si="13"/>
        <v>Error?</v>
      </c>
    </row>
    <row r="905" spans="1:4" x14ac:dyDescent="0.2">
      <c r="A905" s="5">
        <v>844</v>
      </c>
      <c r="B905" s="138">
        <f>'Expenditures 15-22'!F47</f>
        <v>45745</v>
      </c>
      <c r="C905" s="2" t="s">
        <v>593</v>
      </c>
      <c r="D905" s="2" t="str">
        <f t="shared" si="13"/>
        <v>Error?</v>
      </c>
    </row>
    <row r="906" spans="1:4" x14ac:dyDescent="0.2">
      <c r="A906" s="5">
        <v>845</v>
      </c>
      <c r="B906" s="138">
        <f>'Expenditures 15-22'!F49</f>
        <v>16860</v>
      </c>
      <c r="D906" s="2" t="str">
        <f t="shared" si="13"/>
        <v>Error?</v>
      </c>
    </row>
    <row r="907" spans="1:4" x14ac:dyDescent="0.2">
      <c r="A907" s="5">
        <v>846</v>
      </c>
      <c r="B907" s="138">
        <f>'Expenditures 15-22'!F50</f>
        <v>455</v>
      </c>
      <c r="D907" s="2" t="str">
        <f t="shared" si="13"/>
        <v>Error?</v>
      </c>
    </row>
    <row r="908" spans="1:4" x14ac:dyDescent="0.2">
      <c r="A908" s="5">
        <v>847</v>
      </c>
      <c r="B908" s="138">
        <f>'Expenditures 15-22'!F53</f>
        <v>30887</v>
      </c>
      <c r="C908" s="2" t="s">
        <v>593</v>
      </c>
      <c r="D908" s="2" t="str">
        <f t="shared" si="13"/>
        <v>Error?</v>
      </c>
    </row>
    <row r="909" spans="1:4" x14ac:dyDescent="0.2">
      <c r="A909" s="5">
        <v>848</v>
      </c>
      <c r="B909" s="138">
        <f>'Expenditures 15-22'!F55</f>
        <v>36187</v>
      </c>
      <c r="D909" s="2" t="str">
        <f t="shared" si="13"/>
        <v>Error?</v>
      </c>
    </row>
    <row r="910" spans="1:4" x14ac:dyDescent="0.2">
      <c r="A910" s="5">
        <v>849</v>
      </c>
      <c r="B910" s="138">
        <f>'Expenditures 15-22'!F56</f>
        <v>1088</v>
      </c>
      <c r="D910" s="2" t="str">
        <f t="shared" si="13"/>
        <v>Error?</v>
      </c>
    </row>
    <row r="911" spans="1:4" x14ac:dyDescent="0.2">
      <c r="A911" s="5">
        <v>850</v>
      </c>
      <c r="B911" s="138">
        <f>'Expenditures 15-22'!F57</f>
        <v>37275</v>
      </c>
      <c r="C911" s="2" t="s">
        <v>593</v>
      </c>
      <c r="D911" s="2" t="str">
        <f t="shared" si="13"/>
        <v>Error?</v>
      </c>
    </row>
    <row r="912" spans="1:4" x14ac:dyDescent="0.2">
      <c r="A912" s="5">
        <v>851</v>
      </c>
      <c r="B912" s="138">
        <f>'Expenditures 15-22'!F59</f>
        <v>333</v>
      </c>
      <c r="D912" s="2" t="str">
        <f t="shared" si="13"/>
        <v>Error?</v>
      </c>
    </row>
    <row r="913" spans="1:4" x14ac:dyDescent="0.2">
      <c r="A913" s="5">
        <v>852</v>
      </c>
      <c r="B913" s="138">
        <f>'Expenditures 15-22'!F60</f>
        <v>1724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1000624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1002681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375380</v>
      </c>
      <c r="D925" s="2" t="str">
        <f t="shared" si="13"/>
        <v>Error?</v>
      </c>
    </row>
    <row r="926" spans="1:4" x14ac:dyDescent="0.2">
      <c r="A926" s="10">
        <v>865</v>
      </c>
      <c r="D926" s="2" t="str">
        <f t="shared" si="13"/>
        <v>OK</v>
      </c>
    </row>
    <row r="927" spans="1:4" x14ac:dyDescent="0.2">
      <c r="A927" s="5">
        <v>866</v>
      </c>
      <c r="B927" s="138">
        <f>'Expenditures 15-22'!F72</f>
        <v>375488</v>
      </c>
      <c r="C927" s="2" t="s">
        <v>593</v>
      </c>
      <c r="D927" s="2" t="str">
        <f t="shared" si="13"/>
        <v>Error?</v>
      </c>
    </row>
    <row r="928" spans="1:4" x14ac:dyDescent="0.2">
      <c r="A928" s="5">
        <v>867</v>
      </c>
      <c r="B928" s="138">
        <f>'Expenditures 15-22'!F73</f>
        <v>291</v>
      </c>
      <c r="D928" s="2" t="str">
        <f t="shared" si="13"/>
        <v>Error?</v>
      </c>
    </row>
    <row r="929" spans="1:4" x14ac:dyDescent="0.2">
      <c r="A929" s="5">
        <v>868</v>
      </c>
      <c r="B929" s="138">
        <f>'Expenditures 15-22'!F74</f>
        <v>1520033</v>
      </c>
      <c r="C929" s="2" t="s">
        <v>593</v>
      </c>
      <c r="D929" s="2" t="str">
        <f t="shared" si="13"/>
        <v>Error?</v>
      </c>
    </row>
    <row r="930" spans="1:4" x14ac:dyDescent="0.2">
      <c r="A930" s="5">
        <v>869</v>
      </c>
      <c r="B930" s="138">
        <f>'Expenditures 15-22'!F75</f>
        <v>427</v>
      </c>
      <c r="D930" s="2" t="str">
        <f t="shared" si="13"/>
        <v>Error?</v>
      </c>
    </row>
    <row r="931" spans="1:4" x14ac:dyDescent="0.2">
      <c r="A931" s="5">
        <v>870</v>
      </c>
      <c r="B931" s="138">
        <f>'Expenditures 15-22'!F114</f>
        <v>2744168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44338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62318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12128</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12128</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187490</v>
      </c>
      <c r="D983" s="2" t="str">
        <f t="shared" si="14"/>
        <v>Error?</v>
      </c>
    </row>
    <row r="984" spans="1:4" x14ac:dyDescent="0.2">
      <c r="A984" s="10">
        <v>923</v>
      </c>
      <c r="D984" s="2" t="str">
        <f t="shared" si="14"/>
        <v>OK</v>
      </c>
    </row>
    <row r="985" spans="1:4" x14ac:dyDescent="0.2">
      <c r="A985" s="5">
        <v>924</v>
      </c>
      <c r="B985" s="138">
        <f>'Expenditures 15-22'!G72</f>
        <v>187490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199618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261936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24539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1329416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82</v>
      </c>
      <c r="C1017" s="2" t="s">
        <v>593</v>
      </c>
      <c r="D1017" s="2" t="str">
        <f t="shared" si="14"/>
        <v>Error?</v>
      </c>
    </row>
    <row r="1018" spans="1:4" x14ac:dyDescent="0.2">
      <c r="A1018" s="5">
        <v>957</v>
      </c>
      <c r="B1018" s="138">
        <f>'Expenditures 15-22'!H44</f>
        <v>1711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1711</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2070</v>
      </c>
      <c r="D1023" s="2" t="str">
        <f t="shared" ref="D1023:D1086" si="15">IF(ISBLANK(B1023),"OK",IF(A1023-B1023=0,"OK","Error?"))</f>
        <v>Error?</v>
      </c>
    </row>
    <row r="1024" spans="1:4" x14ac:dyDescent="0.2">
      <c r="A1024" s="5">
        <v>963</v>
      </c>
      <c r="B1024" s="138">
        <f>'Expenditures 15-22'!H53</f>
        <v>2610</v>
      </c>
      <c r="C1024" s="2" t="s">
        <v>593</v>
      </c>
      <c r="D1024" s="2" t="str">
        <f t="shared" si="15"/>
        <v>Error?</v>
      </c>
    </row>
    <row r="1025" spans="1:4" x14ac:dyDescent="0.2">
      <c r="A1025" s="5">
        <v>964</v>
      </c>
      <c r="B1025" s="138">
        <f>'Expenditures 15-22'!H55</f>
        <v>11354</v>
      </c>
      <c r="D1025" s="2" t="str">
        <f t="shared" si="15"/>
        <v>Error?</v>
      </c>
    </row>
    <row r="1026" spans="1:4" x14ac:dyDescent="0.2">
      <c r="A1026" s="5">
        <v>965</v>
      </c>
      <c r="B1026" s="138">
        <f>'Expenditures 15-22'!H56</f>
        <v>398</v>
      </c>
      <c r="D1026" s="2" t="str">
        <f t="shared" si="15"/>
        <v>Error?</v>
      </c>
    </row>
    <row r="1027" spans="1:4" x14ac:dyDescent="0.2">
      <c r="A1027" s="5">
        <v>966</v>
      </c>
      <c r="B1027" s="138">
        <f>'Expenditures 15-22'!H57</f>
        <v>11752</v>
      </c>
      <c r="C1027" s="2" t="s">
        <v>593</v>
      </c>
      <c r="D1027" s="2" t="str">
        <f t="shared" si="15"/>
        <v>Error?</v>
      </c>
    </row>
    <row r="1028" spans="1:4" x14ac:dyDescent="0.2">
      <c r="A1028" s="5">
        <v>967</v>
      </c>
      <c r="B1028" s="138">
        <f>'Expenditures 15-22'!H59</f>
        <v>395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760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275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275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17190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454781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1801387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15787017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45233</v>
      </c>
      <c r="C1104" s="2" t="s">
        <v>593</v>
      </c>
      <c r="D1104" s="2" t="str">
        <f t="shared" si="16"/>
        <v>Error?</v>
      </c>
    </row>
    <row r="1105" spans="1:4" x14ac:dyDescent="0.2">
      <c r="A1105" s="5">
        <v>1044</v>
      </c>
      <c r="B1105" s="138">
        <f>'Expenditures 15-22'!K13</f>
        <v>550116</v>
      </c>
      <c r="C1105" s="2" t="s">
        <v>593</v>
      </c>
      <c r="D1105" s="2" t="str">
        <f t="shared" si="16"/>
        <v>Error?</v>
      </c>
    </row>
    <row r="1106" spans="1:4" x14ac:dyDescent="0.2">
      <c r="A1106" s="5">
        <v>1045</v>
      </c>
      <c r="B1106" s="138">
        <f>'Expenditures 15-22'!K14</f>
        <v>733209</v>
      </c>
      <c r="C1106" s="2" t="s">
        <v>593</v>
      </c>
      <c r="D1106" s="2" t="str">
        <f t="shared" si="16"/>
        <v>Error?</v>
      </c>
    </row>
    <row r="1107" spans="1:4" x14ac:dyDescent="0.2">
      <c r="A1107" s="5">
        <v>1046</v>
      </c>
      <c r="B1107" s="138">
        <f>'Expenditures 15-22'!K15</f>
        <v>19673</v>
      </c>
      <c r="C1107" s="2" t="s">
        <v>593</v>
      </c>
      <c r="D1107" s="2" t="str">
        <f t="shared" si="16"/>
        <v>Error?</v>
      </c>
    </row>
    <row r="1108" spans="1:4" x14ac:dyDescent="0.2">
      <c r="A1108" s="5">
        <v>1047</v>
      </c>
      <c r="B1108" s="138">
        <f>'Expenditures 15-22'!K33</f>
        <v>22164267</v>
      </c>
      <c r="C1108" s="2" t="s">
        <v>593</v>
      </c>
      <c r="D1108" s="2" t="str">
        <f t="shared" si="16"/>
        <v>Error?</v>
      </c>
    </row>
    <row r="1109" spans="1:4" x14ac:dyDescent="0.2">
      <c r="A1109" s="5">
        <v>1048</v>
      </c>
      <c r="B1109" s="138">
        <f>'Expenditures 15-22'!K36</f>
        <v>263198</v>
      </c>
      <c r="C1109" s="2" t="s">
        <v>593</v>
      </c>
      <c r="D1109" s="2" t="str">
        <f t="shared" si="16"/>
        <v>Error?</v>
      </c>
    </row>
    <row r="1110" spans="1:4" x14ac:dyDescent="0.2">
      <c r="A1110" s="5">
        <v>1049</v>
      </c>
      <c r="B1110" s="138">
        <f>'Expenditures 15-22'!K37</f>
        <v>738192</v>
      </c>
      <c r="C1110" s="2" t="s">
        <v>593</v>
      </c>
      <c r="D1110" s="2" t="str">
        <f t="shared" si="16"/>
        <v>Error?</v>
      </c>
    </row>
    <row r="1111" spans="1:4" x14ac:dyDescent="0.2">
      <c r="A1111" s="5">
        <v>1050</v>
      </c>
      <c r="B1111" s="138">
        <f>'Expenditures 15-22'!K38</f>
        <v>244078</v>
      </c>
      <c r="C1111" s="2" t="s">
        <v>593</v>
      </c>
      <c r="D1111" s="2" t="str">
        <f t="shared" si="16"/>
        <v>Error?</v>
      </c>
    </row>
    <row r="1112" spans="1:4" x14ac:dyDescent="0.2">
      <c r="A1112" s="5">
        <v>1051</v>
      </c>
      <c r="B1112" s="138">
        <f>'Expenditures 15-22'!K39</f>
        <v>169243</v>
      </c>
      <c r="C1112" s="2" t="s">
        <v>593</v>
      </c>
      <c r="D1112" s="2" t="str">
        <f t="shared" si="16"/>
        <v>Error?</v>
      </c>
    </row>
    <row r="1113" spans="1:4" x14ac:dyDescent="0.2">
      <c r="A1113" s="5">
        <v>1052</v>
      </c>
      <c r="B1113" s="138">
        <f>'Expenditures 15-22'!K40</f>
        <v>546375</v>
      </c>
      <c r="C1113" s="2" t="s">
        <v>593</v>
      </c>
      <c r="D1113" s="2" t="str">
        <f t="shared" si="16"/>
        <v>Error?</v>
      </c>
    </row>
    <row r="1114" spans="1:4" x14ac:dyDescent="0.2">
      <c r="A1114" s="5">
        <v>1053</v>
      </c>
      <c r="B1114" s="138">
        <f>'Expenditures 15-22'!K41</f>
        <v>401221</v>
      </c>
      <c r="C1114" s="2" t="s">
        <v>593</v>
      </c>
      <c r="D1114" s="2" t="str">
        <f t="shared" si="16"/>
        <v>Error?</v>
      </c>
    </row>
    <row r="1115" spans="1:4" x14ac:dyDescent="0.2">
      <c r="A1115" s="5">
        <v>1054</v>
      </c>
      <c r="B1115" s="138">
        <f>'Expenditures 15-22'!K42</f>
        <v>2362307</v>
      </c>
      <c r="C1115" s="2" t="s">
        <v>593</v>
      </c>
      <c r="D1115" s="2" t="str">
        <f t="shared" si="16"/>
        <v>Error?</v>
      </c>
    </row>
    <row r="1116" spans="1:4" x14ac:dyDescent="0.2">
      <c r="A1116" s="5">
        <v>1055</v>
      </c>
      <c r="B1116" s="138">
        <f>'Expenditures 15-22'!K44</f>
        <v>177938</v>
      </c>
      <c r="C1116" s="2" t="s">
        <v>593</v>
      </c>
      <c r="D1116" s="2" t="str">
        <f t="shared" si="16"/>
        <v>Error?</v>
      </c>
    </row>
    <row r="1117" spans="1:4" x14ac:dyDescent="0.2">
      <c r="A1117" s="5">
        <v>1056</v>
      </c>
      <c r="B1117" s="138">
        <f>'Expenditures 15-22'!K45</f>
        <v>254402</v>
      </c>
      <c r="C1117" s="2" t="s">
        <v>593</v>
      </c>
      <c r="D1117" s="2" t="str">
        <f t="shared" si="16"/>
        <v>Error?</v>
      </c>
    </row>
    <row r="1118" spans="1:4" x14ac:dyDescent="0.2">
      <c r="A1118" s="5">
        <v>1057</v>
      </c>
      <c r="B1118" s="138">
        <f>'Expenditures 15-22'!K46</f>
        <v>18601</v>
      </c>
      <c r="C1118" s="2" t="s">
        <v>593</v>
      </c>
      <c r="D1118" s="2" t="str">
        <f t="shared" si="16"/>
        <v>Error?</v>
      </c>
    </row>
    <row r="1119" spans="1:4" x14ac:dyDescent="0.2">
      <c r="A1119" s="5">
        <v>1058</v>
      </c>
      <c r="B1119" s="138">
        <f>'Expenditures 15-22'!K47</f>
        <v>450941</v>
      </c>
      <c r="C1119" s="2" t="s">
        <v>593</v>
      </c>
      <c r="D1119" s="2" t="str">
        <f t="shared" si="16"/>
        <v>Error?</v>
      </c>
    </row>
    <row r="1120" spans="1:4" x14ac:dyDescent="0.2">
      <c r="A1120" s="5">
        <v>1059</v>
      </c>
      <c r="B1120" s="138">
        <f>'Expenditures 15-22'!K49</f>
        <v>238353</v>
      </c>
      <c r="C1120" s="2" t="s">
        <v>593</v>
      </c>
      <c r="D1120" s="2" t="str">
        <f t="shared" si="16"/>
        <v>Error?</v>
      </c>
    </row>
    <row r="1121" spans="1:4" x14ac:dyDescent="0.2">
      <c r="A1121" s="5">
        <v>1060</v>
      </c>
      <c r="B1121" s="138">
        <f>'Expenditures 15-22'!K50</f>
        <v>394097</v>
      </c>
      <c r="C1121" s="2" t="s">
        <v>593</v>
      </c>
      <c r="D1121" s="2" t="str">
        <f t="shared" si="16"/>
        <v>Error?</v>
      </c>
    </row>
    <row r="1122" spans="1:4" x14ac:dyDescent="0.2">
      <c r="A1122" s="5">
        <v>1061</v>
      </c>
      <c r="B1122" s="138">
        <f>'Expenditures 15-22'!K53</f>
        <v>1462773</v>
      </c>
      <c r="C1122" s="2" t="s">
        <v>593</v>
      </c>
      <c r="D1122" s="2" t="str">
        <f t="shared" si="16"/>
        <v>Error?</v>
      </c>
    </row>
    <row r="1123" spans="1:4" x14ac:dyDescent="0.2">
      <c r="A1123" s="5">
        <v>1062</v>
      </c>
      <c r="B1123" s="138">
        <f>'Expenditures 15-22'!K55</f>
        <v>1823686</v>
      </c>
      <c r="C1123" s="2" t="s">
        <v>593</v>
      </c>
      <c r="D1123" s="2" t="str">
        <f t="shared" si="16"/>
        <v>Error?</v>
      </c>
    </row>
    <row r="1124" spans="1:4" x14ac:dyDescent="0.2">
      <c r="A1124" s="5">
        <v>1063</v>
      </c>
      <c r="B1124" s="138">
        <f>'Expenditures 15-22'!K56</f>
        <v>203450</v>
      </c>
      <c r="C1124" s="2" t="s">
        <v>593</v>
      </c>
      <c r="D1124" s="2" t="str">
        <f t="shared" si="16"/>
        <v>Error?</v>
      </c>
    </row>
    <row r="1125" spans="1:4" x14ac:dyDescent="0.2">
      <c r="A1125" s="5">
        <v>1064</v>
      </c>
      <c r="B1125" s="138">
        <f>'Expenditures 15-22'!K57</f>
        <v>2027136</v>
      </c>
      <c r="C1125" s="2" t="s">
        <v>593</v>
      </c>
      <c r="D1125" s="2" t="str">
        <f t="shared" si="16"/>
        <v>Error?</v>
      </c>
    </row>
    <row r="1126" spans="1:4" x14ac:dyDescent="0.2">
      <c r="A1126" s="5">
        <v>1065</v>
      </c>
      <c r="B1126" s="138">
        <f>'Expenditures 15-22'!K59</f>
        <v>118628</v>
      </c>
      <c r="C1126" s="2" t="s">
        <v>593</v>
      </c>
      <c r="D1126" s="2" t="str">
        <f t="shared" si="16"/>
        <v>Error?</v>
      </c>
    </row>
    <row r="1127" spans="1:4" x14ac:dyDescent="0.2">
      <c r="A1127" s="5">
        <v>1066</v>
      </c>
      <c r="B1127" s="138">
        <f>'Expenditures 15-22'!K60</f>
        <v>175299</v>
      </c>
      <c r="C1127" s="2" t="s">
        <v>593</v>
      </c>
      <c r="D1127" s="2" t="str">
        <f t="shared" si="16"/>
        <v>Error?</v>
      </c>
    </row>
    <row r="1128" spans="1:4" x14ac:dyDescent="0.2">
      <c r="A1128" s="5">
        <v>1067</v>
      </c>
      <c r="B1128" s="138">
        <f>'Expenditures 15-22'!K61</f>
        <v>243664</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1895690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2433281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68784</v>
      </c>
      <c r="C1136" s="2" t="s">
        <v>593</v>
      </c>
      <c r="D1136" s="2" t="str">
        <f t="shared" si="16"/>
        <v>Error?</v>
      </c>
    </row>
    <row r="1137" spans="1:4" x14ac:dyDescent="0.2">
      <c r="A1137" s="5">
        <v>1076</v>
      </c>
      <c r="B1137" s="138">
        <f>'Expenditures 15-22'!K70</f>
        <v>58286</v>
      </c>
      <c r="C1137" s="2" t="s">
        <v>593</v>
      </c>
      <c r="D1137" s="2" t="str">
        <f t="shared" si="16"/>
        <v>Error?</v>
      </c>
    </row>
    <row r="1138" spans="1:4" x14ac:dyDescent="0.2">
      <c r="A1138" s="10">
        <v>1077</v>
      </c>
      <c r="D1138" s="2" t="str">
        <f t="shared" si="16"/>
        <v>OK</v>
      </c>
    </row>
    <row r="1139" spans="1:4" x14ac:dyDescent="0.2">
      <c r="A1139" s="5">
        <v>1078</v>
      </c>
      <c r="B1139" s="138">
        <f>'Expenditures 15-22'!K71</f>
        <v>1195841</v>
      </c>
      <c r="C1139" s="2" t="s">
        <v>593</v>
      </c>
      <c r="D1139" s="2" t="str">
        <f t="shared" si="16"/>
        <v>Error?</v>
      </c>
    </row>
    <row r="1140" spans="1:4" x14ac:dyDescent="0.2">
      <c r="A1140" s="10">
        <v>1079</v>
      </c>
      <c r="D1140" s="2" t="str">
        <f t="shared" si="16"/>
        <v>OK</v>
      </c>
    </row>
    <row r="1141" spans="1:4" x14ac:dyDescent="0.2">
      <c r="A1141" s="5">
        <v>1080</v>
      </c>
      <c r="B1141" s="138">
        <f>'Expenditures 15-22'!K72</f>
        <v>1322911</v>
      </c>
      <c r="C1141" s="2" t="s">
        <v>593</v>
      </c>
      <c r="D1141" s="2" t="str">
        <f t="shared" si="16"/>
        <v>Error?</v>
      </c>
    </row>
    <row r="1142" spans="1:4" x14ac:dyDescent="0.2">
      <c r="A1142" s="5">
        <v>1081</v>
      </c>
      <c r="B1142" s="138">
        <f>'Expenditures 15-22'!K73</f>
        <v>1254</v>
      </c>
      <c r="C1142" s="2" t="s">
        <v>593</v>
      </c>
      <c r="D1142" s="2" t="str">
        <f t="shared" si="16"/>
        <v>Error?</v>
      </c>
    </row>
    <row r="1143" spans="1:4" x14ac:dyDescent="0.2">
      <c r="A1143" s="5">
        <v>1082</v>
      </c>
      <c r="B1143" s="138">
        <f>'Expenditures 15-22'!K74</f>
        <v>10060603</v>
      </c>
      <c r="C1143" s="2" t="s">
        <v>593</v>
      </c>
      <c r="D1143" s="2" t="str">
        <f t="shared" si="16"/>
        <v>Error?</v>
      </c>
    </row>
    <row r="1144" spans="1:4" x14ac:dyDescent="0.2">
      <c r="A1144" s="5">
        <v>1083</v>
      </c>
      <c r="B1144" s="138">
        <f>'Expenditures 15-22'!K75</f>
        <v>9639</v>
      </c>
      <c r="C1144" s="2" t="s">
        <v>593</v>
      </c>
      <c r="D1144" s="2" t="str">
        <f t="shared" si="16"/>
        <v>Error?</v>
      </c>
    </row>
    <row r="1145" spans="1:4" x14ac:dyDescent="0.2">
      <c r="A1145" s="5">
        <v>1084</v>
      </c>
      <c r="B1145" s="138">
        <f>'Expenditures 15-22'!K102</f>
        <v>474275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32708784</v>
      </c>
      <c r="C1152" s="2" t="s">
        <v>593</v>
      </c>
      <c r="D1152" s="2" t="str">
        <f t="shared" si="17"/>
        <v>Error?</v>
      </c>
    </row>
    <row r="1153" spans="1:4" x14ac:dyDescent="0.2">
      <c r="A1153" s="5">
        <v>1092</v>
      </c>
      <c r="B1153" s="138">
        <f>'Expenditures 15-22'!K115</f>
        <v>4146733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1709976</v>
      </c>
      <c r="D1221" s="2" t="str">
        <f t="shared" si="18"/>
        <v>Error?</v>
      </c>
    </row>
    <row r="1222" spans="1:4" x14ac:dyDescent="0.2">
      <c r="A1222" s="10">
        <v>1161</v>
      </c>
      <c r="D1222" s="2" t="str">
        <f t="shared" si="18"/>
        <v>OK</v>
      </c>
    </row>
    <row r="1223" spans="1:4" x14ac:dyDescent="0.2">
      <c r="A1223" s="5">
        <v>1162</v>
      </c>
      <c r="B1223" s="138">
        <f>'Expenditures 15-22'!C127</f>
        <v>1709976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1709976</v>
      </c>
      <c r="C1225" s="2" t="s">
        <v>593</v>
      </c>
      <c r="D1225" s="2" t="str">
        <f t="shared" si="18"/>
        <v>Error?</v>
      </c>
    </row>
    <row r="1226" spans="1:4" x14ac:dyDescent="0.2">
      <c r="A1226" s="5">
        <v>1165</v>
      </c>
      <c r="B1226" s="138">
        <f>'Expenditures 15-22'!C151</f>
        <v>1709976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266614</v>
      </c>
      <c r="D1229" s="2" t="str">
        <f t="shared" si="18"/>
        <v>Error?</v>
      </c>
    </row>
    <row r="1230" spans="1:4" x14ac:dyDescent="0.2">
      <c r="A1230" s="10">
        <v>1169</v>
      </c>
      <c r="D1230" s="2" t="str">
        <f t="shared" si="18"/>
        <v>OK</v>
      </c>
    </row>
    <row r="1231" spans="1:4" x14ac:dyDescent="0.2">
      <c r="A1231" s="5">
        <v>1170</v>
      </c>
      <c r="B1231" s="138">
        <f>'Expenditures 15-22'!D127</f>
        <v>266614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266614</v>
      </c>
      <c r="C1233" s="2" t="s">
        <v>593</v>
      </c>
      <c r="D1233" s="2" t="str">
        <f t="shared" si="18"/>
        <v>Error?</v>
      </c>
    </row>
    <row r="1234" spans="1:4" x14ac:dyDescent="0.2">
      <c r="A1234" s="5">
        <v>1173</v>
      </c>
      <c r="B1234" s="138">
        <f>'Expenditures 15-22'!D151</f>
        <v>266614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419931</v>
      </c>
      <c r="D1237" s="2" t="str">
        <f t="shared" si="18"/>
        <v>Error?</v>
      </c>
    </row>
    <row r="1238" spans="1:4" x14ac:dyDescent="0.2">
      <c r="A1238" s="10">
        <v>1177</v>
      </c>
      <c r="D1238" s="2" t="str">
        <f t="shared" si="18"/>
        <v>OK</v>
      </c>
    </row>
    <row r="1239" spans="1:4" x14ac:dyDescent="0.2">
      <c r="A1239" s="5">
        <v>1178</v>
      </c>
      <c r="B1239" s="138">
        <f>'Expenditures 15-22'!E127</f>
        <v>419931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419931</v>
      </c>
      <c r="C1241" s="2" t="s">
        <v>593</v>
      </c>
      <c r="D1241" s="2" t="str">
        <f t="shared" si="18"/>
        <v>Error?</v>
      </c>
    </row>
    <row r="1242" spans="1:4" x14ac:dyDescent="0.2">
      <c r="A1242" s="5">
        <v>1181</v>
      </c>
      <c r="B1242" s="138">
        <f>'Expenditures 15-22'!E151</f>
        <v>419931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1206155</v>
      </c>
      <c r="D1245" s="2" t="str">
        <f t="shared" si="18"/>
        <v>Error?</v>
      </c>
    </row>
    <row r="1246" spans="1:4" x14ac:dyDescent="0.2">
      <c r="A1246" s="10">
        <v>1185</v>
      </c>
      <c r="D1246" s="2" t="str">
        <f t="shared" si="18"/>
        <v>OK</v>
      </c>
    </row>
    <row r="1247" spans="1:4" x14ac:dyDescent="0.2">
      <c r="A1247" s="5">
        <v>1186</v>
      </c>
      <c r="B1247" s="138">
        <f>'Expenditures 15-22'!F127</f>
        <v>1206155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1206155</v>
      </c>
      <c r="C1249" s="2" t="s">
        <v>593</v>
      </c>
      <c r="D1249" s="2" t="str">
        <f t="shared" si="18"/>
        <v>Error?</v>
      </c>
    </row>
    <row r="1250" spans="1:4" x14ac:dyDescent="0.2">
      <c r="A1250" s="5">
        <v>1189</v>
      </c>
      <c r="B1250" s="138">
        <f>'Expenditures 15-22'!F151</f>
        <v>1206155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179439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179439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179439</v>
      </c>
      <c r="C1258" s="2" t="s">
        <v>593</v>
      </c>
      <c r="D1258" s="2" t="str">
        <f t="shared" si="18"/>
        <v>Error?</v>
      </c>
    </row>
    <row r="1259" spans="1:4" x14ac:dyDescent="0.2">
      <c r="A1259" s="5">
        <v>1198</v>
      </c>
      <c r="B1259" s="138">
        <f>'Expenditures 15-22'!G151</f>
        <v>179439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6020</v>
      </c>
      <c r="D1262" s="2" t="str">
        <f t="shared" si="18"/>
        <v>Error?</v>
      </c>
    </row>
    <row r="1263" spans="1:4" x14ac:dyDescent="0.2">
      <c r="A1263" s="10">
        <v>1202</v>
      </c>
      <c r="D1263" s="2" t="str">
        <f t="shared" si="18"/>
        <v>OK</v>
      </c>
    </row>
    <row r="1264" spans="1:4" x14ac:dyDescent="0.2">
      <c r="A1264" s="5">
        <v>1203</v>
      </c>
      <c r="B1264" s="138">
        <f>'Expenditures 15-22'!H127</f>
        <v>6020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6020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6020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3824930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3824930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3824930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3824930</v>
      </c>
      <c r="C1288" s="2" t="s">
        <v>593</v>
      </c>
      <c r="D1288" s="2" t="str">
        <f t="shared" si="19"/>
        <v>Error?</v>
      </c>
    </row>
    <row r="1289" spans="1:4" x14ac:dyDescent="0.2">
      <c r="A1289" s="5">
        <v>1228</v>
      </c>
      <c r="B1289" s="138">
        <f>'Expenditures 15-22'!K152</f>
        <v>575992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1978945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3095000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5073945</v>
      </c>
      <c r="C1317" s="2" t="s">
        <v>593</v>
      </c>
      <c r="D1317" s="2" t="str">
        <f t="shared" si="19"/>
        <v>Error?</v>
      </c>
    </row>
    <row r="1318" spans="1:4" x14ac:dyDescent="0.2">
      <c r="A1318" s="5">
        <v>1257</v>
      </c>
      <c r="B1318" s="138">
        <f>'Expenditures 15-22'!H174</f>
        <v>5073945</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1978945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3095000</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5073945</v>
      </c>
      <c r="C1331" s="2" t="s">
        <v>593</v>
      </c>
      <c r="D1331" s="2" t="str">
        <f t="shared" si="19"/>
        <v>Error?</v>
      </c>
    </row>
    <row r="1332" spans="1:4" x14ac:dyDescent="0.2">
      <c r="A1332" s="5">
        <v>1271</v>
      </c>
      <c r="B1332" s="138">
        <f>'Expenditures 15-22'!K174</f>
        <v>5073945</v>
      </c>
      <c r="C1332" s="2" t="s">
        <v>593</v>
      </c>
      <c r="D1332" s="2" t="str">
        <f t="shared" si="19"/>
        <v>Error?</v>
      </c>
    </row>
    <row r="1333" spans="1:4" x14ac:dyDescent="0.2">
      <c r="A1333" s="5">
        <v>1272</v>
      </c>
      <c r="B1333" s="138">
        <f>'Expenditures 15-22'!K175</f>
        <v>373136</v>
      </c>
      <c r="C1333" s="2" t="s">
        <v>593</v>
      </c>
      <c r="D1333" s="2" t="str">
        <f t="shared" si="19"/>
        <v>Error?</v>
      </c>
    </row>
    <row r="1334" spans="1:4" x14ac:dyDescent="0.2">
      <c r="A1334" s="10">
        <v>1273</v>
      </c>
      <c r="D1334" s="2" t="str">
        <f t="shared" si="19"/>
        <v>OK</v>
      </c>
    </row>
    <row r="1335" spans="1:4" x14ac:dyDescent="0.2">
      <c r="A1335" s="5">
        <v>1274</v>
      </c>
      <c r="B1335" s="138">
        <f>'Expenditures 15-22'!C182</f>
        <v>1315970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1315970</v>
      </c>
      <c r="C1339" s="2" t="s">
        <v>593</v>
      </c>
      <c r="D1339" s="2" t="str">
        <f t="shared" si="19"/>
        <v>Error?</v>
      </c>
    </row>
    <row r="1340" spans="1:4" x14ac:dyDescent="0.2">
      <c r="A1340" s="5">
        <v>1279</v>
      </c>
      <c r="B1340" s="138">
        <f>'Expenditures 15-22'!C210</f>
        <v>1315970</v>
      </c>
      <c r="C1340" s="2" t="s">
        <v>593</v>
      </c>
      <c r="D1340" s="2" t="str">
        <f t="shared" si="19"/>
        <v>Error?</v>
      </c>
    </row>
    <row r="1341" spans="1:4" x14ac:dyDescent="0.2">
      <c r="A1341" s="5">
        <v>1280</v>
      </c>
      <c r="B1341" s="138">
        <f>'Expenditures 15-22'!D182</f>
        <v>140197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140197</v>
      </c>
      <c r="C1345" s="2" t="s">
        <v>593</v>
      </c>
      <c r="D1345" s="2" t="str">
        <f t="shared" si="20"/>
        <v>Error?</v>
      </c>
    </row>
    <row r="1346" spans="1:4" x14ac:dyDescent="0.2">
      <c r="A1346" s="5">
        <v>1285</v>
      </c>
      <c r="B1346" s="138">
        <f>'Expenditures 15-22'!D210</f>
        <v>140197</v>
      </c>
      <c r="C1346" s="2" t="s">
        <v>593</v>
      </c>
      <c r="D1346" s="2" t="str">
        <f t="shared" si="20"/>
        <v>Error?</v>
      </c>
    </row>
    <row r="1347" spans="1:4" x14ac:dyDescent="0.2">
      <c r="A1347" s="5">
        <v>1286</v>
      </c>
      <c r="B1347" s="138">
        <f>'Expenditures 15-22'!E182</f>
        <v>145264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145264</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145264</v>
      </c>
      <c r="C1353" s="2" t="s">
        <v>593</v>
      </c>
      <c r="D1353" s="2" t="str">
        <f t="shared" si="20"/>
        <v>Error?</v>
      </c>
    </row>
    <row r="1354" spans="1:4" x14ac:dyDescent="0.2">
      <c r="A1354" s="5">
        <v>1293</v>
      </c>
      <c r="B1354" s="138">
        <f>'Expenditures 15-22'!F182</f>
        <v>281308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281308</v>
      </c>
      <c r="C1358" s="2" t="s">
        <v>593</v>
      </c>
      <c r="D1358" s="2" t="str">
        <f t="shared" si="20"/>
        <v>Error?</v>
      </c>
    </row>
    <row r="1359" spans="1:4" x14ac:dyDescent="0.2">
      <c r="A1359" s="5">
        <v>1298</v>
      </c>
      <c r="B1359" s="138">
        <f>'Expenditures 15-22'!F210</f>
        <v>281308</v>
      </c>
      <c r="C1359" s="2" t="s">
        <v>593</v>
      </c>
      <c r="D1359" s="2" t="str">
        <f t="shared" si="20"/>
        <v>Error?</v>
      </c>
    </row>
    <row r="1360" spans="1:4" x14ac:dyDescent="0.2">
      <c r="A1360" s="5">
        <v>1299</v>
      </c>
      <c r="B1360" s="138">
        <f>'Expenditures 15-22'!G182</f>
        <v>160560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160560</v>
      </c>
      <c r="C1364" s="2" t="s">
        <v>593</v>
      </c>
      <c r="D1364" s="2" t="str">
        <f t="shared" si="20"/>
        <v>Error?</v>
      </c>
    </row>
    <row r="1365" spans="1:4" x14ac:dyDescent="0.2">
      <c r="A1365" s="5">
        <v>1304</v>
      </c>
      <c r="B1365" s="138">
        <f>'Expenditures 15-22'!G210</f>
        <v>160560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2044538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2044538</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2044538</v>
      </c>
      <c r="C1388" s="2" t="s">
        <v>593</v>
      </c>
      <c r="D1388" s="2" t="str">
        <f t="shared" si="20"/>
        <v>Error?</v>
      </c>
    </row>
    <row r="1389" spans="1:4" x14ac:dyDescent="0.2">
      <c r="A1389" s="5">
        <v>1328</v>
      </c>
      <c r="B1389" s="138">
        <f>'Expenditures 15-22'!K211</f>
        <v>708029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6841</v>
      </c>
      <c r="D1406" s="2" t="str">
        <f t="shared" si="20"/>
        <v>Error?</v>
      </c>
    </row>
    <row r="1407" spans="1:4" x14ac:dyDescent="0.2">
      <c r="A1407" s="5">
        <v>1346</v>
      </c>
      <c r="B1407" s="138">
        <f>'Expenditures 15-22'!D222</f>
        <v>6348</v>
      </c>
      <c r="D1407" s="2" t="str">
        <f t="shared" ref="D1407:D1470" si="21">IF(ISBLANK(B1407),"OK",IF(A1407-B1407=0,"OK","Error?"))</f>
        <v>Error?</v>
      </c>
    </row>
    <row r="1408" spans="1:4" x14ac:dyDescent="0.2">
      <c r="A1408" s="5">
        <v>1347</v>
      </c>
      <c r="B1408" s="138">
        <f>'Expenditures 15-22'!D223</f>
        <v>23390</v>
      </c>
      <c r="D1408" s="2" t="str">
        <f t="shared" si="21"/>
        <v>Error?</v>
      </c>
    </row>
    <row r="1409" spans="1:4" x14ac:dyDescent="0.2">
      <c r="A1409" s="5">
        <v>1348</v>
      </c>
      <c r="B1409" s="138">
        <f>'Expenditures 15-22'!D224</f>
        <v>273</v>
      </c>
      <c r="D1409" s="2" t="str">
        <f t="shared" si="21"/>
        <v>Error?</v>
      </c>
    </row>
    <row r="1410" spans="1:4" x14ac:dyDescent="0.2">
      <c r="A1410" s="5">
        <v>1349</v>
      </c>
      <c r="B1410" s="138">
        <f>'Expenditures 15-22'!D229</f>
        <v>434866</v>
      </c>
      <c r="C1410" s="2" t="s">
        <v>593</v>
      </c>
      <c r="D1410" s="2" t="str">
        <f t="shared" si="21"/>
        <v>Error?</v>
      </c>
    </row>
    <row r="1411" spans="1:4" x14ac:dyDescent="0.2">
      <c r="A1411" s="5">
        <v>1350</v>
      </c>
      <c r="B1411" s="138">
        <f>'Expenditures 15-22'!D232</f>
        <v>3270</v>
      </c>
      <c r="D1411" s="2" t="str">
        <f t="shared" si="21"/>
        <v>Error?</v>
      </c>
    </row>
    <row r="1412" spans="1:4" x14ac:dyDescent="0.2">
      <c r="A1412" s="5">
        <v>1351</v>
      </c>
      <c r="B1412" s="138">
        <f>'Expenditures 15-22'!D233</f>
        <v>13729</v>
      </c>
      <c r="D1412" s="2" t="str">
        <f t="shared" si="21"/>
        <v>Error?</v>
      </c>
    </row>
    <row r="1413" spans="1:4" x14ac:dyDescent="0.2">
      <c r="A1413" s="5">
        <v>1352</v>
      </c>
      <c r="B1413" s="138">
        <f>'Expenditures 15-22'!D234</f>
        <v>34683</v>
      </c>
      <c r="D1413" s="2" t="str">
        <f t="shared" si="21"/>
        <v>Error?</v>
      </c>
    </row>
    <row r="1414" spans="1:4" x14ac:dyDescent="0.2">
      <c r="A1414" s="5">
        <v>1353</v>
      </c>
      <c r="B1414" s="138">
        <f>'Expenditures 15-22'!D235</f>
        <v>1930</v>
      </c>
      <c r="D1414" s="2" t="str">
        <f t="shared" si="21"/>
        <v>Error?</v>
      </c>
    </row>
    <row r="1415" spans="1:4" x14ac:dyDescent="0.2">
      <c r="A1415" s="5">
        <v>1354</v>
      </c>
      <c r="B1415" s="138">
        <f>'Expenditures 15-22'!D236</f>
        <v>5383</v>
      </c>
      <c r="D1415" s="2" t="str">
        <f t="shared" si="21"/>
        <v>Error?</v>
      </c>
    </row>
    <row r="1416" spans="1:4" x14ac:dyDescent="0.2">
      <c r="A1416" s="5">
        <v>1355</v>
      </c>
      <c r="B1416" s="138">
        <f>'Expenditures 15-22'!D237</f>
        <v>53955</v>
      </c>
      <c r="D1416" s="2" t="str">
        <f t="shared" si="21"/>
        <v>Error?</v>
      </c>
    </row>
    <row r="1417" spans="1:4" x14ac:dyDescent="0.2">
      <c r="A1417" s="5">
        <v>1356</v>
      </c>
      <c r="B1417" s="138">
        <f>'Expenditures 15-22'!D238</f>
        <v>112950</v>
      </c>
      <c r="C1417" s="2" t="s">
        <v>593</v>
      </c>
      <c r="D1417" s="2" t="str">
        <f t="shared" si="21"/>
        <v>Error?</v>
      </c>
    </row>
    <row r="1418" spans="1:4" x14ac:dyDescent="0.2">
      <c r="A1418" s="5">
        <v>1357</v>
      </c>
      <c r="B1418" s="138">
        <f>'Expenditures 15-22'!D240</f>
        <v>599</v>
      </c>
      <c r="D1418" s="2" t="str">
        <f t="shared" si="21"/>
        <v>Error?</v>
      </c>
    </row>
    <row r="1419" spans="1:4" x14ac:dyDescent="0.2">
      <c r="A1419" s="5">
        <v>1358</v>
      </c>
      <c r="B1419" s="138">
        <f>'Expenditures 15-22'!D241</f>
        <v>15727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16326</v>
      </c>
      <c r="C1421" s="2" t="s">
        <v>593</v>
      </c>
      <c r="D1421" s="2" t="str">
        <f t="shared" si="21"/>
        <v>Error?</v>
      </c>
    </row>
    <row r="1422" spans="1:4" x14ac:dyDescent="0.2">
      <c r="A1422" s="5">
        <v>1361</v>
      </c>
      <c r="B1422" s="138">
        <f>'Expenditures 15-22'!D245</f>
        <v>14038</v>
      </c>
      <c r="D1422" s="2" t="str">
        <f t="shared" si="21"/>
        <v>Error?</v>
      </c>
    </row>
    <row r="1423" spans="1:4" x14ac:dyDescent="0.2">
      <c r="A1423" s="5">
        <v>1362</v>
      </c>
      <c r="B1423" s="138">
        <f>'Expenditures 15-22'!D246</f>
        <v>4505</v>
      </c>
      <c r="D1423" s="2" t="str">
        <f t="shared" si="21"/>
        <v>Error?</v>
      </c>
    </row>
    <row r="1424" spans="1:4" x14ac:dyDescent="0.2">
      <c r="A1424" s="5">
        <v>1363</v>
      </c>
      <c r="B1424" s="138">
        <f>'Expenditures 15-22'!D257</f>
        <v>25731</v>
      </c>
      <c r="C1424" s="2" t="s">
        <v>593</v>
      </c>
      <c r="D1424" s="2" t="str">
        <f t="shared" si="21"/>
        <v>Error?</v>
      </c>
    </row>
    <row r="1425" spans="1:4" x14ac:dyDescent="0.2">
      <c r="A1425" s="5">
        <v>1364</v>
      </c>
      <c r="B1425" s="138">
        <f>'Expenditures 15-22'!D259</f>
        <v>56295</v>
      </c>
      <c r="D1425" s="2" t="str">
        <f t="shared" si="21"/>
        <v>Error?</v>
      </c>
    </row>
    <row r="1426" spans="1:4" x14ac:dyDescent="0.2">
      <c r="A1426" s="5">
        <v>1365</v>
      </c>
      <c r="B1426" s="138">
        <f>'Expenditures 15-22'!D260</f>
        <v>31553</v>
      </c>
      <c r="D1426" s="2" t="str">
        <f t="shared" si="21"/>
        <v>Error?</v>
      </c>
    </row>
    <row r="1427" spans="1:4" x14ac:dyDescent="0.2">
      <c r="A1427" s="5">
        <v>1366</v>
      </c>
      <c r="B1427" s="138">
        <f>'Expenditures 15-22'!D261</f>
        <v>87848</v>
      </c>
      <c r="C1427" s="2" t="s">
        <v>593</v>
      </c>
      <c r="D1427" s="2" t="str">
        <f t="shared" si="21"/>
        <v>Error?</v>
      </c>
    </row>
    <row r="1428" spans="1:4" x14ac:dyDescent="0.2">
      <c r="A1428" s="5">
        <v>1367</v>
      </c>
      <c r="B1428" s="138">
        <f>'Expenditures 15-22'!D263</f>
        <v>4092</v>
      </c>
      <c r="D1428" s="2" t="str">
        <f t="shared" si="21"/>
        <v>Error?</v>
      </c>
    </row>
    <row r="1429" spans="1:4" x14ac:dyDescent="0.2">
      <c r="A1429" s="5">
        <v>1368</v>
      </c>
      <c r="B1429" s="138">
        <f>'Expenditures 15-22'!D264</f>
        <v>15801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331683</v>
      </c>
      <c r="D1431" s="2" t="str">
        <f t="shared" si="21"/>
        <v>Error?</v>
      </c>
    </row>
    <row r="1432" spans="1:4" x14ac:dyDescent="0.2">
      <c r="A1432" s="5">
        <v>1371</v>
      </c>
      <c r="B1432" s="138">
        <f>'Expenditures 15-22'!D267</f>
        <v>226119</v>
      </c>
      <c r="D1432" s="2" t="str">
        <f t="shared" si="21"/>
        <v>Error?</v>
      </c>
    </row>
    <row r="1433" spans="1:4" x14ac:dyDescent="0.2">
      <c r="A1433" s="5">
        <v>1372</v>
      </c>
      <c r="B1433" s="138">
        <f>'Expenditures 15-22'!D268</f>
        <v>115285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692980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12200</v>
      </c>
      <c r="D1439" s="2" t="str">
        <f t="shared" si="21"/>
        <v>Error?</v>
      </c>
    </row>
    <row r="1440" spans="1:4" x14ac:dyDescent="0.2">
      <c r="A1440" s="5">
        <v>1379</v>
      </c>
      <c r="B1440" s="138">
        <f>'Expenditures 15-22'!D275</f>
        <v>5268</v>
      </c>
      <c r="D1440" s="2" t="str">
        <f t="shared" si="21"/>
        <v>Error?</v>
      </c>
    </row>
    <row r="1441" spans="1:4" x14ac:dyDescent="0.2">
      <c r="A1441" s="10">
        <v>1380</v>
      </c>
      <c r="D1441" s="2" t="str">
        <f t="shared" si="21"/>
        <v>OK</v>
      </c>
    </row>
    <row r="1442" spans="1:4" x14ac:dyDescent="0.2">
      <c r="A1442" s="5">
        <v>1381</v>
      </c>
      <c r="B1442" s="138">
        <f>'Expenditures 15-22'!D276</f>
        <v>53837</v>
      </c>
      <c r="D1442" s="2" t="str">
        <f t="shared" si="21"/>
        <v>Error?</v>
      </c>
    </row>
    <row r="1443" spans="1:4" x14ac:dyDescent="0.2">
      <c r="A1443" s="10">
        <v>1382</v>
      </c>
      <c r="D1443" s="2" t="str">
        <f t="shared" si="21"/>
        <v>OK</v>
      </c>
    </row>
    <row r="1444" spans="1:4" x14ac:dyDescent="0.2">
      <c r="A1444" s="5">
        <v>1383</v>
      </c>
      <c r="B1444" s="138">
        <f>'Expenditures 15-22'!D277</f>
        <v>71305</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1007140</v>
      </c>
      <c r="C1446" s="2" t="s">
        <v>593</v>
      </c>
      <c r="D1446" s="2" t="str">
        <f t="shared" si="21"/>
        <v>Error?</v>
      </c>
    </row>
    <row r="1447" spans="1:4" x14ac:dyDescent="0.2">
      <c r="A1447" s="5">
        <v>1386</v>
      </c>
      <c r="B1447" s="138">
        <f>'Expenditures 15-22'!D280</f>
        <v>1464</v>
      </c>
      <c r="D1447" s="2" t="str">
        <f t="shared" si="21"/>
        <v>Error?</v>
      </c>
    </row>
    <row r="1448" spans="1:4" x14ac:dyDescent="0.2">
      <c r="A1448" s="5">
        <v>1387</v>
      </c>
      <c r="B1448" s="138">
        <f>'Expenditures 15-22'!D295</f>
        <v>1443470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6841</v>
      </c>
      <c r="C1470" s="2" t="s">
        <v>593</v>
      </c>
      <c r="D1470" s="2" t="str">
        <f t="shared" si="21"/>
        <v>Error?</v>
      </c>
    </row>
    <row r="1471" spans="1:4" x14ac:dyDescent="0.2">
      <c r="A1471" s="5">
        <v>1410</v>
      </c>
      <c r="B1471" s="138">
        <f>'Expenditures 15-22'!K222</f>
        <v>6348</v>
      </c>
      <c r="C1471" s="2" t="s">
        <v>593</v>
      </c>
      <c r="D1471" s="2" t="str">
        <f t="shared" ref="D1471:D1534" si="22">IF(ISBLANK(B1471),"OK",IF(A1471-B1471=0,"OK","Error?"))</f>
        <v>Error?</v>
      </c>
    </row>
    <row r="1472" spans="1:4" x14ac:dyDescent="0.2">
      <c r="A1472" s="5">
        <v>1411</v>
      </c>
      <c r="B1472" s="138">
        <f>'Expenditures 15-22'!K223</f>
        <v>23390</v>
      </c>
      <c r="C1472" s="2" t="s">
        <v>593</v>
      </c>
      <c r="D1472" s="2" t="str">
        <f t="shared" si="22"/>
        <v>Error?</v>
      </c>
    </row>
    <row r="1473" spans="1:4" x14ac:dyDescent="0.2">
      <c r="A1473" s="5">
        <v>1412</v>
      </c>
      <c r="B1473" s="138">
        <f>'Expenditures 15-22'!K224</f>
        <v>273</v>
      </c>
      <c r="C1473" s="2" t="s">
        <v>593</v>
      </c>
      <c r="D1473" s="2" t="str">
        <f t="shared" si="22"/>
        <v>Error?</v>
      </c>
    </row>
    <row r="1474" spans="1:4" x14ac:dyDescent="0.2">
      <c r="A1474" s="5">
        <v>1413</v>
      </c>
      <c r="B1474" s="138">
        <f>'Expenditures 15-22'!K229</f>
        <v>434866</v>
      </c>
      <c r="C1474" s="2" t="s">
        <v>593</v>
      </c>
      <c r="D1474" s="2" t="str">
        <f t="shared" si="22"/>
        <v>Error?</v>
      </c>
    </row>
    <row r="1475" spans="1:4" x14ac:dyDescent="0.2">
      <c r="A1475" s="5">
        <v>1414</v>
      </c>
      <c r="B1475" s="138">
        <f>'Expenditures 15-22'!K232</f>
        <v>3270</v>
      </c>
      <c r="C1475" s="2" t="s">
        <v>593</v>
      </c>
      <c r="D1475" s="2" t="str">
        <f t="shared" si="22"/>
        <v>Error?</v>
      </c>
    </row>
    <row r="1476" spans="1:4" x14ac:dyDescent="0.2">
      <c r="A1476" s="5">
        <v>1415</v>
      </c>
      <c r="B1476" s="138">
        <f>'Expenditures 15-22'!K233</f>
        <v>13729</v>
      </c>
      <c r="C1476" s="2" t="s">
        <v>593</v>
      </c>
      <c r="D1476" s="2" t="str">
        <f t="shared" si="22"/>
        <v>Error?</v>
      </c>
    </row>
    <row r="1477" spans="1:4" x14ac:dyDescent="0.2">
      <c r="A1477" s="5">
        <v>1416</v>
      </c>
      <c r="B1477" s="138">
        <f>'Expenditures 15-22'!K234</f>
        <v>34683</v>
      </c>
      <c r="C1477" s="2" t="s">
        <v>593</v>
      </c>
      <c r="D1477" s="2" t="str">
        <f t="shared" si="22"/>
        <v>Error?</v>
      </c>
    </row>
    <row r="1478" spans="1:4" x14ac:dyDescent="0.2">
      <c r="A1478" s="5">
        <v>1417</v>
      </c>
      <c r="B1478" s="138">
        <f>'Expenditures 15-22'!K235</f>
        <v>1930</v>
      </c>
      <c r="C1478" s="2" t="s">
        <v>593</v>
      </c>
      <c r="D1478" s="2" t="str">
        <f t="shared" si="22"/>
        <v>Error?</v>
      </c>
    </row>
    <row r="1479" spans="1:4" x14ac:dyDescent="0.2">
      <c r="A1479" s="5">
        <v>1418</v>
      </c>
      <c r="B1479" s="138">
        <f>'Expenditures 15-22'!K236</f>
        <v>5383</v>
      </c>
      <c r="C1479" s="2" t="s">
        <v>593</v>
      </c>
      <c r="D1479" s="2" t="str">
        <f t="shared" si="22"/>
        <v>Error?</v>
      </c>
    </row>
    <row r="1480" spans="1:4" x14ac:dyDescent="0.2">
      <c r="A1480" s="5">
        <v>1419</v>
      </c>
      <c r="B1480" s="138">
        <f>'Expenditures 15-22'!K237</f>
        <v>53955</v>
      </c>
      <c r="C1480" s="2" t="s">
        <v>593</v>
      </c>
      <c r="D1480" s="2" t="str">
        <f t="shared" si="22"/>
        <v>Error?</v>
      </c>
    </row>
    <row r="1481" spans="1:4" x14ac:dyDescent="0.2">
      <c r="A1481" s="5">
        <v>1420</v>
      </c>
      <c r="B1481" s="138">
        <f>'Expenditures 15-22'!K238</f>
        <v>112950</v>
      </c>
      <c r="C1481" s="2" t="s">
        <v>593</v>
      </c>
      <c r="D1481" s="2" t="str">
        <f t="shared" si="22"/>
        <v>Error?</v>
      </c>
    </row>
    <row r="1482" spans="1:4" x14ac:dyDescent="0.2">
      <c r="A1482" s="5">
        <v>1421</v>
      </c>
      <c r="B1482" s="138">
        <f>'Expenditures 15-22'!K240</f>
        <v>599</v>
      </c>
      <c r="C1482" s="2" t="s">
        <v>593</v>
      </c>
      <c r="D1482" s="2" t="str">
        <f t="shared" si="22"/>
        <v>Error?</v>
      </c>
    </row>
    <row r="1483" spans="1:4" x14ac:dyDescent="0.2">
      <c r="A1483" s="5">
        <v>1422</v>
      </c>
      <c r="B1483" s="138">
        <f>'Expenditures 15-22'!K241</f>
        <v>15727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16326</v>
      </c>
      <c r="C1485" s="2" t="s">
        <v>593</v>
      </c>
      <c r="D1485" s="2" t="str">
        <f t="shared" si="22"/>
        <v>Error?</v>
      </c>
    </row>
    <row r="1486" spans="1:4" x14ac:dyDescent="0.2">
      <c r="A1486" s="5">
        <v>1425</v>
      </c>
      <c r="B1486" s="138">
        <f>'Expenditures 15-22'!K245</f>
        <v>14038</v>
      </c>
      <c r="C1486" s="2" t="s">
        <v>593</v>
      </c>
      <c r="D1486" s="2" t="str">
        <f t="shared" si="22"/>
        <v>Error?</v>
      </c>
    </row>
    <row r="1487" spans="1:4" x14ac:dyDescent="0.2">
      <c r="A1487" s="5">
        <v>1426</v>
      </c>
      <c r="B1487" s="138">
        <f>'Expenditures 15-22'!K246</f>
        <v>4505</v>
      </c>
      <c r="C1487" s="2" t="s">
        <v>593</v>
      </c>
      <c r="D1487" s="2" t="str">
        <f t="shared" si="22"/>
        <v>Error?</v>
      </c>
    </row>
    <row r="1488" spans="1:4" x14ac:dyDescent="0.2">
      <c r="A1488" s="5">
        <v>1427</v>
      </c>
      <c r="B1488" s="138">
        <f>'Expenditures 15-22'!K257</f>
        <v>25731</v>
      </c>
      <c r="C1488" s="2" t="s">
        <v>593</v>
      </c>
      <c r="D1488" s="2" t="str">
        <f t="shared" si="22"/>
        <v>Error?</v>
      </c>
    </row>
    <row r="1489" spans="1:4" x14ac:dyDescent="0.2">
      <c r="A1489" s="5">
        <v>1428</v>
      </c>
      <c r="B1489" s="138">
        <f>'Expenditures 15-22'!K259</f>
        <v>56295</v>
      </c>
      <c r="C1489" s="2" t="s">
        <v>593</v>
      </c>
      <c r="D1489" s="2" t="str">
        <f t="shared" si="22"/>
        <v>Error?</v>
      </c>
    </row>
    <row r="1490" spans="1:4" x14ac:dyDescent="0.2">
      <c r="A1490" s="5">
        <v>1429</v>
      </c>
      <c r="B1490" s="138">
        <f>'Expenditures 15-22'!K260</f>
        <v>31553</v>
      </c>
      <c r="C1490" s="2" t="s">
        <v>593</v>
      </c>
      <c r="D1490" s="2" t="str">
        <f t="shared" si="22"/>
        <v>Error?</v>
      </c>
    </row>
    <row r="1491" spans="1:4" x14ac:dyDescent="0.2">
      <c r="A1491" s="5">
        <v>1430</v>
      </c>
      <c r="B1491" s="138">
        <f>'Expenditures 15-22'!K261</f>
        <v>87848</v>
      </c>
      <c r="C1491" s="2" t="s">
        <v>593</v>
      </c>
      <c r="D1491" s="2" t="str">
        <f t="shared" si="22"/>
        <v>Error?</v>
      </c>
    </row>
    <row r="1492" spans="1:4" x14ac:dyDescent="0.2">
      <c r="A1492" s="5">
        <v>1431</v>
      </c>
      <c r="B1492" s="138">
        <f>'Expenditures 15-22'!K263</f>
        <v>4092</v>
      </c>
      <c r="C1492" s="2" t="s">
        <v>593</v>
      </c>
      <c r="D1492" s="2" t="str">
        <f t="shared" si="22"/>
        <v>Error?</v>
      </c>
    </row>
    <row r="1493" spans="1:4" x14ac:dyDescent="0.2">
      <c r="A1493" s="5">
        <v>1432</v>
      </c>
      <c r="B1493" s="138">
        <f>'Expenditures 15-22'!K264</f>
        <v>15801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331683</v>
      </c>
      <c r="C1495" s="2" t="s">
        <v>593</v>
      </c>
      <c r="D1495" s="2" t="str">
        <f t="shared" si="22"/>
        <v>Error?</v>
      </c>
    </row>
    <row r="1496" spans="1:4" x14ac:dyDescent="0.2">
      <c r="A1496" s="5">
        <v>1435</v>
      </c>
      <c r="B1496" s="138">
        <f>'Expenditures 15-22'!K267</f>
        <v>226119</v>
      </c>
      <c r="C1496" s="2" t="s">
        <v>593</v>
      </c>
      <c r="D1496" s="2" t="str">
        <f t="shared" si="22"/>
        <v>Error?</v>
      </c>
    </row>
    <row r="1497" spans="1:4" x14ac:dyDescent="0.2">
      <c r="A1497" s="5">
        <v>1436</v>
      </c>
      <c r="B1497" s="138">
        <f>'Expenditures 15-22'!K268</f>
        <v>115285</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692980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12200</v>
      </c>
      <c r="C1503" s="2" t="s">
        <v>593</v>
      </c>
      <c r="D1503" s="2" t="str">
        <f t="shared" si="22"/>
        <v>Error?</v>
      </c>
    </row>
    <row r="1504" spans="1:4" x14ac:dyDescent="0.2">
      <c r="A1504" s="5">
        <v>1443</v>
      </c>
      <c r="B1504" s="138">
        <f>'Expenditures 15-22'!K275</f>
        <v>5268</v>
      </c>
      <c r="C1504" s="2" t="s">
        <v>593</v>
      </c>
      <c r="D1504" s="2" t="str">
        <f t="shared" si="22"/>
        <v>Error?</v>
      </c>
    </row>
    <row r="1505" spans="1:4" x14ac:dyDescent="0.2">
      <c r="A1505" s="10">
        <v>1444</v>
      </c>
      <c r="D1505" s="2" t="str">
        <f t="shared" si="22"/>
        <v>OK</v>
      </c>
    </row>
    <row r="1506" spans="1:4" x14ac:dyDescent="0.2">
      <c r="A1506" s="5">
        <v>1445</v>
      </c>
      <c r="B1506" s="138">
        <f>'Expenditures 15-22'!K276</f>
        <v>53837</v>
      </c>
      <c r="C1506" s="2" t="s">
        <v>593</v>
      </c>
      <c r="D1506" s="2" t="str">
        <f t="shared" si="22"/>
        <v>Error?</v>
      </c>
    </row>
    <row r="1507" spans="1:4" x14ac:dyDescent="0.2">
      <c r="A1507" s="10">
        <v>1446</v>
      </c>
      <c r="D1507" s="2" t="str">
        <f t="shared" si="22"/>
        <v>OK</v>
      </c>
    </row>
    <row r="1508" spans="1:4" x14ac:dyDescent="0.2">
      <c r="A1508" s="5">
        <v>1447</v>
      </c>
      <c r="B1508" s="138">
        <f>'Expenditures 15-22'!K277</f>
        <v>71305</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1007140</v>
      </c>
      <c r="C1510" s="2" t="s">
        <v>593</v>
      </c>
      <c r="D1510" s="2" t="str">
        <f t="shared" si="22"/>
        <v>Error?</v>
      </c>
    </row>
    <row r="1511" spans="1:4" x14ac:dyDescent="0.2">
      <c r="A1511" s="5">
        <v>1450</v>
      </c>
      <c r="B1511" s="138">
        <f>'Expenditures 15-22'!K280</f>
        <v>1464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1443470</v>
      </c>
      <c r="C1517" s="2" t="s">
        <v>593</v>
      </c>
      <c r="D1517" s="2" t="str">
        <f t="shared" si="22"/>
        <v>Error?</v>
      </c>
    </row>
    <row r="1518" spans="1:4" x14ac:dyDescent="0.2">
      <c r="A1518" s="5">
        <v>1457</v>
      </c>
      <c r="B1518" s="138">
        <f>'Expenditures 15-22'!K296</f>
        <v>271344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258104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258104</v>
      </c>
      <c r="C1547" s="2" t="s">
        <v>593</v>
      </c>
      <c r="D1547" s="2" t="str">
        <f t="shared" si="23"/>
        <v>Error?</v>
      </c>
    </row>
    <row r="1548" spans="1:4" x14ac:dyDescent="0.2">
      <c r="A1548" s="5">
        <v>1487</v>
      </c>
      <c r="B1548" s="138">
        <f>'Expenditures 15-22'!G312</f>
        <v>258104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258104</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258104</v>
      </c>
      <c r="C1559" s="2" t="s">
        <v>593</v>
      </c>
      <c r="D1559" s="2" t="str">
        <f t="shared" si="23"/>
        <v>Error?</v>
      </c>
    </row>
    <row r="1560" spans="1:4" x14ac:dyDescent="0.2">
      <c r="A1560" s="5">
        <v>1499</v>
      </c>
      <c r="B1560" s="138">
        <f>'Expenditures 15-22'!K312</f>
        <v>258104</v>
      </c>
      <c r="C1560" s="2" t="s">
        <v>593</v>
      </c>
      <c r="D1560" s="2" t="str">
        <f t="shared" si="23"/>
        <v>Error?</v>
      </c>
    </row>
    <row r="1561" spans="1:4" x14ac:dyDescent="0.2">
      <c r="A1561" s="5">
        <v>1500</v>
      </c>
      <c r="B1561" s="138">
        <f>'Expenditures 15-22'!K313</f>
        <v>-234492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7468156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11614889</v>
      </c>
      <c r="C1630" s="2" t="s">
        <v>593</v>
      </c>
      <c r="D1630" s="2" t="str">
        <f t="shared" si="24"/>
        <v>Error?</v>
      </c>
    </row>
    <row r="1631" spans="1:4" x14ac:dyDescent="0.2">
      <c r="A1631" s="5">
        <v>1570</v>
      </c>
      <c r="B1631" s="138">
        <f>'Acct Summary 7-8'!D79</f>
        <v>2469251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7428337</v>
      </c>
      <c r="C1644" s="2" t="s">
        <v>593</v>
      </c>
      <c r="D1644" s="2" t="str">
        <f t="shared" si="24"/>
        <v>Error?</v>
      </c>
    </row>
    <row r="1645" spans="1:4" x14ac:dyDescent="0.2">
      <c r="A1645" s="5">
        <v>1584</v>
      </c>
      <c r="B1645" s="138">
        <f>'Acct Summary 7-8'!E79</f>
        <v>2693266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3066402</v>
      </c>
      <c r="C1658" s="2" t="s">
        <v>593</v>
      </c>
      <c r="D1658" s="2" t="str">
        <f t="shared" si="24"/>
        <v>Error?</v>
      </c>
    </row>
    <row r="1659" spans="1:4" x14ac:dyDescent="0.2">
      <c r="A1659" s="5">
        <v>1598</v>
      </c>
      <c r="B1659" s="138">
        <f>'Acct Summary 7-8'!F79</f>
        <v>1569663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2277692</v>
      </c>
      <c r="C1672" s="2" t="s">
        <v>593</v>
      </c>
      <c r="D1672" s="2" t="str">
        <f t="shared" si="25"/>
        <v>Error?</v>
      </c>
    </row>
    <row r="1673" spans="1:4" x14ac:dyDescent="0.2">
      <c r="A1673" s="5">
        <v>1612</v>
      </c>
      <c r="B1673" s="138">
        <f>'Acct Summary 7-8'!G79</f>
        <v>857820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1129164</v>
      </c>
      <c r="C1686" s="2" t="s">
        <v>593</v>
      </c>
      <c r="D1686" s="2" t="str">
        <f t="shared" si="25"/>
        <v>Error?</v>
      </c>
    </row>
    <row r="1687" spans="1:4" x14ac:dyDescent="0.2">
      <c r="A1687" s="5">
        <v>1626</v>
      </c>
      <c r="B1687" s="138">
        <f>'Acct Summary 7-8'!H79</f>
        <v>4617586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21950231</v>
      </c>
      <c r="C1744" s="2" t="s">
        <v>593</v>
      </c>
      <c r="D1744" s="2" t="str">
        <f t="shared" si="26"/>
        <v>Error?</v>
      </c>
    </row>
    <row r="1745" spans="1:5" x14ac:dyDescent="0.2">
      <c r="A1745" s="5">
        <v>1684</v>
      </c>
      <c r="B1745" s="138">
        <f>'Tax Sched 23'!B5</f>
        <v>4231052</v>
      </c>
      <c r="C1745" s="2" t="s">
        <v>593</v>
      </c>
      <c r="D1745" s="2" t="str">
        <f t="shared" si="26"/>
        <v>Error?</v>
      </c>
    </row>
    <row r="1746" spans="1:5" x14ac:dyDescent="0.2">
      <c r="A1746" s="5">
        <v>1685</v>
      </c>
      <c r="B1746" s="138">
        <f>'Tax Sched 23'!B6</f>
        <v>5391840</v>
      </c>
      <c r="C1746" s="2" t="s">
        <v>593</v>
      </c>
      <c r="D1746" s="2" t="str">
        <f t="shared" si="26"/>
        <v>Error?</v>
      </c>
    </row>
    <row r="1747" spans="1:5" x14ac:dyDescent="0.2">
      <c r="A1747" s="5">
        <v>1686</v>
      </c>
      <c r="B1747" s="138">
        <f>'Tax Sched 23'!B7</f>
        <v>1477955</v>
      </c>
      <c r="C1747" s="2" t="s">
        <v>593</v>
      </c>
      <c r="D1747" s="2" t="str">
        <f t="shared" si="26"/>
        <v>Error?</v>
      </c>
    </row>
    <row r="1748" spans="1:5" x14ac:dyDescent="0.2">
      <c r="A1748" s="5">
        <v>1687</v>
      </c>
      <c r="B1748" s="138">
        <f>'Tax Sched 23'!B8</f>
        <v>774232</v>
      </c>
      <c r="C1748" s="2" t="s">
        <v>593</v>
      </c>
      <c r="D1748" s="2" t="str">
        <f t="shared" si="26"/>
        <v>Error?</v>
      </c>
    </row>
    <row r="1749" spans="1:5" x14ac:dyDescent="0.2">
      <c r="A1749" s="5">
        <v>1688</v>
      </c>
      <c r="B1749" s="138">
        <f>'Tax Sched 23'!B10</f>
        <v>120265</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94927</v>
      </c>
      <c r="C1753" s="2" t="s">
        <v>593</v>
      </c>
      <c r="D1753" s="2" t="str">
        <f t="shared" si="26"/>
        <v>Error?</v>
      </c>
    </row>
    <row r="1754" spans="1:5" x14ac:dyDescent="0.2">
      <c r="A1754" s="5">
        <v>1693</v>
      </c>
      <c r="B1754" s="138">
        <f>'Tax Sched 23'!B14</f>
        <v>158284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35256735</v>
      </c>
      <c r="C1759" s="2" t="s">
        <v>593</v>
      </c>
      <c r="D1759" s="2" t="str">
        <f t="shared" si="26"/>
        <v>Error?</v>
      </c>
    </row>
    <row r="1760" spans="1:5" x14ac:dyDescent="0.2">
      <c r="A1760" s="5">
        <v>1699</v>
      </c>
      <c r="B1760" s="138">
        <f>'Tax Sched 23'!D4</f>
        <v>10700367</v>
      </c>
      <c r="C1760" s="2" t="s">
        <v>593</v>
      </c>
      <c r="D1760" s="2" t="str">
        <f t="shared" si="26"/>
        <v>Error?</v>
      </c>
    </row>
    <row r="1761" spans="1:5" x14ac:dyDescent="0.2">
      <c r="A1761" s="5">
        <v>1700</v>
      </c>
      <c r="B1761" s="138">
        <f>'Tax Sched 23'!D5</f>
        <v>2013680</v>
      </c>
      <c r="C1761" s="2" t="s">
        <v>593</v>
      </c>
      <c r="D1761" s="2" t="str">
        <f t="shared" si="26"/>
        <v>Error?</v>
      </c>
    </row>
    <row r="1762" spans="1:5" s="8" customFormat="1" x14ac:dyDescent="0.2">
      <c r="A1762" s="5">
        <v>1701</v>
      </c>
      <c r="B1762" s="138">
        <f>'Tax Sched 23'!D6</f>
        <v>2638000</v>
      </c>
      <c r="C1762" s="2" t="s">
        <v>593</v>
      </c>
      <c r="D1762" s="2" t="str">
        <f t="shared" si="26"/>
        <v>Error?</v>
      </c>
      <c r="E1762" s="9"/>
    </row>
    <row r="1763" spans="1:5" x14ac:dyDescent="0.2">
      <c r="A1763" s="5">
        <v>1702</v>
      </c>
      <c r="B1763" s="138">
        <f>'Tax Sched 23'!D7</f>
        <v>720265</v>
      </c>
      <c r="C1763" s="2" t="s">
        <v>593</v>
      </c>
      <c r="D1763" s="2" t="str">
        <f t="shared" si="26"/>
        <v>Error?</v>
      </c>
    </row>
    <row r="1764" spans="1:5" x14ac:dyDescent="0.2">
      <c r="A1764" s="5">
        <v>1703</v>
      </c>
      <c r="B1764" s="138">
        <f>'Tax Sched 23'!D8</f>
        <v>377366</v>
      </c>
      <c r="C1764" s="2" t="s">
        <v>593</v>
      </c>
      <c r="D1764" s="2" t="str">
        <f t="shared" si="26"/>
        <v>Error?</v>
      </c>
    </row>
    <row r="1765" spans="1:5" x14ac:dyDescent="0.2">
      <c r="A1765" s="5">
        <v>1704</v>
      </c>
      <c r="B1765" s="138">
        <f>'Tax Sched 23'!D10</f>
        <v>58421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94927</v>
      </c>
      <c r="C1769" s="2" t="s">
        <v>593</v>
      </c>
      <c r="D1769" s="2" t="str">
        <f t="shared" si="26"/>
        <v>Error?</v>
      </c>
    </row>
    <row r="1770" spans="1:5" x14ac:dyDescent="0.2">
      <c r="A1770" s="5">
        <v>1709</v>
      </c>
      <c r="B1770" s="138">
        <f>'Tax Sched 23'!D14</f>
        <v>77161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17195845</v>
      </c>
      <c r="C1775" s="2" t="s">
        <v>593</v>
      </c>
      <c r="D1775" s="2" t="str">
        <f t="shared" si="26"/>
        <v>Error?</v>
      </c>
    </row>
    <row r="1776" spans="1:5" x14ac:dyDescent="0.2">
      <c r="A1776" s="5">
        <v>1715</v>
      </c>
      <c r="B1776" s="138">
        <f>'Tax Sched 23'!C4</f>
        <v>11249864</v>
      </c>
      <c r="D1776" s="2" t="str">
        <f t="shared" si="26"/>
        <v>Error?</v>
      </c>
    </row>
    <row r="1777" spans="1:4" x14ac:dyDescent="0.2">
      <c r="A1777" s="5">
        <v>1716</v>
      </c>
      <c r="B1777" s="138">
        <f>'Tax Sched 23'!C5</f>
        <v>2217372</v>
      </c>
      <c r="D1777" s="2" t="str">
        <f t="shared" si="26"/>
        <v>Error?</v>
      </c>
    </row>
    <row r="1778" spans="1:4" x14ac:dyDescent="0.2">
      <c r="A1778" s="5">
        <v>1717</v>
      </c>
      <c r="B1778" s="138">
        <f>'Tax Sched 23'!C6</f>
        <v>2753840</v>
      </c>
      <c r="D1778" s="2" t="str">
        <f t="shared" si="26"/>
        <v>Error?</v>
      </c>
    </row>
    <row r="1779" spans="1:4" x14ac:dyDescent="0.2">
      <c r="A1779" s="5">
        <v>1718</v>
      </c>
      <c r="B1779" s="138">
        <f>'Tax Sched 23'!C7</f>
        <v>757690</v>
      </c>
      <c r="D1779" s="2" t="str">
        <f t="shared" si="26"/>
        <v>Error?</v>
      </c>
    </row>
    <row r="1780" spans="1:4" x14ac:dyDescent="0.2">
      <c r="A1780" s="5">
        <v>1719</v>
      </c>
      <c r="B1780" s="138">
        <f>'Tax Sched 23'!C8</f>
        <v>396866</v>
      </c>
      <c r="D1780" s="2" t="str">
        <f t="shared" si="26"/>
        <v>Error?</v>
      </c>
    </row>
    <row r="1781" spans="1:4" x14ac:dyDescent="0.2">
      <c r="A1781" s="5">
        <v>1720</v>
      </c>
      <c r="B1781" s="138">
        <f>'Tax Sched 23'!C10</f>
        <v>61844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81123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18060890</v>
      </c>
      <c r="C1791" s="2" t="s">
        <v>593</v>
      </c>
      <c r="D1791" s="2" t="str">
        <f t="shared" ref="D1791:D1854" si="27">IF(ISBLANK(B1791),"OK",IF(A1791-B1791=0,"OK","Error?"))</f>
        <v>Error?</v>
      </c>
    </row>
    <row r="1792" spans="1:4" x14ac:dyDescent="0.2">
      <c r="A1792" s="5">
        <v>1731</v>
      </c>
      <c r="B1792" s="138">
        <f>'Tax Sched 23'!F4</f>
        <v>9941978</v>
      </c>
      <c r="C1792" s="2" t="s">
        <v>593</v>
      </c>
      <c r="D1792" s="2" t="str">
        <f t="shared" si="27"/>
        <v>Error?</v>
      </c>
    </row>
    <row r="1793" spans="1:4" x14ac:dyDescent="0.2">
      <c r="A1793" s="5">
        <v>1732</v>
      </c>
      <c r="B1793" s="138">
        <f>'Tax Sched 23'!F5</f>
        <v>1959584</v>
      </c>
      <c r="C1793" s="2" t="s">
        <v>593</v>
      </c>
      <c r="D1793" s="2" t="str">
        <f t="shared" si="27"/>
        <v>Error?</v>
      </c>
    </row>
    <row r="1794" spans="1:4" x14ac:dyDescent="0.2">
      <c r="A1794" s="5">
        <v>1733</v>
      </c>
      <c r="B1794" s="138">
        <f>'Tax Sched 23'!F6</f>
        <v>2433795</v>
      </c>
      <c r="C1794" s="2" t="s">
        <v>593</v>
      </c>
      <c r="D1794" s="2" t="str">
        <f t="shared" si="27"/>
        <v>Error?</v>
      </c>
    </row>
    <row r="1795" spans="1:4" x14ac:dyDescent="0.2">
      <c r="A1795" s="5">
        <v>1734</v>
      </c>
      <c r="B1795" s="138">
        <f>'Tax Sched 23'!F7</f>
        <v>669604</v>
      </c>
      <c r="C1795" s="2" t="s">
        <v>593</v>
      </c>
      <c r="D1795" s="2" t="str">
        <f t="shared" si="27"/>
        <v>Error?</v>
      </c>
    </row>
    <row r="1796" spans="1:4" x14ac:dyDescent="0.2">
      <c r="A1796" s="5">
        <v>1735</v>
      </c>
      <c r="B1796" s="138">
        <f>'Tax Sched 23'!F8</f>
        <v>350727</v>
      </c>
      <c r="C1796" s="2" t="s">
        <v>593</v>
      </c>
      <c r="D1796" s="2" t="str">
        <f t="shared" si="27"/>
        <v>Error?</v>
      </c>
    </row>
    <row r="1797" spans="1:4" x14ac:dyDescent="0.2">
      <c r="A1797" s="5">
        <v>1736</v>
      </c>
      <c r="B1797" s="138">
        <f>'Tax Sched 23'!F10</f>
        <v>54654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71636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15961166</v>
      </c>
      <c r="C1807" s="2" t="s">
        <v>593</v>
      </c>
      <c r="D1807" s="2" t="str">
        <f t="shared" si="27"/>
        <v>Error?</v>
      </c>
    </row>
    <row r="1808" spans="1:4" x14ac:dyDescent="0.2">
      <c r="A1808" s="5">
        <v>1747</v>
      </c>
      <c r="B1808" s="138">
        <f>'Tax Sched 23'!E4</f>
        <v>21191842</v>
      </c>
      <c r="D1808" s="2" t="str">
        <f t="shared" si="27"/>
        <v>Error?</v>
      </c>
    </row>
    <row r="1809" spans="1:4" x14ac:dyDescent="0.2">
      <c r="A1809" s="5">
        <v>1748</v>
      </c>
      <c r="B1809" s="138">
        <f>'Tax Sched 23'!E5</f>
        <v>4176956</v>
      </c>
      <c r="D1809" s="2" t="str">
        <f t="shared" si="27"/>
        <v>Error?</v>
      </c>
    </row>
    <row r="1810" spans="1:4" x14ac:dyDescent="0.2">
      <c r="A1810" s="5">
        <v>1749</v>
      </c>
      <c r="B1810" s="138">
        <f>'Tax Sched 23'!E6</f>
        <v>5187635</v>
      </c>
      <c r="D1810" s="2" t="str">
        <f t="shared" si="27"/>
        <v>Error?</v>
      </c>
    </row>
    <row r="1811" spans="1:4" x14ac:dyDescent="0.2">
      <c r="A1811" s="5">
        <v>1750</v>
      </c>
      <c r="B1811" s="138">
        <f>'Tax Sched 23'!E7</f>
        <v>1427294</v>
      </c>
      <c r="D1811" s="2" t="str">
        <f t="shared" si="27"/>
        <v>Error?</v>
      </c>
    </row>
    <row r="1812" spans="1:4" x14ac:dyDescent="0.2">
      <c r="A1812" s="5">
        <v>1751</v>
      </c>
      <c r="B1812" s="138">
        <f>'Tax Sched 23'!E8</f>
        <v>747593</v>
      </c>
      <c r="D1812" s="2" t="str">
        <f t="shared" si="27"/>
        <v>Error?</v>
      </c>
    </row>
    <row r="1813" spans="1:4" x14ac:dyDescent="0.2">
      <c r="A1813" s="5">
        <v>1752</v>
      </c>
      <c r="B1813" s="138">
        <f>'Tax Sched 23'!E10</f>
        <v>116498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152759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34022056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52085000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158284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158284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158284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4426429</v>
      </c>
      <c r="D2008" s="2" t="str">
        <f t="shared" si="30"/>
        <v>Error?</v>
      </c>
    </row>
    <row r="2009" spans="1:4" x14ac:dyDescent="0.2">
      <c r="A2009" s="5">
        <v>1948</v>
      </c>
      <c r="B2009" s="138">
        <f>'Cap Outlay Deprec 26'!C8</f>
        <v>111041262</v>
      </c>
      <c r="D2009" s="2" t="str">
        <f t="shared" si="30"/>
        <v>Error?</v>
      </c>
    </row>
    <row r="2010" spans="1:4" x14ac:dyDescent="0.2">
      <c r="A2010" s="5">
        <v>1949</v>
      </c>
      <c r="B2010" s="138">
        <f>'Cap Outlay Deprec 26'!C10</f>
        <v>8341565</v>
      </c>
      <c r="D2010" s="2" t="str">
        <f t="shared" si="30"/>
        <v>Error?</v>
      </c>
    </row>
    <row r="2011" spans="1:4" x14ac:dyDescent="0.2">
      <c r="A2011" s="5">
        <v>1950</v>
      </c>
      <c r="B2011" s="138">
        <f>'Cap Outlay Deprec 26'!C12</f>
        <v>10873029</v>
      </c>
      <c r="D2011" s="2" t="str">
        <f t="shared" si="30"/>
        <v>Error?</v>
      </c>
    </row>
    <row r="2012" spans="1:4" x14ac:dyDescent="0.2">
      <c r="A2012" s="5">
        <v>1951</v>
      </c>
      <c r="B2012" s="138">
        <f>'Cap Outlay Deprec 26'!C13</f>
        <v>3888877</v>
      </c>
      <c r="D2012" s="2" t="str">
        <f t="shared" si="30"/>
        <v>Error?</v>
      </c>
    </row>
    <row r="2013" spans="1:4" x14ac:dyDescent="0.2">
      <c r="A2013" s="5">
        <v>1952</v>
      </c>
      <c r="B2013" s="138">
        <f>'Cap Outlay Deprec 26'!C16</f>
        <v>138644845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263484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122365.41</v>
      </c>
      <c r="D2017" s="2" t="str">
        <f t="shared" si="30"/>
        <v>Error?</v>
      </c>
    </row>
    <row r="2018" spans="1:4" x14ac:dyDescent="0.2">
      <c r="A2018" s="5">
        <v>1957</v>
      </c>
      <c r="B2018" s="138">
        <f>'Cap Outlay Deprec 26'!D13</f>
        <v>182040</v>
      </c>
      <c r="D2018" s="2" t="str">
        <f t="shared" si="30"/>
        <v>Error?</v>
      </c>
    </row>
    <row r="2019" spans="1:4" x14ac:dyDescent="0.2">
      <c r="A2019" s="5">
        <v>1958</v>
      </c>
      <c r="B2019" s="138">
        <f>'Cap Outlay Deprec 26'!D16</f>
        <v>636168.41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73683</v>
      </c>
      <c r="C2025" s="2" t="s">
        <v>593</v>
      </c>
      <c r="D2025" s="2" t="str">
        <f t="shared" si="30"/>
        <v>Error?</v>
      </c>
    </row>
    <row r="2026" spans="1:4" x14ac:dyDescent="0.2">
      <c r="A2026" s="5">
        <v>1965</v>
      </c>
      <c r="B2026" s="138">
        <f>'Cap Outlay Deprec 26'!F5</f>
        <v>4426429</v>
      </c>
      <c r="C2026" s="2" t="s">
        <v>593</v>
      </c>
      <c r="D2026" s="2" t="str">
        <f t="shared" si="30"/>
        <v>Error?</v>
      </c>
    </row>
    <row r="2027" spans="1:4" x14ac:dyDescent="0.2">
      <c r="A2027" s="5">
        <v>1966</v>
      </c>
      <c r="B2027" s="138">
        <f>'Cap Outlay Deprec 26'!F8</f>
        <v>111304746</v>
      </c>
      <c r="C2027" s="2" t="s">
        <v>593</v>
      </c>
      <c r="D2027" s="2" t="str">
        <f t="shared" si="30"/>
        <v>Error?</v>
      </c>
    </row>
    <row r="2028" spans="1:4" x14ac:dyDescent="0.2">
      <c r="A2028" s="5">
        <v>1967</v>
      </c>
      <c r="B2028" s="138">
        <f>'Cap Outlay Deprec 26'!F10</f>
        <v>8341565</v>
      </c>
      <c r="C2028" s="2" t="s">
        <v>593</v>
      </c>
      <c r="D2028" s="2" t="str">
        <f t="shared" si="30"/>
        <v>Error?</v>
      </c>
    </row>
    <row r="2029" spans="1:4" x14ac:dyDescent="0.2">
      <c r="A2029" s="5">
        <v>1968</v>
      </c>
      <c r="B2029" s="138">
        <f>'Cap Outlay Deprec 26'!F12</f>
        <v>10995394.41</v>
      </c>
      <c r="C2029" s="2" t="s">
        <v>593</v>
      </c>
      <c r="D2029" s="2" t="str">
        <f t="shared" si="30"/>
        <v>Error?</v>
      </c>
    </row>
    <row r="2030" spans="1:4" x14ac:dyDescent="0.2">
      <c r="A2030" s="5">
        <v>1969</v>
      </c>
      <c r="B2030" s="138">
        <f>'Cap Outlay Deprec 26'!F13</f>
        <v>4070917</v>
      </c>
      <c r="C2030" s="2" t="s">
        <v>593</v>
      </c>
      <c r="D2030" s="2" t="str">
        <f t="shared" si="30"/>
        <v>Error?</v>
      </c>
    </row>
    <row r="2031" spans="1:4" x14ac:dyDescent="0.2">
      <c r="A2031" s="5">
        <v>1970</v>
      </c>
      <c r="B2031" s="138">
        <f>'Cap Outlay Deprec 26'!F16</f>
        <v>139207330.41</v>
      </c>
      <c r="C2031" s="2" t="s">
        <v>593</v>
      </c>
      <c r="D2031" s="2" t="str">
        <f t="shared" si="30"/>
        <v>Error?</v>
      </c>
    </row>
    <row r="2032" spans="1:4" x14ac:dyDescent="0.2">
      <c r="A2032" s="10">
        <v>1971</v>
      </c>
      <c r="D2032" s="2" t="str">
        <f t="shared" si="30"/>
        <v>OK</v>
      </c>
    </row>
    <row r="2033" spans="1:4" x14ac:dyDescent="0.2">
      <c r="A2033" s="5">
        <v>1972</v>
      </c>
      <c r="B2033" s="138">
        <f>'Cap Outlay Deprec 26'!H8</f>
        <v>4581044</v>
      </c>
      <c r="D2033" s="2" t="str">
        <f t="shared" si="30"/>
        <v>Error?</v>
      </c>
    </row>
    <row r="2034" spans="1:4" x14ac:dyDescent="0.2">
      <c r="A2034" s="5">
        <v>1973</v>
      </c>
      <c r="B2034" s="138">
        <f>'Cap Outlay Deprec 26'!H10</f>
        <v>650442</v>
      </c>
      <c r="D2034" s="2" t="str">
        <f t="shared" si="30"/>
        <v>Error?</v>
      </c>
    </row>
    <row r="2035" spans="1:4" x14ac:dyDescent="0.2">
      <c r="A2035" s="5">
        <v>1974</v>
      </c>
      <c r="B2035" s="138">
        <f>'Cap Outlay Deprec 26'!H12</f>
        <v>3019723</v>
      </c>
      <c r="D2035" s="2" t="str">
        <f t="shared" si="30"/>
        <v>Error?</v>
      </c>
    </row>
    <row r="2036" spans="1:4" x14ac:dyDescent="0.2">
      <c r="A2036" s="5">
        <v>1975</v>
      </c>
      <c r="B2036" s="138">
        <f>'Cap Outlay Deprec 26'!H13</f>
        <v>853820</v>
      </c>
      <c r="D2036" s="2" t="str">
        <f t="shared" si="30"/>
        <v>Error?</v>
      </c>
    </row>
    <row r="2037" spans="1:4" x14ac:dyDescent="0.2">
      <c r="A2037" s="5">
        <v>1976</v>
      </c>
      <c r="B2037" s="138">
        <f>'Cap Outlay Deprec 26'!H16</f>
        <v>9105029</v>
      </c>
      <c r="C2037" s="2" t="s">
        <v>593</v>
      </c>
      <c r="D2037" s="2" t="str">
        <f t="shared" si="30"/>
        <v>Error?</v>
      </c>
    </row>
    <row r="2038" spans="1:4" x14ac:dyDescent="0.2">
      <c r="A2038" s="10">
        <v>1977</v>
      </c>
      <c r="D2038" s="2" t="str">
        <f t="shared" si="30"/>
        <v>OK</v>
      </c>
    </row>
    <row r="2039" spans="1:4" x14ac:dyDescent="0.2">
      <c r="A2039" s="5">
        <v>1978</v>
      </c>
      <c r="B2039" s="138">
        <f>'Cap Outlay Deprec 26'!I8</f>
        <v>1050670</v>
      </c>
      <c r="D2039" s="2" t="str">
        <f t="shared" si="30"/>
        <v>Error?</v>
      </c>
    </row>
    <row r="2040" spans="1:4" x14ac:dyDescent="0.2">
      <c r="A2040" s="5">
        <v>1979</v>
      </c>
      <c r="B2040" s="138">
        <f>'Cap Outlay Deprec 26'!I10</f>
        <v>164264</v>
      </c>
      <c r="D2040" s="2" t="str">
        <f t="shared" si="30"/>
        <v>Error?</v>
      </c>
    </row>
    <row r="2041" spans="1:4" x14ac:dyDescent="0.2">
      <c r="A2041" s="5">
        <v>1980</v>
      </c>
      <c r="B2041" s="138">
        <f>'Cap Outlay Deprec 26'!I12</f>
        <v>611383.28</v>
      </c>
      <c r="D2041" s="2" t="str">
        <f t="shared" si="30"/>
        <v>Error?</v>
      </c>
    </row>
    <row r="2042" spans="1:4" x14ac:dyDescent="0.2">
      <c r="A2042" s="5">
        <v>1981</v>
      </c>
      <c r="B2042" s="138">
        <f>'Cap Outlay Deprec 26'!I13</f>
        <v>49522</v>
      </c>
      <c r="D2042" s="2" t="str">
        <f t="shared" si="30"/>
        <v>Error?</v>
      </c>
    </row>
    <row r="2043" spans="1:4" x14ac:dyDescent="0.2">
      <c r="A2043" s="5">
        <v>1982</v>
      </c>
      <c r="B2043" s="138">
        <f>'Cap Outlay Deprec 26'!I16</f>
        <v>1875839.28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5631714</v>
      </c>
      <c r="C2051" s="2" t="s">
        <v>593</v>
      </c>
      <c r="D2051" s="2" t="str">
        <f t="shared" si="31"/>
        <v>Error?</v>
      </c>
    </row>
    <row r="2052" spans="1:4" x14ac:dyDescent="0.2">
      <c r="A2052" s="5">
        <v>1991</v>
      </c>
      <c r="B2052" s="138">
        <f>'Cap Outlay Deprec 26'!K10</f>
        <v>814706</v>
      </c>
      <c r="C2052" s="2" t="s">
        <v>593</v>
      </c>
      <c r="D2052" s="2" t="str">
        <f t="shared" si="31"/>
        <v>Error?</v>
      </c>
    </row>
    <row r="2053" spans="1:4" x14ac:dyDescent="0.2">
      <c r="A2053" s="5">
        <v>1992</v>
      </c>
      <c r="B2053" s="138">
        <f>'Cap Outlay Deprec 26'!K12</f>
        <v>3631106.2800000003</v>
      </c>
      <c r="C2053" s="2" t="s">
        <v>593</v>
      </c>
      <c r="D2053" s="2" t="str">
        <f t="shared" si="31"/>
        <v>Error?</v>
      </c>
    </row>
    <row r="2054" spans="1:4" x14ac:dyDescent="0.2">
      <c r="A2054" s="5">
        <v>1993</v>
      </c>
      <c r="B2054" s="138">
        <f>'Cap Outlay Deprec 26'!K13</f>
        <v>903342</v>
      </c>
      <c r="C2054" s="2" t="s">
        <v>593</v>
      </c>
      <c r="D2054" s="2" t="str">
        <f t="shared" si="31"/>
        <v>Error?</v>
      </c>
    </row>
    <row r="2055" spans="1:4" x14ac:dyDescent="0.2">
      <c r="A2055" s="5">
        <v>1994</v>
      </c>
      <c r="B2055" s="138">
        <f>'Cap Outlay Deprec 26'!K16</f>
        <v>10980868.279999999</v>
      </c>
      <c r="C2055" s="2" t="s">
        <v>593</v>
      </c>
      <c r="D2055" s="2" t="str">
        <f t="shared" si="31"/>
        <v>Error?</v>
      </c>
    </row>
    <row r="2056" spans="1:4" x14ac:dyDescent="0.2">
      <c r="A2056" s="5">
        <v>1995</v>
      </c>
      <c r="B2056" s="138">
        <f>'Cap Outlay Deprec 26'!L5</f>
        <v>4426429</v>
      </c>
      <c r="C2056" s="2" t="s">
        <v>593</v>
      </c>
      <c r="D2056" s="2" t="str">
        <f t="shared" si="31"/>
        <v>Error?</v>
      </c>
    </row>
    <row r="2057" spans="1:4" x14ac:dyDescent="0.2">
      <c r="A2057" s="5">
        <v>1996</v>
      </c>
      <c r="B2057" s="138">
        <f>'Cap Outlay Deprec 26'!L8</f>
        <v>105673032</v>
      </c>
      <c r="C2057" s="2" t="s">
        <v>593</v>
      </c>
      <c r="D2057" s="2" t="str">
        <f t="shared" si="31"/>
        <v>Error?</v>
      </c>
    </row>
    <row r="2058" spans="1:4" x14ac:dyDescent="0.2">
      <c r="A2058" s="5">
        <v>1997</v>
      </c>
      <c r="B2058" s="138">
        <f>'Cap Outlay Deprec 26'!L10</f>
        <v>7526859</v>
      </c>
      <c r="C2058" s="2" t="s">
        <v>593</v>
      </c>
      <c r="D2058" s="2" t="str">
        <f t="shared" si="31"/>
        <v>Error?</v>
      </c>
    </row>
    <row r="2059" spans="1:4" x14ac:dyDescent="0.2">
      <c r="A2059" s="5">
        <v>1998</v>
      </c>
      <c r="B2059" s="138">
        <f>'Cap Outlay Deprec 26'!L12</f>
        <v>7364288.1299999999</v>
      </c>
      <c r="C2059" s="2" t="s">
        <v>593</v>
      </c>
      <c r="D2059" s="2" t="str">
        <f t="shared" si="31"/>
        <v>Error?</v>
      </c>
    </row>
    <row r="2060" spans="1:4" x14ac:dyDescent="0.2">
      <c r="A2060" s="5">
        <v>1999</v>
      </c>
      <c r="B2060" s="138">
        <f>'Cap Outlay Deprec 26'!L13</f>
        <v>3167575</v>
      </c>
      <c r="C2060" s="2" t="s">
        <v>593</v>
      </c>
      <c r="D2060" s="2" t="str">
        <f t="shared" si="31"/>
        <v>Error?</v>
      </c>
    </row>
    <row r="2061" spans="1:4" x14ac:dyDescent="0.2">
      <c r="A2061" s="5">
        <v>2000</v>
      </c>
      <c r="B2061" s="138">
        <f>'Cap Outlay Deprec 26'!L16</f>
        <v>128226462.13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2796</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22290</v>
      </c>
      <c r="C2088" s="2" t="s">
        <v>593</v>
      </c>
      <c r="D2088" s="2" t="str">
        <f t="shared" si="31"/>
        <v>Error?</v>
      </c>
    </row>
    <row r="2089" spans="1:4" x14ac:dyDescent="0.2">
      <c r="A2089" s="5">
        <v>2028</v>
      </c>
      <c r="B2089" s="138">
        <f>'Expenditures 15-22'!K92</f>
        <v>451985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1770169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562378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25140761</v>
      </c>
      <c r="C2551" s="2" t="s">
        <v>593</v>
      </c>
      <c r="D2551" s="2" t="str">
        <f t="shared" si="38"/>
        <v>Error?</v>
      </c>
    </row>
    <row r="2552" spans="1:4" x14ac:dyDescent="0.2">
      <c r="A2552" s="10">
        <v>2491</v>
      </c>
      <c r="D2552" s="2" t="str">
        <f t="shared" si="38"/>
        <v>OK</v>
      </c>
    </row>
    <row r="2553" spans="1:4" x14ac:dyDescent="0.2">
      <c r="A2553" s="5">
        <v>2492</v>
      </c>
      <c r="B2553" s="138">
        <f>'Acct Summary 7-8'!C6</f>
        <v>9390285</v>
      </c>
      <c r="C2553" s="2" t="s">
        <v>593</v>
      </c>
      <c r="D2553" s="2" t="str">
        <f t="shared" si="38"/>
        <v>Error?</v>
      </c>
    </row>
    <row r="2554" spans="1:4" x14ac:dyDescent="0.2">
      <c r="A2554" s="5">
        <v>2493</v>
      </c>
      <c r="B2554" s="138">
        <f>'Acct Summary 7-8'!C7</f>
        <v>2324471</v>
      </c>
      <c r="C2554" s="2" t="s">
        <v>593</v>
      </c>
      <c r="D2554" s="2" t="str">
        <f t="shared" si="38"/>
        <v>Error?</v>
      </c>
    </row>
    <row r="2555" spans="1:4" x14ac:dyDescent="0.2">
      <c r="A2555" s="5">
        <v>2494</v>
      </c>
      <c r="B2555" s="138">
        <f>'Acct Summary 7-8'!C8</f>
        <v>36855517</v>
      </c>
      <c r="C2555" s="2" t="s">
        <v>593</v>
      </c>
      <c r="D2555" s="2" t="str">
        <f t="shared" si="38"/>
        <v>Error?</v>
      </c>
    </row>
    <row r="2556" spans="1:4" x14ac:dyDescent="0.2">
      <c r="A2556" s="5">
        <v>2495</v>
      </c>
      <c r="B2556" s="138">
        <f>'Acct Summary 7-8'!C12</f>
        <v>22164267</v>
      </c>
      <c r="C2556" s="2" t="s">
        <v>593</v>
      </c>
      <c r="D2556" s="2" t="str">
        <f t="shared" si="38"/>
        <v>Error?</v>
      </c>
    </row>
    <row r="2557" spans="1:4" x14ac:dyDescent="0.2">
      <c r="A2557" s="5">
        <v>2496</v>
      </c>
      <c r="B2557" s="138">
        <f>'Acct Summary 7-8'!C13</f>
        <v>10060603</v>
      </c>
      <c r="C2557" s="2" t="s">
        <v>593</v>
      </c>
      <c r="D2557" s="2" t="str">
        <f t="shared" si="38"/>
        <v>Error?</v>
      </c>
    </row>
    <row r="2558" spans="1:4" x14ac:dyDescent="0.2">
      <c r="A2558" s="5">
        <v>2497</v>
      </c>
      <c r="B2558" s="138">
        <f>'Acct Summary 7-8'!C14</f>
        <v>9639</v>
      </c>
      <c r="C2558" s="2" t="s">
        <v>593</v>
      </c>
      <c r="D2558" s="2" t="str">
        <f t="shared" si="38"/>
        <v>Error?</v>
      </c>
    </row>
    <row r="2559" spans="1:4" x14ac:dyDescent="0.2">
      <c r="A2559" s="5">
        <v>2498</v>
      </c>
      <c r="B2559" s="138">
        <f>'Acct Summary 7-8'!C15</f>
        <v>474275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32708784</v>
      </c>
      <c r="C2561" s="2" t="s">
        <v>593</v>
      </c>
      <c r="D2561" s="2" t="str">
        <f t="shared" si="39"/>
        <v>Error?</v>
      </c>
    </row>
    <row r="2562" spans="1:4" x14ac:dyDescent="0.2">
      <c r="A2562" s="5">
        <v>2501</v>
      </c>
      <c r="B2562" s="138">
        <f>'Acct Summary 7-8'!C20</f>
        <v>4146733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4400922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4400922</v>
      </c>
      <c r="C2568" s="2" t="s">
        <v>593</v>
      </c>
      <c r="D2568" s="2" t="str">
        <f t="shared" si="39"/>
        <v>Error?</v>
      </c>
    </row>
    <row r="2569" spans="1:4" x14ac:dyDescent="0.2">
      <c r="A2569" s="5">
        <v>2508</v>
      </c>
      <c r="B2569" s="138">
        <f>'Acct Summary 7-8'!D13</f>
        <v>3824930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3824930</v>
      </c>
      <c r="C2573" s="2" t="s">
        <v>593</v>
      </c>
      <c r="D2573" s="2" t="str">
        <f t="shared" si="39"/>
        <v>Error?</v>
      </c>
    </row>
    <row r="2574" spans="1:4" x14ac:dyDescent="0.2">
      <c r="A2574" s="5">
        <v>2513</v>
      </c>
      <c r="B2574" s="138">
        <f>'Acct Summary 7-8'!D20</f>
        <v>575992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1696281</v>
      </c>
      <c r="C2591" s="2" t="s">
        <v>593</v>
      </c>
      <c r="D2591" s="2" t="str">
        <f t="shared" si="39"/>
        <v>Error?</v>
      </c>
    </row>
    <row r="2592" spans="1:4" x14ac:dyDescent="0.2">
      <c r="A2592" s="10">
        <v>2531</v>
      </c>
      <c r="D2592" s="2" t="str">
        <f t="shared" si="39"/>
        <v>OK</v>
      </c>
    </row>
    <row r="2593" spans="1:4" x14ac:dyDescent="0.2">
      <c r="A2593" s="5">
        <v>2532</v>
      </c>
      <c r="B2593" s="138">
        <f>'Acct Summary 7-8'!F6</f>
        <v>1055951</v>
      </c>
      <c r="C2593" s="2" t="s">
        <v>593</v>
      </c>
      <c r="D2593" s="2" t="str">
        <f t="shared" si="39"/>
        <v>Error?</v>
      </c>
    </row>
    <row r="2594" spans="1:4" x14ac:dyDescent="0.2">
      <c r="A2594" s="5">
        <v>2533</v>
      </c>
      <c r="B2594" s="138">
        <f>'Acct Summary 7-8'!F7</f>
        <v>335</v>
      </c>
      <c r="C2594" s="2" t="s">
        <v>593</v>
      </c>
      <c r="D2594" s="2" t="str">
        <f t="shared" si="39"/>
        <v>Error?</v>
      </c>
    </row>
    <row r="2595" spans="1:4" x14ac:dyDescent="0.2">
      <c r="A2595" s="5">
        <v>2534</v>
      </c>
      <c r="B2595" s="138">
        <f>'Acct Summary 7-8'!F8</f>
        <v>2752567</v>
      </c>
      <c r="C2595" s="2" t="s">
        <v>593</v>
      </c>
      <c r="D2595" s="2" t="str">
        <f t="shared" si="39"/>
        <v>Error?</v>
      </c>
    </row>
    <row r="2596" spans="1:4" x14ac:dyDescent="0.2">
      <c r="A2596" s="5">
        <v>2535</v>
      </c>
      <c r="B2596" s="138">
        <f>'Acct Summary 7-8'!F13</f>
        <v>2044538</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2044538</v>
      </c>
      <c r="C2600" s="2" t="s">
        <v>593</v>
      </c>
      <c r="D2600" s="2" t="str">
        <f t="shared" si="39"/>
        <v>Error?</v>
      </c>
    </row>
    <row r="2601" spans="1:4" x14ac:dyDescent="0.2">
      <c r="A2601" s="5">
        <v>2540</v>
      </c>
      <c r="B2601" s="138">
        <f>'Acct Summary 7-8'!F20</f>
        <v>708029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1714814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1714814</v>
      </c>
      <c r="C2606" s="2" t="s">
        <v>593</v>
      </c>
      <c r="D2606" s="2" t="str">
        <f t="shared" si="39"/>
        <v>Error?</v>
      </c>
    </row>
    <row r="2607" spans="1:4" x14ac:dyDescent="0.2">
      <c r="A2607" s="5">
        <v>2546</v>
      </c>
      <c r="B2607" s="138">
        <f>'Acct Summary 7-8'!G12</f>
        <v>434866</v>
      </c>
      <c r="C2607" s="2" t="s">
        <v>593</v>
      </c>
      <c r="D2607" s="2" t="str">
        <f t="shared" si="39"/>
        <v>Error?</v>
      </c>
    </row>
    <row r="2608" spans="1:4" x14ac:dyDescent="0.2">
      <c r="A2608" s="5">
        <v>2547</v>
      </c>
      <c r="B2608" s="138">
        <f>'Acct Summary 7-8'!G13</f>
        <v>1007140</v>
      </c>
      <c r="C2608" s="2" t="s">
        <v>593</v>
      </c>
      <c r="D2608" s="2" t="str">
        <f t="shared" si="39"/>
        <v>Error?</v>
      </c>
    </row>
    <row r="2609" spans="1:4" x14ac:dyDescent="0.2">
      <c r="A2609" s="5">
        <v>2548</v>
      </c>
      <c r="B2609" s="138">
        <f>'Acct Summary 7-8'!G14</f>
        <v>1464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1443470</v>
      </c>
      <c r="C2612" s="2" t="s">
        <v>593</v>
      </c>
      <c r="D2612" s="2" t="str">
        <f t="shared" si="39"/>
        <v>Error?</v>
      </c>
    </row>
    <row r="2613" spans="1:4" x14ac:dyDescent="0.2">
      <c r="A2613" s="5">
        <v>2552</v>
      </c>
      <c r="B2613" s="138">
        <f>'Acct Summary 7-8'!G20</f>
        <v>271344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5394788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5447081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5073945</v>
      </c>
      <c r="C2634" s="2" t="s">
        <v>593</v>
      </c>
      <c r="D2634" s="2" t="str">
        <f t="shared" si="40"/>
        <v>Error?</v>
      </c>
    </row>
    <row r="2635" spans="1:4" x14ac:dyDescent="0.2">
      <c r="A2635" s="5">
        <v>2574</v>
      </c>
      <c r="B2635" s="138">
        <f>'Acct Summary 7-8'!E17</f>
        <v>5073945</v>
      </c>
      <c r="C2635" s="2" t="s">
        <v>593</v>
      </c>
      <c r="D2635" s="2" t="str">
        <f t="shared" si="40"/>
        <v>Error?</v>
      </c>
    </row>
    <row r="2636" spans="1:4" x14ac:dyDescent="0.2">
      <c r="A2636" s="5">
        <v>2575</v>
      </c>
      <c r="B2636" s="138">
        <f>'Acct Summary 7-8'!E20</f>
        <v>373136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23612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23612</v>
      </c>
      <c r="C2658" s="2" t="s">
        <v>593</v>
      </c>
      <c r="D2658" s="2" t="str">
        <f t="shared" si="40"/>
        <v>Error?</v>
      </c>
    </row>
    <row r="2659" spans="1:4" x14ac:dyDescent="0.2">
      <c r="A2659" s="5">
        <v>2598</v>
      </c>
      <c r="B2659" s="138">
        <f>'Acct Summary 7-8'!H13</f>
        <v>258104</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258104</v>
      </c>
      <c r="C2661" s="2" t="s">
        <v>593</v>
      </c>
      <c r="D2661" s="2" t="str">
        <f t="shared" si="40"/>
        <v>Error?</v>
      </c>
    </row>
    <row r="2662" spans="1:4" x14ac:dyDescent="0.2">
      <c r="A2662" s="5">
        <v>2601</v>
      </c>
      <c r="B2662" s="138">
        <f>'Acct Summary 7-8'!H20</f>
        <v>-234492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182516</v>
      </c>
      <c r="D2718" s="2" t="str">
        <f t="shared" si="41"/>
        <v>Error?</v>
      </c>
    </row>
    <row r="2719" spans="1:4" x14ac:dyDescent="0.2">
      <c r="A2719" s="5">
        <v>2658</v>
      </c>
      <c r="B2719" s="138">
        <f>'Expenditures 15-22'!D51</f>
        <v>38761</v>
      </c>
      <c r="D2719" s="2" t="str">
        <f t="shared" si="41"/>
        <v>Error?</v>
      </c>
    </row>
    <row r="2720" spans="1:4" x14ac:dyDescent="0.2">
      <c r="A2720" s="5">
        <v>2659</v>
      </c>
      <c r="B2720" s="138">
        <f>'Expenditures 15-22'!E51</f>
        <v>3339</v>
      </c>
      <c r="D2720" s="2" t="str">
        <f t="shared" si="41"/>
        <v>Error?</v>
      </c>
    </row>
    <row r="2721" spans="1:4" x14ac:dyDescent="0.2">
      <c r="A2721" s="5">
        <v>2660</v>
      </c>
      <c r="B2721" s="138">
        <f>'Expenditures 15-22'!F51</f>
        <v>13572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540</v>
      </c>
      <c r="D2723" s="2" t="str">
        <f t="shared" si="41"/>
        <v>Error?</v>
      </c>
    </row>
    <row r="2724" spans="1:4" x14ac:dyDescent="0.2">
      <c r="A2724" s="5">
        <v>2663</v>
      </c>
      <c r="B2724" s="138">
        <f>'Expenditures 15-22'!K51</f>
        <v>238728</v>
      </c>
      <c r="C2724" s="2" t="s">
        <v>593</v>
      </c>
      <c r="D2724" s="2" t="str">
        <f t="shared" si="41"/>
        <v>Error?</v>
      </c>
    </row>
    <row r="2725" spans="1:4" x14ac:dyDescent="0.2">
      <c r="A2725" s="5">
        <v>2664</v>
      </c>
      <c r="B2725" s="138">
        <f>'Expenditures 15-22'!D247</f>
        <v>7188</v>
      </c>
      <c r="D2725" s="2" t="str">
        <f t="shared" si="41"/>
        <v>Error?</v>
      </c>
    </row>
    <row r="2726" spans="1:4" x14ac:dyDescent="0.2">
      <c r="A2726" s="5">
        <v>2665</v>
      </c>
      <c r="B2726" s="138">
        <f>'Expenditures 15-22'!K247</f>
        <v>7188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19494</v>
      </c>
      <c r="C2789" s="2" t="s">
        <v>593</v>
      </c>
      <c r="D2789" s="2" t="str">
        <f t="shared" si="42"/>
        <v>Error?</v>
      </c>
    </row>
    <row r="2790" spans="1:4" x14ac:dyDescent="0.2">
      <c r="A2790" s="5">
        <v>2729</v>
      </c>
      <c r="B2790" s="138">
        <f>'Expenditures 15-22'!E102</f>
        <v>19494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68279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2262217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676908</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2262217</v>
      </c>
      <c r="D2912" s="2" t="str">
        <f t="shared" si="44"/>
        <v>Error?</v>
      </c>
    </row>
    <row r="2913" spans="1:4" x14ac:dyDescent="0.2">
      <c r="A2913" s="5">
        <v>2852</v>
      </c>
      <c r="B2913" s="138">
        <f>'Assets-Liab 5-6'!I41</f>
        <v>2262217</v>
      </c>
      <c r="C2913" s="2" t="s">
        <v>593</v>
      </c>
      <c r="D2913" s="2" t="str">
        <f t="shared" si="44"/>
        <v>Error?</v>
      </c>
    </row>
    <row r="2914" spans="1:4" x14ac:dyDescent="0.2">
      <c r="A2914" s="5">
        <v>2853</v>
      </c>
      <c r="B2914" s="138">
        <f>'Assets-Liab 5-6'!L33</f>
        <v>676908</v>
      </c>
      <c r="D2914" s="2" t="str">
        <f t="shared" si="44"/>
        <v>Error?</v>
      </c>
    </row>
    <row r="2915" spans="1:4" x14ac:dyDescent="0.2">
      <c r="A2915" s="10">
        <v>2854</v>
      </c>
      <c r="D2915" s="2" t="str">
        <f t="shared" si="44"/>
        <v>OK</v>
      </c>
    </row>
    <row r="2916" spans="1:4" x14ac:dyDescent="0.2">
      <c r="A2916" s="5">
        <v>2855</v>
      </c>
      <c r="B2916" s="138">
        <f>'Assets-Liab 5-6'!L34</f>
        <v>676908</v>
      </c>
      <c r="C2916" s="2" t="s">
        <v>593</v>
      </c>
      <c r="D2916" s="2" t="str">
        <f t="shared" si="44"/>
        <v>Error?</v>
      </c>
    </row>
    <row r="2917" spans="1:4" x14ac:dyDescent="0.2">
      <c r="A2917" s="5">
        <v>2856</v>
      </c>
      <c r="B2917" s="138">
        <f>'Assets-Liab 5-6'!L41</f>
        <v>676908</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19494</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2796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19494</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2796</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4383094</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4383094</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120331</v>
      </c>
      <c r="C3225" s="2" t="s">
        <v>593</v>
      </c>
      <c r="D3225" s="2" t="str">
        <f t="shared" si="49"/>
        <v>Error?</v>
      </c>
    </row>
    <row r="3226" spans="1:4" x14ac:dyDescent="0.2">
      <c r="A3226" s="5">
        <v>3165</v>
      </c>
      <c r="B3226" s="138">
        <f>'Acct Summary 7-8'!I8</f>
        <v>120331</v>
      </c>
      <c r="C3226" s="2" t="s">
        <v>593</v>
      </c>
      <c r="D3226" s="2" t="str">
        <f t="shared" si="49"/>
        <v>Error?</v>
      </c>
    </row>
    <row r="3227" spans="1:4" x14ac:dyDescent="0.2">
      <c r="A3227" s="5">
        <v>3166</v>
      </c>
      <c r="B3227" s="138">
        <f>'Acct Summary 7-8'!I20</f>
        <v>120331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4146733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4383094</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4383094</v>
      </c>
      <c r="C3238" s="2" t="s">
        <v>593</v>
      </c>
      <c r="D3238" s="2" t="str">
        <f t="shared" si="49"/>
        <v>Error?</v>
      </c>
    </row>
    <row r="3239" spans="1:4" x14ac:dyDescent="0.2">
      <c r="A3239" s="5">
        <v>3178</v>
      </c>
      <c r="B3239" s="138">
        <f>'Acct Summary 7-8'!D78</f>
        <v>4959086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708029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271344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373136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4383094</v>
      </c>
      <c r="C3298" s="2" t="s">
        <v>593</v>
      </c>
      <c r="D3298" s="2" t="str">
        <f t="shared" si="50"/>
        <v>Error?</v>
      </c>
    </row>
    <row r="3299" spans="1:4" x14ac:dyDescent="0.2">
      <c r="A3299" s="5">
        <v>3238</v>
      </c>
      <c r="B3299" s="138">
        <f>'Acct Summary 7-8'!H77</f>
        <v>-4383094</v>
      </c>
      <c r="C3299" s="2" t="s">
        <v>593</v>
      </c>
      <c r="D3299" s="2" t="str">
        <f t="shared" si="50"/>
        <v>Error?</v>
      </c>
    </row>
    <row r="3300" spans="1:4" x14ac:dyDescent="0.2">
      <c r="A3300" s="5">
        <v>3239</v>
      </c>
      <c r="B3300" s="138">
        <f>'Acct Summary 7-8'!H78</f>
        <v>-4617586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120331</v>
      </c>
      <c r="C3320" s="2" t="s">
        <v>593</v>
      </c>
      <c r="D3320" s="2" t="str">
        <f t="shared" si="50"/>
        <v>Error?</v>
      </c>
    </row>
    <row r="3321" spans="1:4" x14ac:dyDescent="0.2">
      <c r="A3321" s="5">
        <v>3260</v>
      </c>
      <c r="B3321" s="138">
        <f>'Acct Summary 7-8'!I79</f>
        <v>2141886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2262217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2457090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697038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31641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14806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3204868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190781</v>
      </c>
      <c r="D3387" s="2" t="str">
        <f t="shared" si="51"/>
        <v>Error?</v>
      </c>
    </row>
    <row r="3388" spans="1:4" x14ac:dyDescent="0.2">
      <c r="A3388" s="5">
        <v>3327</v>
      </c>
      <c r="B3388" s="138">
        <f>'Expenditures 15-22'!D217</f>
        <v>200063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190781</v>
      </c>
      <c r="C3390" s="2" t="s">
        <v>593</v>
      </c>
      <c r="D3390" s="2" t="str">
        <f t="shared" si="51"/>
        <v>Error?</v>
      </c>
    </row>
    <row r="3391" spans="1:4" x14ac:dyDescent="0.2">
      <c r="A3391" s="5">
        <v>3330</v>
      </c>
      <c r="B3391" s="138">
        <f>'Expenditures 15-22'!K217</f>
        <v>200063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11904360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7456159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3066402</v>
      </c>
      <c r="D3417" s="2" t="str">
        <f t="shared" si="52"/>
        <v>Error?</v>
      </c>
    </row>
    <row r="3418" spans="1:4" x14ac:dyDescent="0.2">
      <c r="A3418" s="10">
        <v>3357</v>
      </c>
      <c r="D3418" s="2" t="str">
        <f t="shared" si="52"/>
        <v>OK</v>
      </c>
    </row>
    <row r="3419" spans="1:4" x14ac:dyDescent="0.2">
      <c r="A3419" s="5">
        <v>3358</v>
      </c>
      <c r="B3419" s="138">
        <f>'Assets-Liab 5-6'!F4</f>
        <v>2290414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1132405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2262217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676908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899665</v>
      </c>
      <c r="C3446" s="2" t="s">
        <v>593</v>
      </c>
      <c r="D3446" s="2" t="str">
        <f t="shared" si="52"/>
        <v>Error?</v>
      </c>
    </row>
    <row r="3447" spans="1:4" x14ac:dyDescent="0.2">
      <c r="A3447" s="5">
        <v>3386</v>
      </c>
      <c r="B3447" s="138">
        <f>'Tax Sched 23'!D16</f>
        <v>438497</v>
      </c>
      <c r="C3447" s="2" t="s">
        <v>593</v>
      </c>
      <c r="D3447" s="2" t="str">
        <f t="shared" si="52"/>
        <v>Error?</v>
      </c>
    </row>
    <row r="3448" spans="1:4" x14ac:dyDescent="0.2">
      <c r="A3448" s="5">
        <v>3387</v>
      </c>
      <c r="B3448" s="138">
        <f>'Tax Sched 23'!C16</f>
        <v>461168</v>
      </c>
      <c r="D3448" s="2" t="str">
        <f t="shared" si="52"/>
        <v>Error?</v>
      </c>
    </row>
    <row r="3449" spans="1:4" x14ac:dyDescent="0.2">
      <c r="A3449" s="5">
        <v>3388</v>
      </c>
      <c r="B3449" s="138">
        <f>'Tax Sched 23'!F16</f>
        <v>407552</v>
      </c>
      <c r="C3449" s="2" t="s">
        <v>593</v>
      </c>
      <c r="D3449" s="2" t="str">
        <f t="shared" si="52"/>
        <v>Error?</v>
      </c>
    </row>
    <row r="3450" spans="1:4" x14ac:dyDescent="0.2">
      <c r="A3450" s="5">
        <v>3389</v>
      </c>
      <c r="B3450" s="138">
        <f>'Tax Sched 23'!E16</f>
        <v>868720</v>
      </c>
      <c r="D3450" s="2" t="str">
        <f t="shared" si="52"/>
        <v>Error?</v>
      </c>
    </row>
    <row r="3451" spans="1:4" x14ac:dyDescent="0.2">
      <c r="A3451" s="5">
        <v>3390</v>
      </c>
      <c r="B3451" s="138">
        <f>'Cap Outlay Deprec 26'!C15</f>
        <v>73683</v>
      </c>
      <c r="D3451" s="2" t="str">
        <f t="shared" si="52"/>
        <v>Error?</v>
      </c>
    </row>
    <row r="3452" spans="1:4" x14ac:dyDescent="0.2">
      <c r="A3452" s="5">
        <v>3391</v>
      </c>
      <c r="B3452" s="138">
        <f>'Cap Outlay Deprec 26'!D15</f>
        <v>68279</v>
      </c>
      <c r="D3452" s="2" t="str">
        <f t="shared" si="52"/>
        <v>Error?</v>
      </c>
    </row>
    <row r="3453" spans="1:4" x14ac:dyDescent="0.2">
      <c r="A3453" s="5">
        <v>3392</v>
      </c>
      <c r="B3453" s="138">
        <f>'Cap Outlay Deprec 26'!E15</f>
        <v>73683</v>
      </c>
      <c r="D3453" s="2" t="str">
        <f t="shared" si="52"/>
        <v>Error?</v>
      </c>
    </row>
    <row r="3454" spans="1:4" x14ac:dyDescent="0.2">
      <c r="A3454" s="5">
        <v>3393</v>
      </c>
      <c r="B3454" s="138">
        <f>'Cap Outlay Deprec 26'!F15</f>
        <v>68279</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68279</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946742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946742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85453</v>
      </c>
      <c r="D3566" s="2" t="str">
        <f t="shared" si="54"/>
        <v>Error?</v>
      </c>
    </row>
    <row r="3567" spans="1:4" x14ac:dyDescent="0.2">
      <c r="A3567" s="5">
        <v>3506</v>
      </c>
      <c r="B3567" s="138">
        <f>'Assets-Liab 5-6'!K39</f>
        <v>861289</v>
      </c>
      <c r="D3567" s="2" t="str">
        <f t="shared" si="54"/>
        <v>Error?</v>
      </c>
    </row>
    <row r="3568" spans="1:4" x14ac:dyDescent="0.2">
      <c r="A3568" s="5">
        <v>3507</v>
      </c>
      <c r="B3568" s="138">
        <f>'Assets-Liab 5-6'!K41</f>
        <v>946742</v>
      </c>
      <c r="C3568" s="2" t="s">
        <v>593</v>
      </c>
      <c r="D3568" s="2" t="str">
        <f t="shared" si="54"/>
        <v>Error?</v>
      </c>
    </row>
    <row r="3569" spans="1:4" x14ac:dyDescent="0.2">
      <c r="A3569" s="5">
        <v>3508</v>
      </c>
      <c r="B3569" s="138">
        <f>'Acct Summary 7-8'!K4</f>
        <v>94952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94952</v>
      </c>
      <c r="C3571" s="2" t="s">
        <v>593</v>
      </c>
      <c r="D3571" s="2" t="str">
        <f t="shared" si="54"/>
        <v>Error?</v>
      </c>
    </row>
    <row r="3572" spans="1:4" x14ac:dyDescent="0.2">
      <c r="A3572" s="5">
        <v>3511</v>
      </c>
      <c r="B3572" s="138">
        <f>'Acct Summary 7-8'!K13</f>
        <v>121547</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121547</v>
      </c>
      <c r="C3575" s="2" t="s">
        <v>593</v>
      </c>
      <c r="D3575" s="2" t="str">
        <f t="shared" si="54"/>
        <v>Error?</v>
      </c>
    </row>
    <row r="3576" spans="1:4" x14ac:dyDescent="0.2">
      <c r="A3576" s="5">
        <v>3515</v>
      </c>
      <c r="B3576" s="138">
        <f>'Acct Summary 7-8'!K20</f>
        <v>-26595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-26595</v>
      </c>
      <c r="C3588" s="2" t="s">
        <v>593</v>
      </c>
      <c r="D3588" s="2" t="str">
        <f t="shared" si="55"/>
        <v>Error?</v>
      </c>
    </row>
    <row r="3589" spans="1:4" x14ac:dyDescent="0.2">
      <c r="A3589" s="5">
        <v>3528</v>
      </c>
      <c r="B3589" s="138">
        <f>'Acct Summary 7-8'!K79</f>
        <v>973337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946742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121547</v>
      </c>
      <c r="D3632" s="2" t="str">
        <f t="shared" si="55"/>
        <v>Error?</v>
      </c>
    </row>
    <row r="3633" spans="1:4" x14ac:dyDescent="0.2">
      <c r="A3633" s="5">
        <v>3572</v>
      </c>
      <c r="B3633" s="138">
        <f>'Expenditures 15-22'!E350</f>
        <v>121547</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121547</v>
      </c>
      <c r="C3635" s="2" t="s">
        <v>593</v>
      </c>
      <c r="D3635" s="2" t="str">
        <f t="shared" si="55"/>
        <v>Error?</v>
      </c>
    </row>
    <row r="3636" spans="1:4" x14ac:dyDescent="0.2">
      <c r="A3636" s="5">
        <v>3575</v>
      </c>
      <c r="B3636" s="138">
        <f>'Expenditures 15-22'!E367</f>
        <v>121547</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121547</v>
      </c>
      <c r="C3669" s="2" t="s">
        <v>593</v>
      </c>
      <c r="D3669" s="2" t="str">
        <f t="shared" si="56"/>
        <v>Error?</v>
      </c>
    </row>
    <row r="3670" spans="1:4" x14ac:dyDescent="0.2">
      <c r="A3670" s="5">
        <v>3609</v>
      </c>
      <c r="B3670" s="138">
        <f>'Expenditures 15-22'!K350</f>
        <v>121547</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121547</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121547</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-26595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158284</v>
      </c>
      <c r="C3725" s="2" t="s">
        <v>593</v>
      </c>
      <c r="D3725" s="2" t="str">
        <f t="shared" si="57"/>
        <v>Error?</v>
      </c>
    </row>
    <row r="3726" spans="1:4" x14ac:dyDescent="0.2">
      <c r="A3726" s="5">
        <v>3665</v>
      </c>
      <c r="B3726" s="138">
        <f>'Tax Sched 23'!D13</f>
        <v>77161</v>
      </c>
      <c r="C3726" s="2" t="s">
        <v>593</v>
      </c>
      <c r="D3726" s="2" t="str">
        <f t="shared" si="57"/>
        <v>Error?</v>
      </c>
    </row>
    <row r="3727" spans="1:4" x14ac:dyDescent="0.2">
      <c r="A3727" s="5">
        <v>3666</v>
      </c>
      <c r="B3727" s="138">
        <f>'Tax Sched 23'!C13</f>
        <v>81123</v>
      </c>
      <c r="D3727" s="2" t="str">
        <f t="shared" si="57"/>
        <v>Error?</v>
      </c>
    </row>
    <row r="3728" spans="1:4" x14ac:dyDescent="0.2">
      <c r="A3728" s="5">
        <v>3667</v>
      </c>
      <c r="B3728" s="138">
        <f>'Tax Sched 23'!F13</f>
        <v>71636</v>
      </c>
      <c r="C3728" s="2" t="s">
        <v>593</v>
      </c>
      <c r="D3728" s="2" t="str">
        <f t="shared" si="57"/>
        <v>Error?</v>
      </c>
    </row>
    <row r="3729" spans="1:4" x14ac:dyDescent="0.2">
      <c r="A3729" s="5">
        <v>3668</v>
      </c>
      <c r="B3729" s="138">
        <f>'Tax Sched 23'!E13</f>
        <v>152759</v>
      </c>
      <c r="D3729" s="2" t="str">
        <f t="shared" si="57"/>
        <v>Error?</v>
      </c>
    </row>
    <row r="3730" spans="1:4" x14ac:dyDescent="0.2">
      <c r="A3730" s="5">
        <v>3669</v>
      </c>
      <c r="B3730" s="138">
        <f>'ICR Computation 30'!E10</f>
        <v>416182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2095367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38950884</v>
      </c>
      <c r="C4122" s="2" t="s">
        <v>593</v>
      </c>
      <c r="D4122" s="2" t="str">
        <f t="shared" si="63"/>
        <v>Error?</v>
      </c>
    </row>
    <row r="4123" spans="1:4" x14ac:dyDescent="0.2">
      <c r="A4123" s="5">
        <v>4062</v>
      </c>
      <c r="B4123" s="138">
        <f>'Acct Summary 7-8'!D10</f>
        <v>4400922</v>
      </c>
      <c r="C4123" s="2" t="s">
        <v>593</v>
      </c>
      <c r="D4123" s="2" t="str">
        <f t="shared" si="63"/>
        <v>Error?</v>
      </c>
    </row>
    <row r="4124" spans="1:4" x14ac:dyDescent="0.2">
      <c r="A4124" s="5">
        <v>4063</v>
      </c>
      <c r="B4124" s="138">
        <f>'Acct Summary 7-8'!E10</f>
        <v>5447081</v>
      </c>
      <c r="C4124" s="2" t="s">
        <v>593</v>
      </c>
      <c r="D4124" s="2" t="str">
        <f t="shared" si="63"/>
        <v>Error?</v>
      </c>
    </row>
    <row r="4125" spans="1:4" x14ac:dyDescent="0.2">
      <c r="A4125" s="5">
        <v>4064</v>
      </c>
      <c r="B4125" s="138">
        <f>'Acct Summary 7-8'!F10</f>
        <v>2752567</v>
      </c>
      <c r="C4125" s="2" t="s">
        <v>593</v>
      </c>
      <c r="D4125" s="2" t="str">
        <f t="shared" si="63"/>
        <v>Error?</v>
      </c>
    </row>
    <row r="4126" spans="1:4" x14ac:dyDescent="0.2">
      <c r="A4126" s="5">
        <v>4065</v>
      </c>
      <c r="B4126" s="138">
        <f>'Acct Summary 7-8'!G10</f>
        <v>1714814</v>
      </c>
      <c r="C4126" s="2" t="s">
        <v>593</v>
      </c>
      <c r="D4126" s="2" t="str">
        <f t="shared" si="63"/>
        <v>Error?</v>
      </c>
    </row>
    <row r="4127" spans="1:4" x14ac:dyDescent="0.2">
      <c r="A4127" s="5">
        <v>4066</v>
      </c>
      <c r="B4127" s="138">
        <f>'Acct Summary 7-8'!H10</f>
        <v>23612</v>
      </c>
      <c r="C4127" s="2" t="s">
        <v>593</v>
      </c>
      <c r="D4127" s="2" t="str">
        <f t="shared" si="63"/>
        <v>Error?</v>
      </c>
    </row>
    <row r="4128" spans="1:4" x14ac:dyDescent="0.2">
      <c r="A4128" s="5">
        <v>4067</v>
      </c>
      <c r="B4128" s="138">
        <f>'Acct Summary 7-8'!I10</f>
        <v>120331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94952</v>
      </c>
      <c r="C4130" s="2" t="s">
        <v>593</v>
      </c>
      <c r="D4130" s="2" t="str">
        <f t="shared" si="63"/>
        <v>Error?</v>
      </c>
    </row>
    <row r="4131" spans="1:4" x14ac:dyDescent="0.2">
      <c r="A4131" s="5">
        <v>4070</v>
      </c>
      <c r="B4131" s="138">
        <f>'Acct Summary 7-8'!C18</f>
        <v>2095367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34804151</v>
      </c>
      <c r="C4136" s="2" t="s">
        <v>593</v>
      </c>
      <c r="D4136" s="2" t="str">
        <f t="shared" si="63"/>
        <v>Error?</v>
      </c>
    </row>
    <row r="4137" spans="1:4" x14ac:dyDescent="0.2">
      <c r="A4137" s="5">
        <v>4076</v>
      </c>
      <c r="B4137" s="138">
        <f>'Acct Summary 7-8'!D19</f>
        <v>3824930</v>
      </c>
      <c r="C4137" s="2" t="s">
        <v>593</v>
      </c>
      <c r="D4137" s="2" t="str">
        <f t="shared" si="63"/>
        <v>Error?</v>
      </c>
    </row>
    <row r="4138" spans="1:4" x14ac:dyDescent="0.2">
      <c r="A4138" s="5">
        <v>4077</v>
      </c>
      <c r="B4138" s="138">
        <f>'Acct Summary 7-8'!E19</f>
        <v>5073945</v>
      </c>
      <c r="C4138" s="2" t="s">
        <v>593</v>
      </c>
      <c r="D4138" s="2" t="str">
        <f t="shared" si="63"/>
        <v>Error?</v>
      </c>
    </row>
    <row r="4139" spans="1:4" x14ac:dyDescent="0.2">
      <c r="A4139" s="5">
        <v>4078</v>
      </c>
      <c r="B4139" s="138">
        <f>'Acct Summary 7-8'!F19</f>
        <v>2044538</v>
      </c>
      <c r="C4139" s="2" t="s">
        <v>593</v>
      </c>
      <c r="D4139" s="2" t="str">
        <f t="shared" si="63"/>
        <v>Error?</v>
      </c>
    </row>
    <row r="4140" spans="1:4" x14ac:dyDescent="0.2">
      <c r="A4140" s="5">
        <v>4079</v>
      </c>
      <c r="B4140" s="138">
        <f>'Acct Summary 7-8'!G19</f>
        <v>1443470</v>
      </c>
      <c r="C4140" s="2" t="s">
        <v>593</v>
      </c>
      <c r="D4140" s="2" t="str">
        <f t="shared" si="63"/>
        <v>Error?</v>
      </c>
    </row>
    <row r="4141" spans="1:4" x14ac:dyDescent="0.2">
      <c r="A4141" s="5">
        <v>4080</v>
      </c>
      <c r="B4141" s="138">
        <f>'Acct Summary 7-8'!H19</f>
        <v>258104</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121547</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48990000</v>
      </c>
      <c r="C4171" s="2" t="s">
        <v>593</v>
      </c>
      <c r="D4171" s="2" t="str">
        <f t="shared" si="64"/>
        <v>Error?</v>
      </c>
    </row>
    <row r="4172" spans="1:4" x14ac:dyDescent="0.2">
      <c r="A4172" s="5">
        <v>4111</v>
      </c>
      <c r="B4172" s="138">
        <f>'Short-Term Long-Term Debt 24'!J49</f>
        <v>45923598</v>
      </c>
      <c r="C4172" s="2" t="s">
        <v>593</v>
      </c>
      <c r="D4172" s="2" t="str">
        <f t="shared" si="64"/>
        <v>Error?</v>
      </c>
    </row>
    <row r="4173" spans="1:4" x14ac:dyDescent="0.2">
      <c r="A4173" s="5">
        <v>4112</v>
      </c>
      <c r="B4173" s="138">
        <f>'Short-Term Long-Term Debt 24'!H49</f>
        <v>3095000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2746.7999999999997</v>
      </c>
      <c r="C4265" s="2" t="s">
        <v>593</v>
      </c>
      <c r="D4265" s="2" t="str">
        <f t="shared" si="65"/>
        <v>Error?</v>
      </c>
      <c r="E4265" s="128"/>
    </row>
    <row r="4266" spans="1:5" x14ac:dyDescent="0.2">
      <c r="A4266" s="12">
        <v>4205</v>
      </c>
      <c r="B4266" s="138">
        <f>('FP Info 3'!F10)*100000</f>
        <v>541.40000000000009</v>
      </c>
      <c r="C4266" s="2" t="s">
        <v>593</v>
      </c>
      <c r="D4266" s="2" t="str">
        <f t="shared" si="65"/>
        <v>Error?</v>
      </c>
      <c r="E4266" s="128"/>
    </row>
    <row r="4267" spans="1:5" x14ac:dyDescent="0.2">
      <c r="A4267" s="12">
        <v>4206</v>
      </c>
      <c r="B4267" s="138">
        <f>('FP Info 3'!H10)*100000</f>
        <v>185</v>
      </c>
      <c r="C4267" s="2" t="s">
        <v>593</v>
      </c>
      <c r="D4267" s="2" t="str">
        <f t="shared" si="65"/>
        <v>Error?</v>
      </c>
      <c r="E4267" s="128"/>
    </row>
    <row r="4268" spans="1:5" x14ac:dyDescent="0.2">
      <c r="A4268" s="12">
        <v>4207</v>
      </c>
      <c r="B4268" s="138">
        <f>('FP Info 3'!J10)*100000</f>
        <v>3472.9999999999995</v>
      </c>
      <c r="C4268" s="2" t="s">
        <v>593</v>
      </c>
      <c r="D4268" s="2" t="str">
        <f t="shared" si="65"/>
        <v>Error?</v>
      </c>
    </row>
    <row r="4269" spans="1:5" x14ac:dyDescent="0.2">
      <c r="A4269" s="12">
        <v>4208</v>
      </c>
      <c r="B4269" s="138">
        <f>'FP Info 3'!J16</f>
        <v>23583135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79858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105077</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55356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52293</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15.100000000000001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52293</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8007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53534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771510203</v>
      </c>
      <c r="D4995" s="2" t="str">
        <f t="shared" si="77"/>
        <v>Error?</v>
      </c>
    </row>
    <row r="4996" spans="1:4" x14ac:dyDescent="0.2">
      <c r="A4996" s="12">
        <v>4935</v>
      </c>
      <c r="B4996" s="138">
        <f>'FP Info 3'!H31</f>
        <v>106468408.01400001</v>
      </c>
      <c r="D4996" s="2" t="str">
        <f t="shared" si="77"/>
        <v>Error?</v>
      </c>
    </row>
    <row r="4997" spans="1:4" x14ac:dyDescent="0.2">
      <c r="A4997" s="12">
        <v>4936</v>
      </c>
      <c r="B4997" s="138">
        <f>'FP Info 3'!H37</f>
        <v>48990000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158284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21950231</v>
      </c>
      <c r="D5061" s="2" t="str">
        <f t="shared" si="78"/>
        <v>Error?</v>
      </c>
    </row>
    <row r="5062" spans="1:4" x14ac:dyDescent="0.2">
      <c r="A5062" s="10">
        <v>5001</v>
      </c>
      <c r="D5062" s="2" t="str">
        <f t="shared" si="78"/>
        <v>OK</v>
      </c>
    </row>
    <row r="5063" spans="1:4" x14ac:dyDescent="0.2">
      <c r="A5063" s="5">
        <v>5002</v>
      </c>
      <c r="B5063" s="138">
        <f>'Revenues 9-14'!C7</f>
        <v>158284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22266799</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24125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24125</v>
      </c>
      <c r="C5087" s="2" t="s">
        <v>593</v>
      </c>
      <c r="D5087" s="2" t="str">
        <f t="shared" si="78"/>
        <v>Error?</v>
      </c>
    </row>
    <row r="5088" spans="1:4" x14ac:dyDescent="0.2">
      <c r="A5088" s="5">
        <v>5027</v>
      </c>
      <c r="B5088" s="138">
        <f>'Revenues 9-14'!C65</f>
        <v>102262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102262</v>
      </c>
      <c r="C5090" s="2" t="s">
        <v>593</v>
      </c>
      <c r="D5090" s="2" t="str">
        <f t="shared" si="78"/>
        <v>Error?</v>
      </c>
    </row>
    <row r="5091" spans="1:4" x14ac:dyDescent="0.2">
      <c r="A5091" s="5">
        <v>5030</v>
      </c>
      <c r="B5091" s="138">
        <f>'Revenues 9-14'!C70</f>
        <v>39119</v>
      </c>
      <c r="D5091" s="2" t="str">
        <f t="shared" si="78"/>
        <v>Error?</v>
      </c>
    </row>
    <row r="5092" spans="1:4" x14ac:dyDescent="0.2">
      <c r="A5092" s="5">
        <v>5031</v>
      </c>
      <c r="B5092" s="138">
        <f>'Revenues 9-14'!C71</f>
        <v>1013987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38448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1610669</v>
      </c>
      <c r="C5096" s="2" t="s">
        <v>593</v>
      </c>
      <c r="D5096" s="2" t="str">
        <f t="shared" si="78"/>
        <v>Error?</v>
      </c>
    </row>
    <row r="5097" spans="1:4" x14ac:dyDescent="0.2">
      <c r="A5097" s="5">
        <v>5036</v>
      </c>
      <c r="B5097" s="138">
        <f>'Revenues 9-14'!C77</f>
        <v>97440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97690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131512</v>
      </c>
      <c r="D5101" s="2" t="str">
        <f t="shared" si="78"/>
        <v>Error?</v>
      </c>
    </row>
    <row r="5102" spans="1:4" x14ac:dyDescent="0.2">
      <c r="A5102" s="5">
        <v>5041</v>
      </c>
      <c r="B5102" s="138">
        <f>'Revenues 9-14'!C82</f>
        <v>326642</v>
      </c>
      <c r="C5102" s="2" t="s">
        <v>593</v>
      </c>
      <c r="D5102" s="2" t="str">
        <f t="shared" si="78"/>
        <v>Error?</v>
      </c>
    </row>
    <row r="5103" spans="1:4" x14ac:dyDescent="0.2">
      <c r="A5103" s="5">
        <v>5042</v>
      </c>
      <c r="B5103" s="138">
        <f>'Revenues 9-14'!C84</f>
        <v>560575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8680</v>
      </c>
      <c r="D5111" s="2" t="str">
        <f t="shared" si="78"/>
        <v>Error?</v>
      </c>
    </row>
    <row r="5112" spans="1:4" x14ac:dyDescent="0.2">
      <c r="A5112" s="5">
        <v>5051</v>
      </c>
      <c r="B5112" s="138">
        <f>'Revenues 9-14'!C93</f>
        <v>569255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41575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103461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35943</v>
      </c>
      <c r="D5119" s="2" t="str">
        <f t="shared" ref="D5119:D5182" si="79">IF(ISBLANK(B5119),"OK",IF(A5119-B5119=0,"OK","Error?"))</f>
        <v>Error?</v>
      </c>
    </row>
    <row r="5120" spans="1:4" x14ac:dyDescent="0.2">
      <c r="A5120" s="5">
        <v>5059</v>
      </c>
      <c r="B5120" s="138">
        <f>'Revenues 9-14'!C108</f>
        <v>241009</v>
      </c>
      <c r="C5120" s="2" t="s">
        <v>593</v>
      </c>
      <c r="D5120" s="2" t="str">
        <f t="shared" si="79"/>
        <v>Error?</v>
      </c>
    </row>
    <row r="5121" spans="1:4" x14ac:dyDescent="0.2">
      <c r="A5121" s="5">
        <v>5060</v>
      </c>
      <c r="B5121" s="138">
        <f>'Revenues 9-14'!C109</f>
        <v>25140761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7473552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7473552</v>
      </c>
      <c r="C5132" s="2" t="s">
        <v>593</v>
      </c>
      <c r="D5132" s="2" t="str">
        <f t="shared" si="79"/>
        <v>Error?</v>
      </c>
    </row>
    <row r="5133" spans="1:4" x14ac:dyDescent="0.2">
      <c r="A5133" s="5">
        <v>5072</v>
      </c>
      <c r="B5133" s="138">
        <f>'Revenues 9-14'!C124</f>
        <v>638288</v>
      </c>
      <c r="D5133" s="2" t="str">
        <f t="shared" si="79"/>
        <v>Error?</v>
      </c>
    </row>
    <row r="5134" spans="1:4" x14ac:dyDescent="0.2">
      <c r="A5134" s="5">
        <v>5073</v>
      </c>
      <c r="B5134" s="138">
        <f>'Revenues 9-14'!C125</f>
        <v>286674</v>
      </c>
      <c r="D5134" s="2" t="str">
        <f t="shared" si="79"/>
        <v>Error?</v>
      </c>
    </row>
    <row r="5135" spans="1:4" x14ac:dyDescent="0.2">
      <c r="A5135" s="5">
        <v>5074</v>
      </c>
      <c r="B5135" s="138">
        <f>'Revenues 9-14'!C126</f>
        <v>295231</v>
      </c>
      <c r="D5135" s="2" t="str">
        <f t="shared" si="79"/>
        <v>Error?</v>
      </c>
    </row>
    <row r="5136" spans="1:4" x14ac:dyDescent="0.2">
      <c r="A5136" s="10">
        <v>5075</v>
      </c>
      <c r="D5136" s="2" t="str">
        <f t="shared" si="79"/>
        <v>OK</v>
      </c>
    </row>
    <row r="5137" spans="1:4" x14ac:dyDescent="0.2">
      <c r="A5137" s="5">
        <v>5076</v>
      </c>
      <c r="B5137" s="138">
        <f>'Revenues 9-14'!C127</f>
        <v>205290</v>
      </c>
      <c r="D5137" s="2" t="str">
        <f t="shared" si="79"/>
        <v>Error?</v>
      </c>
    </row>
    <row r="5138" spans="1:4" x14ac:dyDescent="0.2">
      <c r="A5138" s="10">
        <v>5077</v>
      </c>
      <c r="D5138" s="2" t="str">
        <f t="shared" si="79"/>
        <v>OK</v>
      </c>
    </row>
    <row r="5139" spans="1:4" x14ac:dyDescent="0.2">
      <c r="A5139" s="5">
        <v>5078</v>
      </c>
      <c r="B5139" s="138">
        <f>'Revenues 9-14'!C128</f>
        <v>48625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543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1474651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4482</v>
      </c>
      <c r="D5167" s="2" t="str">
        <f t="shared" si="79"/>
        <v>Error?</v>
      </c>
    </row>
    <row r="5168" spans="1:4" x14ac:dyDescent="0.2">
      <c r="A5168" s="5">
        <v>5107</v>
      </c>
      <c r="B5168" s="138">
        <f>'Revenues 9-14'!C147</f>
        <v>66055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363538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1916733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9390285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360135</v>
      </c>
      <c r="D5239" s="2" t="str">
        <f t="shared" si="80"/>
        <v>Error?</v>
      </c>
    </row>
    <row r="5240" spans="1:4" x14ac:dyDescent="0.2">
      <c r="A5240" s="5">
        <v>5179</v>
      </c>
      <c r="B5240" s="138">
        <f>'Revenues 9-14'!C195</f>
        <v>1272</v>
      </c>
      <c r="D5240" s="2" t="str">
        <f t="shared" si="80"/>
        <v>Error?</v>
      </c>
    </row>
    <row r="5241" spans="1:4" x14ac:dyDescent="0.2">
      <c r="A5241" s="5">
        <v>5180</v>
      </c>
      <c r="B5241" s="138">
        <f>'Revenues 9-14'!C196</f>
        <v>54775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416182</v>
      </c>
      <c r="C5246" s="2" t="s">
        <v>593</v>
      </c>
      <c r="D5246" s="2" t="str">
        <f t="shared" si="80"/>
        <v>Error?</v>
      </c>
    </row>
    <row r="5247" spans="1:4" x14ac:dyDescent="0.2">
      <c r="A5247" s="5">
        <v>5186</v>
      </c>
      <c r="B5247" s="138">
        <f>'Revenues 9-14'!C203</f>
        <v>349260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349260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27395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883944</v>
      </c>
      <c r="D5278" s="2" t="str">
        <f t="shared" si="81"/>
        <v>Error?</v>
      </c>
    </row>
    <row r="5279" spans="1:4" x14ac:dyDescent="0.2">
      <c r="A5279" s="5">
        <v>5218</v>
      </c>
      <c r="B5279" s="138">
        <f>'Revenues 9-14'!C221</f>
        <v>353865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1265204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2324471</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2324471</v>
      </c>
      <c r="C5326" s="2" t="s">
        <v>593</v>
      </c>
      <c r="D5326" s="2" t="str">
        <f t="shared" si="82"/>
        <v>Error?</v>
      </c>
    </row>
    <row r="5327" spans="1:4" x14ac:dyDescent="0.2">
      <c r="A5327" s="5">
        <v>5266</v>
      </c>
      <c r="B5327" s="138">
        <f>'Revenues 9-14'!C275</f>
        <v>36855517</v>
      </c>
      <c r="C5327" s="2" t="s">
        <v>593</v>
      </c>
      <c r="D5327" s="2" t="str">
        <f t="shared" si="82"/>
        <v>Error?</v>
      </c>
    </row>
    <row r="5328" spans="1:4" x14ac:dyDescent="0.2">
      <c r="A5328" s="5">
        <v>5267</v>
      </c>
      <c r="B5328" s="138">
        <f>'Revenues 9-14'!D5</f>
        <v>4231052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4231052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30513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30513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128602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10557</v>
      </c>
      <c r="D5354" s="2" t="str">
        <f t="shared" si="82"/>
        <v>Error?</v>
      </c>
    </row>
    <row r="5355" spans="1:4" x14ac:dyDescent="0.2">
      <c r="A5355" s="5">
        <v>5294</v>
      </c>
      <c r="B5355" s="138">
        <f>'Revenues 9-14'!D108</f>
        <v>139357</v>
      </c>
      <c r="C5355" s="2" t="s">
        <v>593</v>
      </c>
      <c r="D5355" s="2" t="str">
        <f t="shared" si="82"/>
        <v>Error?</v>
      </c>
    </row>
    <row r="5356" spans="1:4" x14ac:dyDescent="0.2">
      <c r="A5356" s="5">
        <v>5295</v>
      </c>
      <c r="B5356" s="138">
        <f>'Revenues 9-14'!D109</f>
        <v>4400922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4400922</v>
      </c>
      <c r="C5508" s="2" t="s">
        <v>593</v>
      </c>
      <c r="D5508" s="2" t="str">
        <f t="shared" si="85"/>
        <v>Error?</v>
      </c>
    </row>
    <row r="5509" spans="1:4" x14ac:dyDescent="0.2">
      <c r="A5509" s="5">
        <v>5448</v>
      </c>
      <c r="B5509" s="138">
        <f>'Revenues 9-14'!E5</f>
        <v>5391840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5391840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2948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2948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5394788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5447081</v>
      </c>
      <c r="C5552" s="2" t="s">
        <v>593</v>
      </c>
      <c r="D5552" s="2" t="str">
        <f t="shared" si="85"/>
        <v>Error?</v>
      </c>
    </row>
    <row r="5553" spans="1:4" x14ac:dyDescent="0.2">
      <c r="A5553" s="5">
        <v>5492</v>
      </c>
      <c r="B5553" s="138">
        <f>'Revenues 9-14'!F5</f>
        <v>1477955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1477955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176481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176481</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809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809</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6980</v>
      </c>
      <c r="D5584" s="2" t="str">
        <f t="shared" si="86"/>
        <v>Error?</v>
      </c>
    </row>
    <row r="5585" spans="1:4" x14ac:dyDescent="0.2">
      <c r="A5585" s="5">
        <v>5524</v>
      </c>
      <c r="B5585" s="138">
        <f>'Revenues 9-14'!F99</f>
        <v>3616</v>
      </c>
      <c r="D5585" s="2" t="str">
        <f t="shared" si="86"/>
        <v>Error?</v>
      </c>
    </row>
    <row r="5586" spans="1:4" x14ac:dyDescent="0.2">
      <c r="A5586" s="5">
        <v>5525</v>
      </c>
      <c r="B5586" s="138">
        <f>'Revenues 9-14'!F107</f>
        <v>30440</v>
      </c>
      <c r="D5586" s="2" t="str">
        <f t="shared" si="86"/>
        <v>Error?</v>
      </c>
    </row>
    <row r="5587" spans="1:4" x14ac:dyDescent="0.2">
      <c r="A5587" s="5">
        <v>5526</v>
      </c>
      <c r="B5587" s="138">
        <f>'Revenues 9-14'!F108</f>
        <v>41036</v>
      </c>
      <c r="C5587" s="2" t="s">
        <v>593</v>
      </c>
      <c r="D5587" s="2" t="str">
        <f t="shared" si="86"/>
        <v>Error?</v>
      </c>
    </row>
    <row r="5588" spans="1:4" x14ac:dyDescent="0.2">
      <c r="A5588" s="5">
        <v>5527</v>
      </c>
      <c r="B5588" s="138">
        <f>'Revenues 9-14'!F109</f>
        <v>1696281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621125</v>
      </c>
      <c r="D5615" s="2" t="str">
        <f t="shared" si="86"/>
        <v>Error?</v>
      </c>
    </row>
    <row r="5616" spans="1:4" x14ac:dyDescent="0.2">
      <c r="A5616" s="10">
        <v>5555</v>
      </c>
      <c r="D5616" s="2" t="str">
        <f t="shared" si="86"/>
        <v>OK</v>
      </c>
    </row>
    <row r="5617" spans="1:4" x14ac:dyDescent="0.2">
      <c r="A5617" s="5">
        <v>5556</v>
      </c>
      <c r="B5617" s="138">
        <f>'Revenues 9-14'!F152</f>
        <v>289378</v>
      </c>
      <c r="D5617" s="2" t="str">
        <f t="shared" si="86"/>
        <v>Error?</v>
      </c>
    </row>
    <row r="5618" spans="1:4" x14ac:dyDescent="0.2">
      <c r="A5618" s="5">
        <v>5557</v>
      </c>
      <c r="B5618" s="138">
        <f>'Revenues 9-14'!F154</f>
        <v>910503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45448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955951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1055951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335</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335</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335</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335</v>
      </c>
      <c r="C5719" s="2" t="s">
        <v>593</v>
      </c>
      <c r="D5719" s="2" t="str">
        <f t="shared" si="88"/>
        <v>Error?</v>
      </c>
    </row>
    <row r="5720" spans="1:4" x14ac:dyDescent="0.2">
      <c r="A5720" s="5">
        <v>5659</v>
      </c>
      <c r="B5720" s="138">
        <f>'Revenues 9-14'!F275</f>
        <v>2752567</v>
      </c>
      <c r="C5720" s="2" t="s">
        <v>593</v>
      </c>
      <c r="D5720" s="2" t="str">
        <f t="shared" si="88"/>
        <v>Error?</v>
      </c>
    </row>
    <row r="5721" spans="1:4" x14ac:dyDescent="0.2">
      <c r="A5721" s="5">
        <v>5660</v>
      </c>
      <c r="B5721" s="138">
        <f>'Revenues 9-14'!G5</f>
        <v>774232</v>
      </c>
      <c r="D5721" s="2" t="str">
        <f t="shared" si="88"/>
        <v>Error?</v>
      </c>
    </row>
    <row r="5722" spans="1:4" x14ac:dyDescent="0.2">
      <c r="A5722" s="5">
        <v>5661</v>
      </c>
      <c r="B5722" s="138">
        <f>'Revenues 9-14'!G7</f>
        <v>0</v>
      </c>
      <c r="D5722" s="2" t="str">
        <f t="shared" si="88"/>
        <v>Error?</v>
      </c>
    </row>
    <row r="5723" spans="1:4" x14ac:dyDescent="0.2">
      <c r="A5723" s="5">
        <v>5662</v>
      </c>
      <c r="B5723" s="138">
        <f>'Revenues 9-14'!G8</f>
        <v>899665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1673897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593</v>
      </c>
      <c r="D5730" s="2" t="str">
        <f t="shared" si="88"/>
        <v>Error?</v>
      </c>
    </row>
    <row r="5731" spans="1:4" x14ac:dyDescent="0.2">
      <c r="A5731" s="5">
        <v>5670</v>
      </c>
      <c r="B5731" s="138">
        <f>'Revenues 9-14'!G65</f>
        <v>917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917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1714814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23612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23612</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23612</v>
      </c>
      <c r="C5915" s="2" t="s">
        <v>593</v>
      </c>
      <c r="D5915" s="2" t="str">
        <f t="shared" si="91"/>
        <v>Error?</v>
      </c>
    </row>
    <row r="5916" spans="1:4" x14ac:dyDescent="0.2">
      <c r="A5916" s="5">
        <v>5855</v>
      </c>
      <c r="B5916" s="138">
        <f>'Revenues 9-14'!I5</f>
        <v>120265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120265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120331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94927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94927</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94952</v>
      </c>
      <c r="C6023" s="2" t="s">
        <v>593</v>
      </c>
      <c r="D6023" s="2" t="str">
        <f t="shared" si="93"/>
        <v>Error?</v>
      </c>
    </row>
    <row r="6024" spans="1:5" x14ac:dyDescent="0.2">
      <c r="A6024" s="5">
        <v>5963</v>
      </c>
      <c r="B6024" s="138">
        <f>'Revenues 9-14'!G109</f>
        <v>1714814</v>
      </c>
      <c r="C6024" s="2" t="s">
        <v>593</v>
      </c>
      <c r="D6024" s="2" t="str">
        <f t="shared" si="93"/>
        <v>Error?</v>
      </c>
    </row>
    <row r="6025" spans="1:5" x14ac:dyDescent="0.2">
      <c r="A6025" s="5">
        <v>5964</v>
      </c>
      <c r="B6025" s="138">
        <f>'Revenues 9-14'!H109</f>
        <v>23612</v>
      </c>
      <c r="C6025" s="2" t="s">
        <v>593</v>
      </c>
      <c r="D6025" s="2" t="str">
        <f t="shared" si="93"/>
        <v>Error?</v>
      </c>
    </row>
    <row r="6026" spans="1:5" x14ac:dyDescent="0.2">
      <c r="A6026" s="5">
        <v>5965</v>
      </c>
      <c r="B6026" s="138">
        <f>'Revenues 9-14'!I109</f>
        <v>120331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94952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519115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108170.37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4324.88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4146733</v>
      </c>
      <c r="D6267" s="2" t="str">
        <f t="shared" si="96"/>
        <v>Error?</v>
      </c>
      <c r="E6267" s="2" t="s">
        <v>199</v>
      </c>
    </row>
    <row r="6268" spans="1:5" x14ac:dyDescent="0.2">
      <c r="A6268">
        <v>6207</v>
      </c>
      <c r="B6268" s="138">
        <f>'Acct Summary 7-8'!D82</f>
        <v>4959086</v>
      </c>
      <c r="D6268" s="2" t="str">
        <f t="shared" si="96"/>
        <v>Error?</v>
      </c>
      <c r="E6268" s="2" t="s">
        <v>199</v>
      </c>
    </row>
    <row r="6269" spans="1:5" x14ac:dyDescent="0.2">
      <c r="A6269">
        <v>6208</v>
      </c>
      <c r="B6269" s="138">
        <f>'Acct Summary 7-8'!E82</f>
        <v>373136</v>
      </c>
      <c r="D6269" s="2" t="str">
        <f t="shared" si="96"/>
        <v>Error?</v>
      </c>
      <c r="E6269" s="2" t="s">
        <v>199</v>
      </c>
    </row>
    <row r="6270" spans="1:5" x14ac:dyDescent="0.2">
      <c r="A6270">
        <v>6209</v>
      </c>
      <c r="B6270" s="138">
        <f>'Acct Summary 7-8'!F82</f>
        <v>708029</v>
      </c>
      <c r="D6270" s="2" t="str">
        <f t="shared" si="96"/>
        <v>Error?</v>
      </c>
      <c r="E6270" s="2" t="s">
        <v>199</v>
      </c>
    </row>
    <row r="6271" spans="1:5" x14ac:dyDescent="0.2">
      <c r="A6271">
        <v>6210</v>
      </c>
      <c r="B6271" s="138">
        <f>'Acct Summary 7-8'!G82</f>
        <v>271344</v>
      </c>
      <c r="D6271" s="2" t="str">
        <f t="shared" ref="D6271:D6334" si="97">IF(ISBLANK(B6271),"OK",IF(A6271-B6271=0,"OK","Error?"))</f>
        <v>Error?</v>
      </c>
      <c r="E6271" s="2" t="s">
        <v>199</v>
      </c>
    </row>
    <row r="6272" spans="1:5" x14ac:dyDescent="0.2">
      <c r="A6272">
        <v>6211</v>
      </c>
      <c r="B6272" s="138">
        <f>'Acct Summary 7-8'!H82</f>
        <v>-4617586</v>
      </c>
      <c r="D6272" s="2" t="str">
        <f t="shared" si="97"/>
        <v>Error?</v>
      </c>
      <c r="E6272" s="2" t="s">
        <v>199</v>
      </c>
    </row>
    <row r="6273" spans="1:5" x14ac:dyDescent="0.2">
      <c r="A6273">
        <v>6212</v>
      </c>
      <c r="B6273" s="138">
        <f>'Acct Summary 7-8'!I82</f>
        <v>120331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-26595</v>
      </c>
      <c r="D6275" s="2" t="str">
        <f t="shared" si="97"/>
        <v>Error?</v>
      </c>
      <c r="E6275" s="2" t="s">
        <v>199</v>
      </c>
    </row>
    <row r="6276" spans="1:5" x14ac:dyDescent="0.2">
      <c r="A6276">
        <v>6215</v>
      </c>
      <c r="B6276" s="138">
        <f>'Acct Summary 7-8'!C83</f>
        <v>0.35701873689882013</v>
      </c>
      <c r="D6276" s="2" t="str">
        <f t="shared" si="97"/>
        <v>Error?</v>
      </c>
      <c r="E6276" s="2" t="s">
        <v>199</v>
      </c>
    </row>
    <row r="6277" spans="1:5" x14ac:dyDescent="0.2">
      <c r="A6277">
        <v>6216</v>
      </c>
      <c r="B6277" s="138">
        <f>'Acct Summary 7-8'!D83</f>
        <v>0.66759033684120683</v>
      </c>
      <c r="D6277" s="2" t="str">
        <f t="shared" si="97"/>
        <v>Error?</v>
      </c>
      <c r="E6277" s="2" t="s">
        <v>199</v>
      </c>
    </row>
    <row r="6278" spans="1:5" x14ac:dyDescent="0.2">
      <c r="A6278">
        <v>6217</v>
      </c>
      <c r="B6278" s="138">
        <f>'Acct Summary 7-8'!E83</f>
        <v>0.12168528457782117</v>
      </c>
      <c r="D6278" s="2" t="str">
        <f t="shared" si="97"/>
        <v>Error?</v>
      </c>
      <c r="E6278" s="2" t="s">
        <v>199</v>
      </c>
    </row>
    <row r="6279" spans="1:5" x14ac:dyDescent="0.2">
      <c r="A6279">
        <v>6218</v>
      </c>
      <c r="B6279" s="138">
        <f>'Acct Summary 7-8'!F83</f>
        <v>0.31085370629567122</v>
      </c>
      <c r="D6279" s="2" t="str">
        <f t="shared" si="97"/>
        <v>Error?</v>
      </c>
      <c r="E6279" s="2" t="s">
        <v>199</v>
      </c>
    </row>
    <row r="6280" spans="1:5" x14ac:dyDescent="0.2">
      <c r="A6280">
        <v>6219</v>
      </c>
      <c r="B6280" s="138">
        <f>'Acct Summary 7-8'!G83</f>
        <v>0.24030521695696994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5.3191625737053522E-2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-2.8091074442667591E-2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60030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200643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52293</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52293</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2692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269083</v>
      </c>
      <c r="D6848" s="2" t="str">
        <f t="shared" si="106"/>
        <v>Error?</v>
      </c>
    </row>
    <row r="6849" spans="1:4" x14ac:dyDescent="0.2">
      <c r="A6849">
        <v>6788</v>
      </c>
      <c r="B6849" s="138">
        <f>'Expenditures 15-22'!I8</f>
        <v>4293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40633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216267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1298168</v>
      </c>
      <c r="D6880" s="2" t="str">
        <f t="shared" si="106"/>
        <v>Error?</v>
      </c>
    </row>
    <row r="6881" spans="1:4" x14ac:dyDescent="0.2">
      <c r="A6881">
        <v>6820</v>
      </c>
      <c r="B6881" s="138">
        <f>'Expenditures 15-22'!K22</f>
        <v>1298168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7485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591595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591595</v>
      </c>
      <c r="D6940" s="2" t="str">
        <f t="shared" si="107"/>
        <v>Error?</v>
      </c>
    </row>
    <row r="6941" spans="1:4" x14ac:dyDescent="0.2">
      <c r="A6941">
        <v>6880</v>
      </c>
      <c r="B6941" s="138">
        <f>'Expenditures 15-22'!L52</f>
        <v>593000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950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950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33291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33291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34241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84435</v>
      </c>
      <c r="D6983" s="2" t="str">
        <f t="shared" si="108"/>
        <v>Error?</v>
      </c>
    </row>
    <row r="6984" spans="1:4" x14ac:dyDescent="0.2">
      <c r="A6984">
        <v>6923</v>
      </c>
      <c r="B6984" s="138">
        <f>'Expenditures 15-22'!K86</f>
        <v>84435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336275</v>
      </c>
      <c r="D6987" s="2" t="str">
        <f t="shared" si="108"/>
        <v>Error?</v>
      </c>
    </row>
    <row r="6988" spans="1:4" x14ac:dyDescent="0.2">
      <c r="A6988">
        <v>6927</v>
      </c>
      <c r="B6988" s="138">
        <f>'Expenditures 15-22'!K88</f>
        <v>336275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31275</v>
      </c>
      <c r="D6993" s="2" t="str">
        <f t="shared" si="108"/>
        <v>Error?</v>
      </c>
    </row>
    <row r="6994" spans="1:4" x14ac:dyDescent="0.2">
      <c r="A6994">
        <v>6933</v>
      </c>
      <c r="B6994" s="138">
        <f>'Expenditures 15-22'!K91</f>
        <v>31275</v>
      </c>
      <c r="D6994" s="2" t="str">
        <f t="shared" si="108"/>
        <v>Error?</v>
      </c>
    </row>
    <row r="6995" spans="1:4" x14ac:dyDescent="0.2">
      <c r="A6995">
        <v>6934</v>
      </c>
      <c r="B6995" s="138">
        <f>'Expenditures 15-22'!H92</f>
        <v>451985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41726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36795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36795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36795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36795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1239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1239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1239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3155</v>
      </c>
      <c r="D7073" s="2" t="str">
        <f t="shared" si="109"/>
        <v>Error?</v>
      </c>
    </row>
    <row r="7074" spans="1:4" x14ac:dyDescent="0.2">
      <c r="A7074">
        <v>7013</v>
      </c>
      <c r="B7074" s="138">
        <f>'Expenditures 15-22'!K216</f>
        <v>3155</v>
      </c>
      <c r="D7074" s="2" t="str">
        <f t="shared" si="109"/>
        <v>Error?</v>
      </c>
    </row>
    <row r="7075" spans="1:4" x14ac:dyDescent="0.2">
      <c r="A7075">
        <v>7014</v>
      </c>
      <c r="B7075" s="138">
        <f>'Expenditures 15-22'!D218</f>
        <v>1793</v>
      </c>
      <c r="D7075" s="2" t="str">
        <f t="shared" si="109"/>
        <v>Error?</v>
      </c>
    </row>
    <row r="7076" spans="1:4" x14ac:dyDescent="0.2">
      <c r="A7076">
        <v>7015</v>
      </c>
      <c r="B7076" s="138">
        <f>'Expenditures 15-22'!K218</f>
        <v>1793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2222</v>
      </c>
      <c r="D7079" s="2" t="str">
        <f t="shared" si="109"/>
        <v>Error?</v>
      </c>
    </row>
    <row r="7080" spans="1:4" x14ac:dyDescent="0.2">
      <c r="A7080">
        <v>7019</v>
      </c>
      <c r="B7080" s="138">
        <f>'Expenditures 15-22'!K226</f>
        <v>2222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61750</v>
      </c>
      <c r="D7246" s="2" t="str">
        <f t="shared" si="112"/>
        <v>Error?</v>
      </c>
    </row>
    <row r="7247" spans="1:4" x14ac:dyDescent="0.2">
      <c r="A7247">
        <f t="shared" si="113"/>
        <v>7186</v>
      </c>
      <c r="B7247" s="138">
        <f>'Expenditures 15-22'!E7</f>
        <v>2002</v>
      </c>
      <c r="D7247" s="2" t="str">
        <f t="shared" si="112"/>
        <v>Error?</v>
      </c>
    </row>
    <row r="7248" spans="1:4" x14ac:dyDescent="0.2">
      <c r="A7248">
        <f t="shared" si="113"/>
        <v>7187</v>
      </c>
      <c r="B7248" s="138">
        <f>'Expenditures 15-22'!F7</f>
        <v>4688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34239</v>
      </c>
      <c r="D7251" s="2" t="str">
        <f t="shared" si="112"/>
        <v>Error?</v>
      </c>
    </row>
    <row r="7252" spans="1:4" x14ac:dyDescent="0.2">
      <c r="A7252">
        <f t="shared" si="113"/>
        <v>7191</v>
      </c>
      <c r="B7252" s="138">
        <f>'Expenditures 15-22'!D9</f>
        <v>6394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156091</v>
      </c>
      <c r="D7263" s="2" t="str">
        <f t="shared" si="112"/>
        <v>Error?</v>
      </c>
    </row>
    <row r="7264" spans="1:4" x14ac:dyDescent="0.2">
      <c r="A7264">
        <f t="shared" si="113"/>
        <v>7203</v>
      </c>
      <c r="B7264" s="138">
        <f>'Expenditures 15-22'!D17</f>
        <v>40098</v>
      </c>
      <c r="D7264" s="2" t="str">
        <f t="shared" si="112"/>
        <v>Error?</v>
      </c>
    </row>
    <row r="7265" spans="1:5" x14ac:dyDescent="0.2">
      <c r="A7265">
        <f t="shared" si="113"/>
        <v>7204</v>
      </c>
      <c r="B7265" s="138">
        <f>'Expenditures 15-22'!E17</f>
        <v>1929</v>
      </c>
      <c r="D7265" s="2" t="str">
        <f t="shared" si="112"/>
        <v>Error?</v>
      </c>
    </row>
    <row r="7266" spans="1:5" x14ac:dyDescent="0.2">
      <c r="A7266">
        <f t="shared" si="113"/>
        <v>7205</v>
      </c>
      <c r="B7266" s="138">
        <f>'Expenditures 15-22'!F17</f>
        <v>139</v>
      </c>
      <c r="D7266" s="2" t="str">
        <f t="shared" si="112"/>
        <v>Error?</v>
      </c>
    </row>
    <row r="7267" spans="1:5" x14ac:dyDescent="0.2">
      <c r="A7267">
        <f t="shared" si="113"/>
        <v>7206</v>
      </c>
      <c r="B7267" s="138">
        <f>'Expenditures 15-22'!G17</f>
        <v>17980</v>
      </c>
      <c r="D7267" s="2" t="str">
        <f t="shared" si="112"/>
        <v>Error?</v>
      </c>
    </row>
    <row r="7268" spans="1:5" x14ac:dyDescent="0.2">
      <c r="A7268">
        <f t="shared" si="113"/>
        <v>7207</v>
      </c>
      <c r="B7268" s="138">
        <f>'Expenditures 15-22'!H17</f>
        <v>30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79760</v>
      </c>
      <c r="D7624" s="2" t="str">
        <f t="shared" si="124"/>
        <v>Error?</v>
      </c>
      <c r="E7624" s="2" t="s">
        <v>19</v>
      </c>
    </row>
    <row r="7625" spans="1:5" x14ac:dyDescent="0.2">
      <c r="A7625">
        <f t="shared" si="123"/>
        <v>7564</v>
      </c>
      <c r="B7625" s="138">
        <f>'Cap Outlay Deprec 26'!I17</f>
        <v>7976</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1883815.28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60030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66055</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126085</v>
      </c>
      <c r="D7719" s="2" t="str">
        <f t="shared" si="126"/>
        <v>Error?</v>
      </c>
      <c r="E7719" s="2" t="s">
        <v>880</v>
      </c>
    </row>
    <row r="7720" spans="1:6" x14ac:dyDescent="0.2">
      <c r="A7720">
        <v>7659</v>
      </c>
      <c r="B7720" s="138">
        <f>'Rest Tax Levies-Tort Im 25'!H14</f>
        <v>158284</v>
      </c>
      <c r="D7720" s="2" t="str">
        <f t="shared" si="126"/>
        <v>Error?</v>
      </c>
      <c r="E7720" s="2" t="s">
        <v>880</v>
      </c>
    </row>
    <row r="7721" spans="1:6" x14ac:dyDescent="0.2">
      <c r="A7721">
        <v>7660</v>
      </c>
      <c r="B7721" s="138">
        <f>'Rest Tax Levies-Tort Im 25'!K14</f>
        <v>126085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52293</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255337</v>
      </c>
      <c r="D7797" s="2" t="str">
        <f t="shared" si="127"/>
        <v>Error?</v>
      </c>
      <c r="E7797" s="4" t="s">
        <v>2015</v>
      </c>
    </row>
    <row r="7798" spans="1:5" x14ac:dyDescent="0.2">
      <c r="A7798">
        <v>7737</v>
      </c>
      <c r="B7798" s="138">
        <f>'Contracts Paid in CY 29'!F141</f>
        <v>164675</v>
      </c>
      <c r="D7798" s="2" t="str">
        <f t="shared" si="127"/>
        <v>Error?</v>
      </c>
      <c r="E7798" s="4" t="s">
        <v>2015</v>
      </c>
    </row>
    <row r="7799" spans="1:5" x14ac:dyDescent="0.2">
      <c r="A7799">
        <v>7738</v>
      </c>
      <c r="B7799" s="138">
        <f>'Contracts Paid in CY 29'!G141</f>
        <v>90662</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0" t="str">
        <f>COVER!A17</f>
        <v>Ball-Chatham Community Unit School District #5</v>
      </c>
      <c r="B7" s="2421"/>
      <c r="C7" s="2421"/>
      <c r="D7" s="2422"/>
      <c r="E7" s="2423">
        <f>COVER!A13</f>
        <v>51084005026</v>
      </c>
      <c r="F7" s="2424"/>
      <c r="G7" s="2430" t="str">
        <f>COVER!T23</f>
        <v>066-005100</v>
      </c>
      <c r="H7" s="2431"/>
      <c r="I7" s="2431"/>
      <c r="J7" s="2431"/>
      <c r="K7" s="2431"/>
      <c r="L7" s="2432"/>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Dr. Douglas Wood</v>
      </c>
      <c r="B10" s="2411"/>
      <c r="C10" s="2411"/>
      <c r="D10" s="2411"/>
      <c r="E10" s="2411"/>
      <c r="F10" s="2412"/>
      <c r="G10" s="2404" t="str">
        <f>COVER!T17</f>
        <v>116 E. Washington Street, Suite One</v>
      </c>
      <c r="H10" s="2405"/>
      <c r="I10" s="2405"/>
      <c r="J10" s="2405"/>
      <c r="K10" s="2405"/>
      <c r="L10" s="2406"/>
    </row>
    <row r="11" spans="1:29" ht="13.5" customHeight="1" x14ac:dyDescent="0.2">
      <c r="A11" s="1185" t="s">
        <v>1598</v>
      </c>
      <c r="B11" s="1186"/>
      <c r="C11" s="1187"/>
      <c r="D11" s="1192"/>
      <c r="E11" s="1187"/>
      <c r="F11" s="1191"/>
      <c r="G11" s="2404" t="str">
        <f>COVER!T19</f>
        <v>Morris</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tmack@mackcpas.com</v>
      </c>
      <c r="J13" s="2417"/>
      <c r="K13" s="2417"/>
      <c r="L13" s="2418"/>
    </row>
    <row r="14" spans="1:29" ht="13.5" customHeight="1" x14ac:dyDescent="0.2">
      <c r="A14" s="2404" t="str">
        <f>COVER!A19</f>
        <v>201 W. Mulberry</v>
      </c>
      <c r="B14" s="2405"/>
      <c r="C14" s="2405"/>
      <c r="D14" s="2405"/>
      <c r="E14" s="2405"/>
      <c r="F14" s="2406"/>
      <c r="G14" s="1196" t="s">
        <v>1246</v>
      </c>
      <c r="H14" s="1194"/>
      <c r="I14" s="1194"/>
      <c r="J14" s="1194"/>
      <c r="K14" s="1194"/>
      <c r="L14" s="1195"/>
    </row>
    <row r="15" spans="1:29" ht="13.5" customHeight="1" x14ac:dyDescent="0.2">
      <c r="A15" s="2404" t="str">
        <f>COVER!A21</f>
        <v>Chatham</v>
      </c>
      <c r="B15" s="2405"/>
      <c r="C15" s="2405"/>
      <c r="D15" s="2405"/>
      <c r="E15" s="2405"/>
      <c r="F15" s="2406"/>
      <c r="G15" s="2401" t="str">
        <f>COVER!T15</f>
        <v>Tawnya R. Mack, CPA</v>
      </c>
      <c r="H15" s="2402"/>
      <c r="I15" s="2402"/>
      <c r="J15" s="2402"/>
      <c r="K15" s="2402"/>
      <c r="L15" s="2403"/>
    </row>
    <row r="16" spans="1:29" ht="12.2" customHeight="1" x14ac:dyDescent="0.2">
      <c r="A16" s="2426">
        <f>COVER!A25</f>
        <v>62629</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1245</v>
      </c>
      <c r="H17" s="1194"/>
      <c r="I17" s="1194"/>
      <c r="J17" s="1194"/>
      <c r="K17" s="1198" t="s">
        <v>1244</v>
      </c>
      <c r="L17" s="1191"/>
      <c r="M17" s="1184"/>
    </row>
    <row r="18" spans="1:13" ht="12.2" customHeight="1" x14ac:dyDescent="0.2">
      <c r="A18" s="2410"/>
      <c r="B18" s="2411"/>
      <c r="C18" s="2411"/>
      <c r="D18" s="2411"/>
      <c r="E18" s="2411"/>
      <c r="F18" s="2412"/>
      <c r="G18" s="2420" t="str">
        <f>COVER!T21</f>
        <v>(815) 942-3306</v>
      </c>
      <c r="H18" s="2421"/>
      <c r="I18" s="2421"/>
      <c r="J18" s="2421"/>
      <c r="K18" s="2420" t="str">
        <f>COVER!X21</f>
        <v>(815) 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2105</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2105</v>
      </c>
      <c r="C26" s="1203" t="s">
        <v>1800</v>
      </c>
    </row>
    <row r="27" spans="1:13" s="1199" customFormat="1" ht="9" customHeight="1" x14ac:dyDescent="0.2">
      <c r="B27" s="1204"/>
      <c r="C27" s="1203"/>
    </row>
    <row r="28" spans="1:13" s="1199" customFormat="1" ht="12.2" customHeight="1" x14ac:dyDescent="0.2">
      <c r="A28" s="1206"/>
      <c r="B28" s="1202" t="s">
        <v>2105</v>
      </c>
      <c r="C28" s="1203" t="s">
        <v>1801</v>
      </c>
    </row>
    <row r="29" spans="1:13" s="1199" customFormat="1" ht="9" customHeight="1" x14ac:dyDescent="0.2">
      <c r="A29" s="1206"/>
      <c r="B29" s="1204"/>
      <c r="C29" s="1203"/>
    </row>
    <row r="30" spans="1:13" s="1199" customFormat="1" ht="12.2" customHeight="1" x14ac:dyDescent="0.2">
      <c r="B30" s="1202" t="s">
        <v>2105</v>
      </c>
      <c r="C30" s="1203" t="s">
        <v>1642</v>
      </c>
      <c r="D30" s="1197"/>
      <c r="E30" s="1197"/>
    </row>
    <row r="31" spans="1:13" s="1199" customFormat="1" ht="9" customHeight="1" x14ac:dyDescent="0.2">
      <c r="B31" s="1204"/>
      <c r="C31" s="1203"/>
      <c r="D31" s="1197"/>
      <c r="E31" s="1197"/>
    </row>
    <row r="32" spans="1:13" s="1199" customFormat="1" ht="12.2" customHeight="1" x14ac:dyDescent="0.2">
      <c r="B32" s="1202" t="s">
        <v>2105</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2105</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2105</v>
      </c>
      <c r="C38" s="1203" t="s">
        <v>1646</v>
      </c>
    </row>
    <row r="39" spans="1:8" ht="9" customHeight="1" x14ac:dyDescent="0.2">
      <c r="B39" s="1204"/>
      <c r="C39" s="1207"/>
    </row>
    <row r="40" spans="1:8" s="1199" customFormat="1" ht="13.5" customHeight="1" x14ac:dyDescent="0.2">
      <c r="B40" s="1202" t="s">
        <v>2105</v>
      </c>
      <c r="C40" s="1203" t="s">
        <v>1647</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Ball-Chatham Community Unit School District #5</v>
      </c>
      <c r="B1" s="2419"/>
      <c r="C1" s="2419"/>
      <c r="D1" s="2419"/>
    </row>
    <row r="2" spans="1:11" s="1215" customFormat="1" ht="12.75" x14ac:dyDescent="0.2">
      <c r="A2" s="2443">
        <f>'Single Audit Cover'!E7</f>
        <v>51084005026</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Ball-Chatham Community Unit School District #5</v>
      </c>
      <c r="B1" s="2446"/>
      <c r="C1" s="2446"/>
      <c r="D1" s="2446"/>
      <c r="E1" s="2446"/>
    </row>
    <row r="2" spans="1:5" x14ac:dyDescent="0.2">
      <c r="A2" s="2447">
        <f>'Single Audit Cover'!E7</f>
        <v>51084005026</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2377099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108170.37</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-105077</v>
      </c>
    </row>
    <row r="19" spans="1:4" ht="13.5" thickBot="1" x14ac:dyDescent="0.25">
      <c r="A19" s="1265" t="s">
        <v>1296</v>
      </c>
      <c r="D19" s="1266">
        <f>SUM(D10:D17)</f>
        <v>2380192.37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t="s">
        <v>2177</v>
      </c>
      <c r="B24" s="2448"/>
      <c r="D24" s="1268">
        <f>-'Revenues 9-14'!E247</f>
        <v>-52293</v>
      </c>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2327899.37</v>
      </c>
    </row>
    <row r="33" spans="1:4" x14ac:dyDescent="0.2">
      <c r="D33" s="1269"/>
    </row>
    <row r="34" spans="1:4" x14ac:dyDescent="0.2">
      <c r="A34" s="317" t="s">
        <v>1293</v>
      </c>
    </row>
    <row r="35" spans="1:4" x14ac:dyDescent="0.2">
      <c r="A35" s="317" t="s">
        <v>1292</v>
      </c>
      <c r="B35" s="1258" t="s">
        <v>1291</v>
      </c>
      <c r="D35" s="1270">
        <v>2327899</v>
      </c>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2327899</v>
      </c>
    </row>
    <row r="49" spans="2:4" x14ac:dyDescent="0.2">
      <c r="B49" s="1272" t="s">
        <v>1287</v>
      </c>
      <c r="C49" s="1272"/>
      <c r="D49" s="1273">
        <f>D32-D47</f>
        <v>0.37000000011175871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Ball-Chatham Community Unit School District #5</v>
      </c>
      <c r="B1" s="2459"/>
      <c r="C1" s="2459"/>
      <c r="D1" s="2459"/>
      <c r="E1" s="2459"/>
      <c r="F1" s="2459"/>
    </row>
    <row r="2" spans="1:7" ht="13.5" customHeight="1" x14ac:dyDescent="0.2">
      <c r="A2" s="2460">
        <f>'Single Audit Cover'!E7</f>
        <v>51084005026</v>
      </c>
      <c r="B2" s="2460"/>
      <c r="C2" s="2460"/>
      <c r="D2" s="2460"/>
      <c r="E2" s="2460"/>
      <c r="F2" s="2460"/>
      <c r="G2" s="1275"/>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2121</v>
      </c>
      <c r="B7" s="2458"/>
      <c r="C7" s="2458"/>
      <c r="D7" s="2458"/>
      <c r="E7" s="2458"/>
      <c r="F7" s="2458"/>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2105</v>
      </c>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8" t="s">
        <v>2122</v>
      </c>
      <c r="B13" s="2458"/>
      <c r="C13" s="2458"/>
      <c r="D13" s="2458"/>
      <c r="E13" s="2458"/>
      <c r="F13" s="2458"/>
    </row>
    <row r="14" spans="1:7" ht="9.75" customHeight="1" x14ac:dyDescent="0.2">
      <c r="C14" s="1260"/>
      <c r="D14" s="1260"/>
    </row>
    <row r="15" spans="1:7" ht="13.5" customHeight="1" x14ac:dyDescent="0.2">
      <c r="C15" s="1870" t="s">
        <v>1331</v>
      </c>
      <c r="D15" s="2456" t="s">
        <v>1330</v>
      </c>
      <c r="E15" s="2456"/>
      <c r="F15" s="2456"/>
    </row>
    <row r="16" spans="1:7" ht="13.5" customHeight="1" x14ac:dyDescent="0.2">
      <c r="A16" s="1282"/>
      <c r="B16" s="1276" t="s">
        <v>1329</v>
      </c>
      <c r="C16" s="1870" t="s">
        <v>1328</v>
      </c>
      <c r="D16" s="2457" t="s">
        <v>1669</v>
      </c>
      <c r="E16" s="2457"/>
      <c r="F16" s="2457"/>
    </row>
    <row r="17" spans="1:6" ht="20.45" customHeight="1" x14ac:dyDescent="0.2">
      <c r="A17" s="1283"/>
      <c r="B17" s="1284" t="s">
        <v>2123</v>
      </c>
      <c r="C17" s="1285" t="s">
        <v>2124</v>
      </c>
      <c r="D17" s="2451">
        <v>0</v>
      </c>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2" t="s">
        <v>2125</v>
      </c>
      <c r="B32" s="2452"/>
      <c r="C32" s="2452"/>
      <c r="D32" s="2452"/>
      <c r="E32" s="2452"/>
      <c r="F32" s="2452"/>
    </row>
    <row r="33" spans="1:6" ht="13.5" customHeight="1" x14ac:dyDescent="0.2">
      <c r="A33" s="328" t="s">
        <v>1508</v>
      </c>
      <c r="B33" s="328"/>
      <c r="C33" s="1288">
        <v>51201</v>
      </c>
      <c r="D33" s="1927"/>
      <c r="E33" s="1286"/>
    </row>
    <row r="34" spans="1:6" ht="13.5" customHeight="1" x14ac:dyDescent="0.2">
      <c r="A34" s="328" t="s">
        <v>1944</v>
      </c>
      <c r="B34" s="328"/>
      <c r="C34" s="1289">
        <v>56970</v>
      </c>
      <c r="D34" s="1927" t="s">
        <v>1670</v>
      </c>
      <c r="E34" s="2453">
        <f>+C33+C34</f>
        <v>108171</v>
      </c>
      <c r="F34" s="2454"/>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v>0</v>
      </c>
      <c r="D38" s="1927"/>
      <c r="E38" s="1286"/>
    </row>
    <row r="39" spans="1:6" ht="14.25" customHeight="1" x14ac:dyDescent="0.2">
      <c r="A39" s="328"/>
      <c r="B39" s="328" t="s">
        <v>1510</v>
      </c>
      <c r="C39" s="1292">
        <v>0</v>
      </c>
      <c r="D39" s="1927"/>
      <c r="E39" s="1286"/>
    </row>
    <row r="40" spans="1:6" ht="14.25" customHeight="1" x14ac:dyDescent="0.2">
      <c r="A40" s="328"/>
      <c r="B40" s="328" t="s">
        <v>1511</v>
      </c>
      <c r="C40" s="1292">
        <v>0</v>
      </c>
      <c r="D40" s="1927"/>
      <c r="E40" s="1286"/>
    </row>
    <row r="41" spans="1:6" ht="14.25" customHeight="1" x14ac:dyDescent="0.2">
      <c r="A41" s="328"/>
      <c r="B41" s="328" t="s">
        <v>1512</v>
      </c>
      <c r="C41" s="1292">
        <v>0</v>
      </c>
      <c r="D41" s="1927"/>
      <c r="E41" s="1286"/>
    </row>
    <row r="42" spans="1:6" ht="14.25" customHeight="1" x14ac:dyDescent="0.2">
      <c r="A42" s="328" t="s">
        <v>1513</v>
      </c>
      <c r="B42" s="328"/>
      <c r="C42" s="1925">
        <v>0</v>
      </c>
      <c r="D42" s="1927"/>
      <c r="E42" s="1286"/>
    </row>
    <row r="43" spans="1:6" ht="14.25" customHeight="1" x14ac:dyDescent="0.2">
      <c r="A43" s="328" t="s">
        <v>1514</v>
      </c>
      <c r="B43" s="328"/>
      <c r="C43" s="1293" t="s">
        <v>592</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5" sqref="F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Ball-Chatham Community Unit School District #5</v>
      </c>
      <c r="C1" s="2463"/>
      <c r="D1" s="2463"/>
      <c r="E1" s="2463"/>
      <c r="F1" s="2463"/>
      <c r="G1" s="2463"/>
      <c r="H1" s="2463"/>
      <c r="I1" s="2463"/>
      <c r="J1" s="2463"/>
      <c r="K1" s="2463"/>
      <c r="L1" s="2463"/>
      <c r="M1" s="2463"/>
    </row>
    <row r="2" spans="2:14" ht="15" x14ac:dyDescent="0.2">
      <c r="B2" s="2460">
        <f>'Single Audit Cover'!E7</f>
        <v>51084005026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f>+G11+I11+K11</f>
        <v>0</v>
      </c>
      <c r="M11" s="1340"/>
    </row>
    <row r="12" spans="2:14" ht="20.100000000000001" customHeight="1" x14ac:dyDescent="0.2">
      <c r="B12" s="1337" t="s">
        <v>2127</v>
      </c>
      <c r="C12" s="1341"/>
      <c r="D12" s="1342"/>
      <c r="E12" s="1343"/>
      <c r="F12" s="1343"/>
      <c r="G12" s="1343"/>
      <c r="H12" s="1343"/>
      <c r="I12" s="1343"/>
      <c r="J12" s="1343"/>
      <c r="K12" s="1343"/>
      <c r="L12" s="1340">
        <f t="shared" ref="L12:L27" si="0">+G12+I12+K12</f>
        <v>0</v>
      </c>
      <c r="M12" s="1343"/>
    </row>
    <row r="13" spans="2:14" ht="20.100000000000001" customHeight="1" x14ac:dyDescent="0.2">
      <c r="B13" s="1337" t="s">
        <v>2128</v>
      </c>
      <c r="C13" s="1341" t="s">
        <v>2129</v>
      </c>
      <c r="D13" s="1342" t="s">
        <v>2130</v>
      </c>
      <c r="E13" s="1343">
        <v>230943</v>
      </c>
      <c r="F13" s="1343">
        <v>122779</v>
      </c>
      <c r="G13" s="1343">
        <v>327303</v>
      </c>
      <c r="H13" s="1343"/>
      <c r="I13" s="1343">
        <v>26419</v>
      </c>
      <c r="J13" s="1343"/>
      <c r="K13" s="1343"/>
      <c r="L13" s="1340">
        <f t="shared" si="0"/>
        <v>353722</v>
      </c>
      <c r="M13" s="1343">
        <v>397257</v>
      </c>
    </row>
    <row r="14" spans="2:14" ht="20.100000000000001" customHeight="1" x14ac:dyDescent="0.2">
      <c r="B14" s="1337" t="s">
        <v>2131</v>
      </c>
      <c r="C14" s="1341" t="s">
        <v>2129</v>
      </c>
      <c r="D14" s="1342" t="s">
        <v>2132</v>
      </c>
      <c r="E14" s="1343"/>
      <c r="F14" s="1343">
        <v>226481</v>
      </c>
      <c r="G14" s="1343"/>
      <c r="H14" s="1343"/>
      <c r="I14" s="1343">
        <v>372844</v>
      </c>
      <c r="J14" s="1343"/>
      <c r="K14" s="1343">
        <v>9366</v>
      </c>
      <c r="L14" s="1340">
        <f t="shared" si="0"/>
        <v>382210</v>
      </c>
      <c r="M14" s="1343">
        <v>410086</v>
      </c>
    </row>
    <row r="15" spans="2:14" ht="20.100000000000001" customHeight="1" x14ac:dyDescent="0.2">
      <c r="B15" s="1337" t="s">
        <v>2133</v>
      </c>
      <c r="C15" s="1341"/>
      <c r="D15" s="1342"/>
      <c r="E15" s="1343">
        <f>SUM(E13:E14)</f>
        <v>230943</v>
      </c>
      <c r="F15" s="1343">
        <f>SUM(F13:F14)</f>
        <v>349260</v>
      </c>
      <c r="G15" s="1343">
        <f>SUM(G13:G14)</f>
        <v>327303</v>
      </c>
      <c r="H15" s="1343"/>
      <c r="I15" s="1343">
        <f>SUM(I13:I14)</f>
        <v>399263</v>
      </c>
      <c r="J15" s="1343"/>
      <c r="K15" s="1343">
        <f>SUM(K13:K14)</f>
        <v>9366</v>
      </c>
      <c r="L15" s="1340">
        <f t="shared" si="0"/>
        <v>735932</v>
      </c>
      <c r="M15" s="1343">
        <f>SUM(M13:M14)</f>
        <v>807343</v>
      </c>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2136</v>
      </c>
      <c r="C17" s="1341" t="s">
        <v>2134</v>
      </c>
      <c r="D17" s="1342" t="s">
        <v>2135</v>
      </c>
      <c r="E17" s="1343">
        <v>20713</v>
      </c>
      <c r="F17" s="1343">
        <v>17708</v>
      </c>
      <c r="G17" s="1343">
        <v>37260</v>
      </c>
      <c r="H17" s="1343"/>
      <c r="I17" s="1343">
        <v>1161</v>
      </c>
      <c r="J17" s="1343"/>
      <c r="K17" s="1343"/>
      <c r="L17" s="1340">
        <f t="shared" si="0"/>
        <v>38421</v>
      </c>
      <c r="M17" s="1343">
        <v>73233</v>
      </c>
    </row>
    <row r="18" spans="2:14" ht="20.100000000000001" customHeight="1" x14ac:dyDescent="0.2">
      <c r="B18" s="1337" t="s">
        <v>2137</v>
      </c>
      <c r="C18" s="1341" t="s">
        <v>2134</v>
      </c>
      <c r="D18" s="1342" t="s">
        <v>2138</v>
      </c>
      <c r="E18" s="1343"/>
      <c r="F18" s="1343">
        <v>37648</v>
      </c>
      <c r="G18" s="1343"/>
      <c r="H18" s="1343"/>
      <c r="I18" s="1343">
        <v>62397</v>
      </c>
      <c r="J18" s="1343"/>
      <c r="K18" s="1343">
        <v>6571</v>
      </c>
      <c r="L18" s="1340">
        <f t="shared" si="0"/>
        <v>68968</v>
      </c>
      <c r="M18" s="1343">
        <v>121204</v>
      </c>
    </row>
    <row r="19" spans="2:14" ht="20.100000000000001" customHeight="1" x14ac:dyDescent="0.2">
      <c r="B19" s="1337" t="s">
        <v>2139</v>
      </c>
      <c r="C19" s="1341"/>
      <c r="D19" s="1342"/>
      <c r="E19" s="1343">
        <f>SUM(E17)</f>
        <v>20713</v>
      </c>
      <c r="F19" s="1343">
        <f>SUM(F17:F18)</f>
        <v>55356</v>
      </c>
      <c r="G19" s="1343">
        <f>SUM(G17:G18)</f>
        <v>37260</v>
      </c>
      <c r="H19" s="1343"/>
      <c r="I19" s="1343">
        <f>SUM(I17:I18)</f>
        <v>63558</v>
      </c>
      <c r="J19" s="1343"/>
      <c r="K19" s="1343">
        <f>SUM(K17:K18)</f>
        <v>6571</v>
      </c>
      <c r="L19" s="1340">
        <f>+G19+I19+K19</f>
        <v>107389</v>
      </c>
      <c r="M19" s="1343">
        <f>SUM(M17:M18)</f>
        <v>194437</v>
      </c>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2140</v>
      </c>
      <c r="C21" s="1341"/>
      <c r="D21" s="1342"/>
      <c r="E21" s="1343"/>
      <c r="F21" s="1343"/>
      <c r="G21" s="1343"/>
      <c r="H21" s="1343"/>
      <c r="I21" s="1343"/>
      <c r="J21" s="1343"/>
      <c r="K21" s="1343"/>
      <c r="L21" s="1340">
        <f t="shared" si="0"/>
        <v>0</v>
      </c>
      <c r="M21" s="1343"/>
    </row>
    <row r="22" spans="2:14" ht="20.100000000000001" customHeight="1" x14ac:dyDescent="0.2">
      <c r="B22" s="1337" t="s">
        <v>2141</v>
      </c>
      <c r="C22" s="1341" t="s">
        <v>2142</v>
      </c>
      <c r="D22" s="1342" t="s">
        <v>2143</v>
      </c>
      <c r="E22" s="1343">
        <v>577093</v>
      </c>
      <c r="F22" s="1343">
        <v>212629</v>
      </c>
      <c r="G22" s="1343">
        <v>794168</v>
      </c>
      <c r="H22" s="1343"/>
      <c r="I22" s="1343">
        <v>3351</v>
      </c>
      <c r="J22" s="1343"/>
      <c r="K22" s="1343"/>
      <c r="L22" s="1340">
        <f t="shared" si="0"/>
        <v>797519</v>
      </c>
      <c r="M22" s="1343">
        <v>899643</v>
      </c>
    </row>
    <row r="23" spans="2:14" ht="20.100000000000001" customHeight="1" x14ac:dyDescent="0.2">
      <c r="B23" s="1337" t="s">
        <v>2144</v>
      </c>
      <c r="C23" s="1341" t="s">
        <v>2142</v>
      </c>
      <c r="D23" s="1342" t="s">
        <v>2145</v>
      </c>
      <c r="E23" s="1343"/>
      <c r="F23" s="1343">
        <v>671650</v>
      </c>
      <c r="G23" s="1343"/>
      <c r="H23" s="1343"/>
      <c r="I23" s="1343">
        <v>870394</v>
      </c>
      <c r="J23" s="1343"/>
      <c r="K23" s="1343">
        <v>337</v>
      </c>
      <c r="L23" s="1340">
        <f t="shared" si="0"/>
        <v>870731</v>
      </c>
      <c r="M23" s="1343">
        <v>930518</v>
      </c>
    </row>
    <row r="24" spans="2:14" ht="20.100000000000001" customHeight="1" x14ac:dyDescent="0.2">
      <c r="B24" s="1337" t="s">
        <v>2146</v>
      </c>
      <c r="C24" s="1341" t="s">
        <v>2142</v>
      </c>
      <c r="D24" s="1342" t="s">
        <v>2147</v>
      </c>
      <c r="E24" s="1343">
        <v>222565</v>
      </c>
      <c r="F24" s="1343">
        <v>113306</v>
      </c>
      <c r="G24" s="1343">
        <v>246149</v>
      </c>
      <c r="H24" s="1343"/>
      <c r="I24" s="1343">
        <v>89723</v>
      </c>
      <c r="J24" s="1343"/>
      <c r="K24" s="1343"/>
      <c r="L24" s="1340">
        <f t="shared" si="0"/>
        <v>335872</v>
      </c>
      <c r="M24" s="1343" t="s">
        <v>2148</v>
      </c>
    </row>
    <row r="25" spans="2:14" ht="20.100000000000001" customHeight="1" x14ac:dyDescent="0.2">
      <c r="B25" s="1337" t="s">
        <v>2149</v>
      </c>
      <c r="C25" s="1341">
        <v>84.027000000000001</v>
      </c>
      <c r="D25" s="1342" t="s">
        <v>2150</v>
      </c>
      <c r="E25" s="1343"/>
      <c r="F25" s="1343">
        <v>240559</v>
      </c>
      <c r="G25" s="1343"/>
      <c r="H25" s="1343"/>
      <c r="I25" s="1343">
        <v>265386</v>
      </c>
      <c r="J25" s="1343"/>
      <c r="K25" s="1343"/>
      <c r="L25" s="1340">
        <f t="shared" si="0"/>
        <v>265386</v>
      </c>
      <c r="M25" s="1343" t="s">
        <v>2148</v>
      </c>
    </row>
    <row r="26" spans="2:14" ht="20.100000000000001" customHeight="1" x14ac:dyDescent="0.2">
      <c r="B26" s="1337" t="s">
        <v>2153</v>
      </c>
      <c r="C26" s="1341"/>
      <c r="D26" s="1342"/>
      <c r="E26" s="1343">
        <f>SUM(E22:E25)</f>
        <v>799658</v>
      </c>
      <c r="F26" s="1343">
        <f>SUM(F22:F25)</f>
        <v>1238144</v>
      </c>
      <c r="G26" s="1343">
        <f>SUM(G22:G25)</f>
        <v>1040317</v>
      </c>
      <c r="H26" s="1343"/>
      <c r="I26" s="1343">
        <f>SUM(I22:I25)</f>
        <v>1228854</v>
      </c>
      <c r="J26" s="1343"/>
      <c r="K26" s="1343">
        <f>SUM(K22:K24)</f>
        <v>337</v>
      </c>
      <c r="L26" s="1340">
        <f t="shared" si="0"/>
        <v>2269508</v>
      </c>
      <c r="M26" s="1343">
        <f>SUM(M22:M25)</f>
        <v>1830161</v>
      </c>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2083</v>
      </c>
      <c r="C53" s="179">
        <v>22</v>
      </c>
      <c r="D53" s="247" t="s">
        <v>1536</v>
      </c>
      <c r="E53" s="248"/>
      <c r="F53" s="249"/>
      <c r="G53" s="249" t="s">
        <v>1535</v>
      </c>
      <c r="H53" s="250">
        <v>35431</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2081</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t="s">
        <v>2082</v>
      </c>
      <c r="E118" s="322"/>
      <c r="F118" s="324"/>
      <c r="G118" s="1863"/>
      <c r="H118" s="322"/>
      <c r="I118" s="304"/>
    </row>
    <row r="119" spans="1:9" s="181" customFormat="1" ht="11.25" customHeight="1" x14ac:dyDescent="0.2">
      <c r="A119" s="325"/>
      <c r="B119" s="325"/>
      <c r="C119" s="326"/>
      <c r="D119" s="327" t="s">
        <v>378</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25" sqref="K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Ball-Chatham Community Unit School District #5</v>
      </c>
      <c r="C1" s="2463"/>
      <c r="D1" s="2463"/>
      <c r="E1" s="2463"/>
      <c r="F1" s="2463"/>
      <c r="G1" s="2463"/>
      <c r="H1" s="2463"/>
      <c r="I1" s="2463"/>
      <c r="J1" s="2463"/>
      <c r="K1" s="2463"/>
      <c r="L1" s="2463"/>
      <c r="M1" s="2463"/>
    </row>
    <row r="2" spans="2:14" ht="15" x14ac:dyDescent="0.2">
      <c r="B2" s="2460">
        <f>'Single Audit Cover'!E7</f>
        <v>51084005026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2151</v>
      </c>
      <c r="C11" s="1338"/>
      <c r="D11" s="1339"/>
      <c r="E11" s="1340"/>
      <c r="F11" s="1340"/>
      <c r="G11" s="1340"/>
      <c r="H11" s="1340"/>
      <c r="I11" s="1340"/>
      <c r="J11" s="1340"/>
      <c r="K11" s="1340"/>
      <c r="L11" s="1340">
        <f>+G11+I11+K11</f>
        <v>0</v>
      </c>
      <c r="M11" s="1340"/>
    </row>
    <row r="12" spans="2:14" ht="20.100000000000001" customHeight="1" x14ac:dyDescent="0.2">
      <c r="B12" s="1337" t="s">
        <v>2152</v>
      </c>
      <c r="C12" s="1341"/>
      <c r="D12" s="1342"/>
      <c r="E12" s="1343"/>
      <c r="F12" s="1343"/>
      <c r="G12" s="1343"/>
      <c r="H12" s="1343"/>
      <c r="I12" s="1343"/>
      <c r="J12" s="1343"/>
      <c r="K12" s="1343"/>
      <c r="L12" s="1340">
        <f t="shared" ref="L12:L27" si="0">+G12+I12+K12</f>
        <v>0</v>
      </c>
      <c r="M12" s="1343"/>
    </row>
    <row r="13" spans="2:14" ht="20.100000000000001" customHeight="1" x14ac:dyDescent="0.2">
      <c r="B13" s="1337" t="s">
        <v>2154</v>
      </c>
      <c r="C13" s="1341"/>
      <c r="D13" s="1342"/>
      <c r="E13" s="1343"/>
      <c r="F13" s="1343"/>
      <c r="G13" s="1343"/>
      <c r="H13" s="1343"/>
      <c r="I13" s="1343"/>
      <c r="J13" s="1343"/>
      <c r="K13" s="1343"/>
      <c r="L13" s="1340">
        <f t="shared" si="0"/>
        <v>0</v>
      </c>
      <c r="M13" s="1343"/>
    </row>
    <row r="14" spans="2:14" ht="20.100000000000001" customHeight="1" x14ac:dyDescent="0.2">
      <c r="B14" s="1337" t="s">
        <v>2155</v>
      </c>
      <c r="C14" s="1341" t="s">
        <v>2156</v>
      </c>
      <c r="D14" s="1342" t="s">
        <v>2157</v>
      </c>
      <c r="E14" s="1343">
        <v>24344</v>
      </c>
      <c r="F14" s="1343">
        <v>9662</v>
      </c>
      <c r="G14" s="1343">
        <v>34006</v>
      </c>
      <c r="H14" s="1343"/>
      <c r="I14" s="1343">
        <v>0</v>
      </c>
      <c r="J14" s="1343"/>
      <c r="K14" s="1343"/>
      <c r="L14" s="1340">
        <f t="shared" si="0"/>
        <v>34006</v>
      </c>
      <c r="M14" s="1343">
        <v>44014</v>
      </c>
    </row>
    <row r="15" spans="2:14" ht="20.100000000000001" customHeight="1" x14ac:dyDescent="0.2">
      <c r="B15" s="1337" t="s">
        <v>2158</v>
      </c>
      <c r="C15" s="1341" t="s">
        <v>2156</v>
      </c>
      <c r="D15" s="1342" t="s">
        <v>2159</v>
      </c>
      <c r="E15" s="1343"/>
      <c r="F15" s="1343">
        <v>17733</v>
      </c>
      <c r="G15" s="1343"/>
      <c r="H15" s="1343"/>
      <c r="I15" s="1343">
        <v>22953</v>
      </c>
      <c r="J15" s="1343"/>
      <c r="K15" s="1343"/>
      <c r="L15" s="1340">
        <f t="shared" si="0"/>
        <v>22953</v>
      </c>
      <c r="M15" s="1343">
        <v>36252</v>
      </c>
    </row>
    <row r="16" spans="2:14" ht="20.100000000000001" customHeight="1" x14ac:dyDescent="0.2">
      <c r="B16" s="1337" t="s">
        <v>2160</v>
      </c>
      <c r="C16" s="1341"/>
      <c r="D16" s="1342"/>
      <c r="E16" s="1343">
        <f>SUM(E14)</f>
        <v>24344</v>
      </c>
      <c r="F16" s="1343">
        <f>SUM(F14:F15)</f>
        <v>27395</v>
      </c>
      <c r="G16" s="1343">
        <f>SUM(G14:G15)</f>
        <v>34006</v>
      </c>
      <c r="H16" s="1343"/>
      <c r="I16" s="1343">
        <f>SUM(I14:I15)</f>
        <v>22953</v>
      </c>
      <c r="J16" s="1343"/>
      <c r="K16" s="1343">
        <f>SUM(K14:K15)</f>
        <v>0</v>
      </c>
      <c r="L16" s="1340">
        <f t="shared" si="0"/>
        <v>56959</v>
      </c>
      <c r="M16" s="1343">
        <f>SUM(M14:M15)</f>
        <v>80266</v>
      </c>
    </row>
    <row r="17" spans="2:14" ht="20.100000000000001" customHeight="1" x14ac:dyDescent="0.2">
      <c r="B17" s="1337" t="s">
        <v>2161</v>
      </c>
      <c r="C17" s="1341"/>
      <c r="D17" s="1342"/>
      <c r="E17" s="1343">
        <f>+E16+' SEFA'!E26</f>
        <v>824002</v>
      </c>
      <c r="F17" s="1343">
        <f>+F16+' SEFA'!F26</f>
        <v>1265539</v>
      </c>
      <c r="G17" s="1343">
        <f>+G16+' SEFA'!G26</f>
        <v>1074323</v>
      </c>
      <c r="H17" s="1343"/>
      <c r="I17" s="1343">
        <f>+I16+' SEFA'!I26</f>
        <v>1251807</v>
      </c>
      <c r="J17" s="1343"/>
      <c r="K17" s="1343">
        <f>+K16+' SEFA'!K26</f>
        <v>337</v>
      </c>
      <c r="L17" s="1340">
        <f t="shared" si="0"/>
        <v>2326467</v>
      </c>
      <c r="M17" s="1343">
        <f>+M16+' SEFA'!M26</f>
        <v>1910427</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2163</v>
      </c>
      <c r="C19" s="1341"/>
      <c r="D19" s="1342"/>
      <c r="E19" s="1343">
        <f>+E17+' SEFA'!E19+' SEFA'!E15</f>
        <v>1075658</v>
      </c>
      <c r="F19" s="1343">
        <f>+F17+' SEFA'!F19+' SEFA'!F15</f>
        <v>1670155</v>
      </c>
      <c r="G19" s="1343">
        <f>+G17+' SEFA'!G19+' SEFA'!G15</f>
        <v>1438886</v>
      </c>
      <c r="H19" s="1343"/>
      <c r="I19" s="1343">
        <f>+I17+' SEFA'!I19+' SEFA'!I15</f>
        <v>1714628</v>
      </c>
      <c r="J19" s="1343"/>
      <c r="K19" s="1343">
        <f>+K17+' SEFA'!K19+' SEFA'!K15</f>
        <v>16274</v>
      </c>
      <c r="L19" s="1340">
        <f>+G19+I19+K19</f>
        <v>3169788</v>
      </c>
      <c r="M19" s="1343">
        <f>+M17+' SEFA'!M19+' SEFA'!M15</f>
        <v>2912207</v>
      </c>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2164</v>
      </c>
      <c r="C21" s="1341"/>
      <c r="D21" s="1342"/>
      <c r="E21" s="1343"/>
      <c r="F21" s="1343"/>
      <c r="G21" s="1343"/>
      <c r="H21" s="1343"/>
      <c r="I21" s="1343"/>
      <c r="J21" s="1343"/>
      <c r="K21" s="1343"/>
      <c r="L21" s="1340">
        <f t="shared" si="0"/>
        <v>0</v>
      </c>
      <c r="M21" s="1343"/>
    </row>
    <row r="22" spans="2:14" ht="20.100000000000001" customHeight="1" x14ac:dyDescent="0.2">
      <c r="B22" s="1337" t="s">
        <v>2165</v>
      </c>
      <c r="C22" s="1341">
        <v>84.126000000000005</v>
      </c>
      <c r="D22" s="1342" t="s">
        <v>2166</v>
      </c>
      <c r="E22" s="1343"/>
      <c r="F22" s="1343">
        <v>53534</v>
      </c>
      <c r="G22" s="1343"/>
      <c r="H22" s="1343"/>
      <c r="I22" s="1343">
        <v>53534</v>
      </c>
      <c r="J22" s="1343"/>
      <c r="K22" s="1343"/>
      <c r="L22" s="1340">
        <f t="shared" si="0"/>
        <v>53534</v>
      </c>
      <c r="M22" s="1343" t="s">
        <v>2148</v>
      </c>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2162</v>
      </c>
      <c r="C24" s="1341"/>
      <c r="D24" s="1342"/>
      <c r="E24" s="1343">
        <f>+E22+E19</f>
        <v>1075658</v>
      </c>
      <c r="F24" s="1343">
        <f>+F22+F19</f>
        <v>1723689</v>
      </c>
      <c r="G24" s="1343">
        <f>+G22+G19</f>
        <v>1438886</v>
      </c>
      <c r="H24" s="1343"/>
      <c r="I24" s="1343">
        <f>+I22+I19</f>
        <v>1768162</v>
      </c>
      <c r="J24" s="1343"/>
      <c r="K24" s="1343">
        <f>+K22+K19</f>
        <v>16274</v>
      </c>
      <c r="L24" s="1340">
        <f t="shared" si="0"/>
        <v>3223322</v>
      </c>
      <c r="M24" s="1343">
        <f>+M19</f>
        <v>2912207</v>
      </c>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Ball-Chatham Community Unit School District #5</v>
      </c>
      <c r="C1" s="2463"/>
      <c r="D1" s="2463"/>
      <c r="E1" s="2463"/>
      <c r="F1" s="2463"/>
      <c r="G1" s="2463"/>
      <c r="H1" s="2463"/>
      <c r="I1" s="2463"/>
      <c r="J1" s="2463"/>
      <c r="K1" s="2463"/>
      <c r="L1" s="2463"/>
      <c r="M1" s="2463"/>
    </row>
    <row r="2" spans="2:14" ht="15" x14ac:dyDescent="0.2">
      <c r="B2" s="2460">
        <f>'Single Audit Cover'!E7</f>
        <v>51084005026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2167</v>
      </c>
      <c r="C11" s="1338"/>
      <c r="D11" s="1339"/>
      <c r="E11" s="1340"/>
      <c r="F11" s="1340"/>
      <c r="G11" s="1340"/>
      <c r="H11" s="1340"/>
      <c r="I11" s="1340"/>
      <c r="J11" s="1340"/>
      <c r="K11" s="1340"/>
      <c r="L11" s="1340">
        <f>+G11+I11+K11</f>
        <v>0</v>
      </c>
      <c r="M11" s="1340"/>
    </row>
    <row r="12" spans="2:14" ht="20.100000000000001" customHeight="1" x14ac:dyDescent="0.2">
      <c r="B12" s="1337" t="s">
        <v>2198</v>
      </c>
      <c r="C12" s="1341"/>
      <c r="D12" s="1342"/>
      <c r="E12" s="1343"/>
      <c r="F12" s="1343"/>
      <c r="G12" s="1343"/>
      <c r="H12" s="1343"/>
      <c r="I12" s="1343"/>
      <c r="J12" s="1343"/>
      <c r="K12" s="1343"/>
      <c r="L12" s="1340">
        <f t="shared" ref="L12:L27" si="0">+G12+I12+K12</f>
        <v>0</v>
      </c>
      <c r="M12" s="1343"/>
    </row>
    <row r="13" spans="2:14" ht="20.100000000000001" customHeight="1" x14ac:dyDescent="0.2">
      <c r="B13" s="1337" t="s">
        <v>2168</v>
      </c>
      <c r="C13" s="1341"/>
      <c r="D13" s="1342"/>
      <c r="E13" s="1343"/>
      <c r="F13" s="1343"/>
      <c r="G13" s="1343"/>
      <c r="H13" s="1343"/>
      <c r="I13" s="1343"/>
      <c r="J13" s="1343"/>
      <c r="K13" s="1343"/>
      <c r="L13" s="1340">
        <f t="shared" si="0"/>
        <v>0</v>
      </c>
      <c r="M13" s="1343"/>
    </row>
    <row r="14" spans="2:14" ht="20.100000000000001" customHeight="1" x14ac:dyDescent="0.2">
      <c r="B14" s="1337" t="s">
        <v>2169</v>
      </c>
      <c r="C14" s="1341">
        <v>10.555</v>
      </c>
      <c r="D14" s="1342" t="s">
        <v>2170</v>
      </c>
      <c r="E14" s="1343"/>
      <c r="F14" s="1343">
        <v>56970</v>
      </c>
      <c r="G14" s="1343"/>
      <c r="H14" s="1343"/>
      <c r="I14" s="1343">
        <v>56970</v>
      </c>
      <c r="J14" s="1343"/>
      <c r="K14" s="1343"/>
      <c r="L14" s="1340">
        <f t="shared" si="0"/>
        <v>56970</v>
      </c>
      <c r="M14" s="1343" t="s">
        <v>2148</v>
      </c>
    </row>
    <row r="15" spans="2:14" ht="20.100000000000001" customHeight="1" x14ac:dyDescent="0.2">
      <c r="B15" s="1337" t="s">
        <v>2171</v>
      </c>
      <c r="C15" s="1341"/>
      <c r="D15" s="1342"/>
      <c r="E15" s="1343"/>
      <c r="F15" s="1343"/>
      <c r="G15" s="1343"/>
      <c r="H15" s="1343"/>
      <c r="I15" s="1343"/>
      <c r="J15" s="1343"/>
      <c r="K15" s="1343"/>
      <c r="L15" s="1340">
        <f t="shared" si="0"/>
        <v>0</v>
      </c>
      <c r="M15" s="1343"/>
    </row>
    <row r="16" spans="2:14" ht="20.100000000000001" customHeight="1" x14ac:dyDescent="0.2">
      <c r="B16" s="1337" t="s">
        <v>2169</v>
      </c>
      <c r="C16" s="1341">
        <v>10.555</v>
      </c>
      <c r="D16" s="1342" t="s">
        <v>2170</v>
      </c>
      <c r="E16" s="1343"/>
      <c r="F16" s="1343">
        <v>51201</v>
      </c>
      <c r="G16" s="1343"/>
      <c r="H16" s="1343"/>
      <c r="I16" s="1343">
        <v>51201</v>
      </c>
      <c r="J16" s="1343"/>
      <c r="K16" s="1343"/>
      <c r="L16" s="1340">
        <f t="shared" si="0"/>
        <v>51201</v>
      </c>
      <c r="M16" s="1343" t="s">
        <v>2148</v>
      </c>
    </row>
    <row r="17" spans="2:14" ht="20.100000000000001" customHeight="1" x14ac:dyDescent="0.2">
      <c r="B17" s="1337" t="s">
        <v>2174</v>
      </c>
      <c r="C17" s="1341">
        <v>10.555</v>
      </c>
      <c r="D17" s="1342" t="s">
        <v>2172</v>
      </c>
      <c r="E17" s="1343">
        <v>267501</v>
      </c>
      <c r="F17" s="1343">
        <v>59295</v>
      </c>
      <c r="G17" s="1343">
        <v>267501</v>
      </c>
      <c r="H17" s="1343"/>
      <c r="I17" s="1343">
        <v>59295</v>
      </c>
      <c r="J17" s="1343"/>
      <c r="K17" s="1343"/>
      <c r="L17" s="1340">
        <f t="shared" si="0"/>
        <v>326796</v>
      </c>
      <c r="M17" s="1343" t="s">
        <v>2148</v>
      </c>
    </row>
    <row r="18" spans="2:14" ht="20.100000000000001" customHeight="1" x14ac:dyDescent="0.2">
      <c r="B18" s="1337" t="s">
        <v>2173</v>
      </c>
      <c r="C18" s="1341">
        <v>10.555</v>
      </c>
      <c r="D18" s="1342" t="s">
        <v>2175</v>
      </c>
      <c r="E18" s="1343"/>
      <c r="F18" s="1343">
        <v>300839</v>
      </c>
      <c r="G18" s="1343"/>
      <c r="H18" s="1343"/>
      <c r="I18" s="1343">
        <v>300839</v>
      </c>
      <c r="J18" s="1343"/>
      <c r="K18" s="1343"/>
      <c r="L18" s="1340">
        <f t="shared" si="0"/>
        <v>300839</v>
      </c>
      <c r="M18" s="1343" t="s">
        <v>2148</v>
      </c>
    </row>
    <row r="19" spans="2:14" ht="20.100000000000001" customHeight="1" x14ac:dyDescent="0.2">
      <c r="B19" s="1337" t="s">
        <v>2176</v>
      </c>
      <c r="C19" s="1341"/>
      <c r="D19" s="1342"/>
      <c r="E19" s="1343">
        <f>SUM(E14:E18)</f>
        <v>267501</v>
      </c>
      <c r="F19" s="1343">
        <f>SUM(F14:F18)</f>
        <v>468305</v>
      </c>
      <c r="G19" s="1343">
        <f>SUM(G14:G18)</f>
        <v>267501</v>
      </c>
      <c r="H19" s="1343"/>
      <c r="I19" s="1343">
        <f>SUM(I14:I18)</f>
        <v>468305</v>
      </c>
      <c r="J19" s="1343"/>
      <c r="K19" s="1343">
        <f>SUM(K14:K18)</f>
        <v>0</v>
      </c>
      <c r="L19" s="1340">
        <f>+G19+I19+K19</f>
        <v>735806</v>
      </c>
      <c r="M19" s="1343" t="s">
        <v>2148</v>
      </c>
    </row>
    <row r="20" spans="2:14" ht="20.100000000000001" customHeight="1" x14ac:dyDescent="0.2">
      <c r="B20" s="1337" t="s">
        <v>2179</v>
      </c>
      <c r="C20" s="1341">
        <v>10.555999999999999</v>
      </c>
      <c r="D20" s="1342" t="s">
        <v>2178</v>
      </c>
      <c r="E20" s="1343">
        <v>1418</v>
      </c>
      <c r="F20" s="1343">
        <v>216</v>
      </c>
      <c r="G20" s="1343">
        <v>1418</v>
      </c>
      <c r="H20" s="1343"/>
      <c r="I20" s="1343">
        <v>216</v>
      </c>
      <c r="J20" s="1343"/>
      <c r="K20" s="1343"/>
      <c r="L20" s="1340">
        <f t="shared" si="0"/>
        <v>1634</v>
      </c>
      <c r="M20" s="1343" t="s">
        <v>2148</v>
      </c>
    </row>
    <row r="21" spans="2:14" ht="20.100000000000001" customHeight="1" x14ac:dyDescent="0.2">
      <c r="B21" s="1337" t="s">
        <v>2180</v>
      </c>
      <c r="C21" s="1341">
        <v>10.555999999999999</v>
      </c>
      <c r="D21" s="1342" t="s">
        <v>2181</v>
      </c>
      <c r="E21" s="1343"/>
      <c r="F21" s="1343">
        <v>1055</v>
      </c>
      <c r="G21" s="1343"/>
      <c r="H21" s="1343"/>
      <c r="I21" s="1343">
        <v>1055</v>
      </c>
      <c r="J21" s="1343"/>
      <c r="K21" s="1343"/>
      <c r="L21" s="1340">
        <f t="shared" si="0"/>
        <v>1055</v>
      </c>
      <c r="M21" s="1343" t="s">
        <v>2148</v>
      </c>
    </row>
    <row r="22" spans="2:14" ht="20.100000000000001" customHeight="1" x14ac:dyDescent="0.2">
      <c r="B22" s="1337" t="s">
        <v>2182</v>
      </c>
      <c r="C22" s="1341"/>
      <c r="D22" s="1342"/>
      <c r="E22" s="1343">
        <f>SUM(E20)</f>
        <v>1418</v>
      </c>
      <c r="F22" s="1343">
        <f>SUM(F20:F21)</f>
        <v>1271</v>
      </c>
      <c r="G22" s="1343">
        <f>SUM(G20:G21)</f>
        <v>1418</v>
      </c>
      <c r="H22" s="1343"/>
      <c r="I22" s="1343">
        <f>SUM(I20:I21)</f>
        <v>1271</v>
      </c>
      <c r="J22" s="1343"/>
      <c r="K22" s="1343">
        <f>SUM(K20:K21)</f>
        <v>0</v>
      </c>
      <c r="L22" s="1340">
        <f t="shared" si="0"/>
        <v>2689</v>
      </c>
      <c r="M22" s="1343" t="s">
        <v>2148</v>
      </c>
    </row>
    <row r="23" spans="2:14" ht="20.100000000000001" customHeight="1" x14ac:dyDescent="0.2">
      <c r="B23" s="1337" t="s">
        <v>2183</v>
      </c>
      <c r="C23" s="1341">
        <v>10.553000000000001</v>
      </c>
      <c r="D23" s="1342" t="s">
        <v>2184</v>
      </c>
      <c r="E23" s="1343">
        <v>40742</v>
      </c>
      <c r="F23" s="1343">
        <v>8479</v>
      </c>
      <c r="G23" s="1343">
        <v>40742</v>
      </c>
      <c r="H23" s="1343"/>
      <c r="I23" s="1343">
        <v>8479</v>
      </c>
      <c r="J23" s="1343"/>
      <c r="K23" s="1343"/>
      <c r="L23" s="1340">
        <f t="shared" si="0"/>
        <v>49221</v>
      </c>
      <c r="M23" s="1343" t="s">
        <v>2148</v>
      </c>
    </row>
    <row r="24" spans="2:14" ht="20.100000000000001" customHeight="1" x14ac:dyDescent="0.2">
      <c r="B24" s="1337" t="s">
        <v>2185</v>
      </c>
      <c r="C24" s="1341">
        <v>10.553000000000001</v>
      </c>
      <c r="D24" s="1342" t="s">
        <v>2186</v>
      </c>
      <c r="E24" s="1343"/>
      <c r="F24" s="1343">
        <v>46296</v>
      </c>
      <c r="G24" s="1343"/>
      <c r="H24" s="1343"/>
      <c r="I24" s="1343">
        <v>46296</v>
      </c>
      <c r="J24" s="1343"/>
      <c r="K24" s="1343"/>
      <c r="L24" s="1340">
        <f t="shared" si="0"/>
        <v>46296</v>
      </c>
      <c r="M24" s="1343" t="s">
        <v>2148</v>
      </c>
    </row>
    <row r="25" spans="2:14" ht="20.100000000000001" customHeight="1" x14ac:dyDescent="0.2">
      <c r="B25" s="1337" t="s">
        <v>2187</v>
      </c>
      <c r="C25" s="1341"/>
      <c r="D25" s="1342"/>
      <c r="E25" s="1343">
        <f>SUM(E23)</f>
        <v>40742</v>
      </c>
      <c r="F25" s="1343">
        <f>SUM(F23:F24)</f>
        <v>54775</v>
      </c>
      <c r="G25" s="1343">
        <f>SUM(G23:G24)</f>
        <v>40742</v>
      </c>
      <c r="H25" s="1343"/>
      <c r="I25" s="1343">
        <f>SUM(I23:I24)</f>
        <v>54775</v>
      </c>
      <c r="J25" s="1343"/>
      <c r="K25" s="1343">
        <f>SUM(K23:K24)</f>
        <v>0</v>
      </c>
      <c r="L25" s="1340">
        <f t="shared" si="0"/>
        <v>95517</v>
      </c>
      <c r="M25" s="1343" t="s">
        <v>2148</v>
      </c>
    </row>
    <row r="26" spans="2:14" ht="20.100000000000001" customHeight="1" x14ac:dyDescent="0.2">
      <c r="B26" s="1337" t="s">
        <v>2188</v>
      </c>
      <c r="C26" s="1341"/>
      <c r="D26" s="1342"/>
      <c r="E26" s="1343">
        <f>+E25+E22+E19</f>
        <v>309661</v>
      </c>
      <c r="F26" s="1343">
        <f>+F25+F22+F19-F14</f>
        <v>467381</v>
      </c>
      <c r="G26" s="1343">
        <f>+G25+G22+G19</f>
        <v>309661</v>
      </c>
      <c r="H26" s="1343"/>
      <c r="I26" s="1343">
        <f>+I25+I22+I19-I14</f>
        <v>467381</v>
      </c>
      <c r="J26" s="1343"/>
      <c r="K26" s="1343">
        <f>+K25+K22+K19</f>
        <v>0</v>
      </c>
      <c r="L26" s="1340">
        <f t="shared" si="0"/>
        <v>777042</v>
      </c>
      <c r="M26" s="1343" t="s">
        <v>2148</v>
      </c>
    </row>
    <row r="27" spans="2:14" ht="20.100000000000001" customHeight="1" x14ac:dyDescent="0.2">
      <c r="B27" s="1337" t="s">
        <v>2189</v>
      </c>
      <c r="C27" s="1341"/>
      <c r="D27" s="1342"/>
      <c r="E27" s="1343">
        <f>+E26+E14</f>
        <v>309661</v>
      </c>
      <c r="F27" s="1343">
        <f>+F26+F14</f>
        <v>524351</v>
      </c>
      <c r="G27" s="1343">
        <f>+G26+G14</f>
        <v>309661</v>
      </c>
      <c r="H27" s="1343"/>
      <c r="I27" s="1343">
        <f>+I26+I14</f>
        <v>524351</v>
      </c>
      <c r="J27" s="1343"/>
      <c r="K27" s="1343">
        <f>+K26+K14</f>
        <v>0</v>
      </c>
      <c r="L27" s="1340">
        <f t="shared" si="0"/>
        <v>834012</v>
      </c>
      <c r="M27" s="1343" t="s">
        <v>2148</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8" sqref="M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Ball-Chatham Community Unit School District #5</v>
      </c>
      <c r="C1" s="2463"/>
      <c r="D1" s="2463"/>
      <c r="E1" s="2463"/>
      <c r="F1" s="2463"/>
      <c r="G1" s="2463"/>
      <c r="H1" s="2463"/>
      <c r="I1" s="2463"/>
      <c r="J1" s="2463"/>
      <c r="K1" s="2463"/>
      <c r="L1" s="2463"/>
      <c r="M1" s="2463"/>
    </row>
    <row r="2" spans="2:14" ht="15" x14ac:dyDescent="0.2">
      <c r="B2" s="2460">
        <f>'Single Audit Cover'!E7</f>
        <v>51084005026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1945</v>
      </c>
      <c r="K8" s="1319" t="s">
        <v>1322</v>
      </c>
      <c r="L8" s="1320" t="s">
        <v>1318</v>
      </c>
      <c r="M8" s="1321" t="s">
        <v>30</v>
      </c>
    </row>
    <row r="9" spans="2:14" ht="14.25" x14ac:dyDescent="0.2">
      <c r="B9" s="1325" t="s">
        <v>1320</v>
      </c>
      <c r="C9" s="1313" t="s">
        <v>1834</v>
      </c>
      <c r="D9" s="1314" t="s">
        <v>1835</v>
      </c>
      <c r="E9" s="1322" t="s">
        <v>1662</v>
      </c>
      <c r="F9" s="1323" t="s">
        <v>1945</v>
      </c>
      <c r="G9" s="1324" t="s">
        <v>1662</v>
      </c>
      <c r="H9" s="1317" t="s">
        <v>1663</v>
      </c>
      <c r="I9" s="1319" t="s">
        <v>1945</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2190</v>
      </c>
      <c r="C11" s="1338"/>
      <c r="D11" s="1339"/>
      <c r="E11" s="1340"/>
      <c r="F11" s="1340"/>
      <c r="G11" s="1340"/>
      <c r="H11" s="1340"/>
      <c r="I11" s="1340"/>
      <c r="J11" s="1340"/>
      <c r="K11" s="1340"/>
      <c r="L11" s="1340">
        <f>+G11+I11+K11</f>
        <v>0</v>
      </c>
      <c r="M11" s="1340"/>
    </row>
    <row r="12" spans="2:14" ht="20.100000000000001" customHeight="1" x14ac:dyDescent="0.2">
      <c r="B12" s="1337" t="s">
        <v>2191</v>
      </c>
      <c r="C12" s="1341"/>
      <c r="D12" s="1342"/>
      <c r="E12" s="1343"/>
      <c r="F12" s="1343"/>
      <c r="G12" s="1343"/>
      <c r="H12" s="1343"/>
      <c r="I12" s="1343"/>
      <c r="J12" s="1343"/>
      <c r="K12" s="1343"/>
      <c r="L12" s="1340">
        <f t="shared" ref="L12:L27" si="0">+G12+I12+K12</f>
        <v>0</v>
      </c>
      <c r="M12" s="1343"/>
    </row>
    <row r="13" spans="2:14" ht="20.100000000000001" customHeight="1" x14ac:dyDescent="0.2">
      <c r="B13" s="1337" t="s">
        <v>2192</v>
      </c>
      <c r="C13" s="1341">
        <v>93.778000000000006</v>
      </c>
      <c r="D13" s="1342" t="s">
        <v>2193</v>
      </c>
      <c r="E13" s="1343">
        <v>39339</v>
      </c>
      <c r="F13" s="1343">
        <v>20711</v>
      </c>
      <c r="G13" s="1343">
        <v>58076</v>
      </c>
      <c r="H13" s="1343"/>
      <c r="I13" s="1343"/>
      <c r="J13" s="1343"/>
      <c r="K13" s="1343"/>
      <c r="L13" s="1340">
        <f t="shared" si="0"/>
        <v>58076</v>
      </c>
      <c r="M13" s="1343" t="s">
        <v>2148</v>
      </c>
    </row>
    <row r="14" spans="2:14" ht="20.100000000000001" customHeight="1" x14ac:dyDescent="0.2">
      <c r="B14" s="1337" t="s">
        <v>2194</v>
      </c>
      <c r="C14" s="1341">
        <v>93.778000000000006</v>
      </c>
      <c r="D14" s="1342" t="s">
        <v>2195</v>
      </c>
      <c r="E14" s="1343"/>
      <c r="F14" s="1343">
        <v>59148</v>
      </c>
      <c r="G14" s="1343"/>
      <c r="H14" s="1343"/>
      <c r="I14" s="1343">
        <v>61671</v>
      </c>
      <c r="J14" s="1343"/>
      <c r="K14" s="1343"/>
      <c r="L14" s="1340">
        <f t="shared" si="0"/>
        <v>61671</v>
      </c>
      <c r="M14" s="1343" t="s">
        <v>2148</v>
      </c>
    </row>
    <row r="15" spans="2:14" ht="20.100000000000001" customHeight="1" x14ac:dyDescent="0.2">
      <c r="B15" s="1337" t="s">
        <v>2196</v>
      </c>
      <c r="C15" s="1341"/>
      <c r="D15" s="1342"/>
      <c r="E15" s="1343">
        <f>E13</f>
        <v>39339</v>
      </c>
      <c r="F15" s="1343">
        <f>+F14+F13</f>
        <v>79859</v>
      </c>
      <c r="G15" s="1343">
        <f>+G13</f>
        <v>58076</v>
      </c>
      <c r="H15" s="1343"/>
      <c r="I15" s="1343">
        <f>+I14</f>
        <v>61671</v>
      </c>
      <c r="J15" s="1343"/>
      <c r="K15" s="1343"/>
      <c r="L15" s="1340">
        <f t="shared" si="0"/>
        <v>119747</v>
      </c>
      <c r="M15" s="1343" t="s">
        <v>2148</v>
      </c>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2197</v>
      </c>
      <c r="C17" s="1341"/>
      <c r="D17" s="1342"/>
      <c r="E17" s="1343">
        <f>+E15+' SEFA (3)'!E27+' SEFA (2)'!E24</f>
        <v>1424658</v>
      </c>
      <c r="F17" s="1343">
        <f>+F15+' SEFA (3)'!F27+' SEFA (2)'!F24</f>
        <v>2327899</v>
      </c>
      <c r="G17" s="1343">
        <f>+G15+' SEFA (3)'!G27+' SEFA (2)'!G24</f>
        <v>1806623</v>
      </c>
      <c r="H17" s="1343"/>
      <c r="I17" s="1343">
        <f>+I15+' SEFA (3)'!I27+' SEFA (2)'!I24</f>
        <v>2354184</v>
      </c>
      <c r="J17" s="1343"/>
      <c r="K17" s="1343">
        <f>+K15+' SEFA (3)'!K27+' SEFA (2)'!K24</f>
        <v>16274</v>
      </c>
      <c r="L17" s="1340">
        <f t="shared" si="0"/>
        <v>4177081</v>
      </c>
      <c r="M17" s="1343">
        <f>+' SEFA (2)'!M24</f>
        <v>2912207</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+G19+I19+K19</f>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Ball-Chatham Community Unit School District #5</v>
      </c>
      <c r="C1" s="2478"/>
      <c r="D1" s="2478"/>
      <c r="E1" s="2478"/>
      <c r="F1" s="2478"/>
      <c r="G1" s="2478"/>
      <c r="H1" s="2478"/>
      <c r="I1" s="2478"/>
      <c r="J1" s="1422"/>
    </row>
    <row r="2" spans="2:10" s="317" customFormat="1" ht="12.75" customHeight="1" x14ac:dyDescent="0.2">
      <c r="B2" s="2479">
        <f>'Single Audit Cover'!E7</f>
        <v>51084005026</v>
      </c>
      <c r="C2" s="2480"/>
      <c r="D2" s="2480"/>
      <c r="E2" s="2480"/>
      <c r="F2" s="2480"/>
      <c r="G2" s="2480"/>
      <c r="H2" s="2480"/>
      <c r="I2" s="2480"/>
      <c r="J2" s="1422"/>
    </row>
    <row r="3" spans="2:10" s="317" customFormat="1" ht="12.75" customHeight="1" x14ac:dyDescent="0.2">
      <c r="B3" s="2481" t="s">
        <v>1346</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1345</v>
      </c>
      <c r="C7" s="2482"/>
      <c r="D7" s="2482"/>
      <c r="E7" s="2482"/>
      <c r="F7" s="2482"/>
      <c r="G7" s="2482"/>
      <c r="H7" s="2482"/>
      <c r="I7" s="2482"/>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3" t="s">
        <v>2199</v>
      </c>
      <c r="D11" s="2483"/>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2083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2083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2083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2083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2083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4" t="s">
        <v>2200</v>
      </c>
      <c r="E29" s="2484"/>
      <c r="F29" s="2484"/>
      <c r="G29" s="2484"/>
      <c r="H29" s="2484"/>
      <c r="I29" s="2484"/>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2083</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5" t="s">
        <v>1850</v>
      </c>
      <c r="D37" s="2486"/>
      <c r="E37" s="2486"/>
      <c r="F37" s="2487"/>
      <c r="G37" s="2485" t="s">
        <v>1673</v>
      </c>
      <c r="H37" s="2486"/>
      <c r="I37" s="2487"/>
    </row>
    <row r="38" spans="2:9" ht="16.5" customHeight="1" x14ac:dyDescent="0.2">
      <c r="B38" s="1444" t="s">
        <v>2201</v>
      </c>
      <c r="C38" s="2473" t="s">
        <v>2202</v>
      </c>
      <c r="D38" s="2474"/>
      <c r="E38" s="2474"/>
      <c r="F38" s="2475"/>
      <c r="G38" s="2488">
        <v>1251807</v>
      </c>
      <c r="H38" s="2489"/>
      <c r="I38" s="2490"/>
    </row>
    <row r="39" spans="2:9" ht="16.5" customHeight="1" x14ac:dyDescent="0.2">
      <c r="B39" s="1444" t="s">
        <v>2203</v>
      </c>
      <c r="C39" s="2473" t="s">
        <v>2204</v>
      </c>
      <c r="D39" s="2474"/>
      <c r="E39" s="2474"/>
      <c r="F39" s="2475"/>
      <c r="G39" s="2476">
        <v>524351</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1776158</v>
      </c>
      <c r="H43" s="2469"/>
      <c r="I43" s="2469"/>
    </row>
    <row r="44" spans="2:9" ht="12.75" customHeight="1" x14ac:dyDescent="0.2"/>
    <row r="45" spans="2:9" ht="12.75" customHeight="1" x14ac:dyDescent="0.2">
      <c r="B45" s="1435" t="s">
        <v>1947</v>
      </c>
      <c r="D45" s="2470">
        <f>+' SEFA (4)'!I17</f>
        <v>2354184</v>
      </c>
      <c r="E45" s="2471"/>
    </row>
    <row r="46" spans="2:9" ht="5.25" customHeight="1" x14ac:dyDescent="0.2">
      <c r="B46" s="1445"/>
      <c r="D46" s="1446"/>
      <c r="E46" s="1447"/>
    </row>
    <row r="47" spans="2:9" ht="12.75" customHeight="1" x14ac:dyDescent="0.2">
      <c r="B47" s="1300" t="s">
        <v>1675</v>
      </c>
      <c r="C47" s="1300"/>
      <c r="D47" s="1448">
        <f>+G43/D45</f>
        <v>0.75446863966452915</v>
      </c>
      <c r="E47" s="1449"/>
      <c r="F47" s="1450"/>
      <c r="I47" s="1451"/>
    </row>
    <row r="48" spans="2:9" ht="9.9499999999999993" customHeight="1" x14ac:dyDescent="0.2"/>
    <row r="49" spans="1:9" x14ac:dyDescent="0.2">
      <c r="B49" s="1368" t="s">
        <v>1334</v>
      </c>
      <c r="C49" s="1282"/>
      <c r="D49" s="1282"/>
      <c r="E49" s="2472">
        <v>750000</v>
      </c>
      <c r="F49" s="2472"/>
      <c r="G49" s="2472"/>
      <c r="H49" s="322"/>
    </row>
    <row r="51" spans="1:9" ht="13.5" customHeight="1" x14ac:dyDescent="0.2">
      <c r="B51" s="1368" t="s">
        <v>1333</v>
      </c>
      <c r="C51" s="1282"/>
      <c r="E51" s="1438"/>
      <c r="F51" s="1300" t="s">
        <v>939</v>
      </c>
      <c r="G51" s="1438" t="s">
        <v>2083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Ball-Chatham Community Unit School District #5</v>
      </c>
      <c r="C1" s="2477"/>
      <c r="D1" s="2477"/>
      <c r="E1" s="2477"/>
      <c r="F1" s="2477"/>
      <c r="G1" s="2477"/>
      <c r="H1" s="2477"/>
      <c r="I1" s="2477"/>
      <c r="J1" s="2477"/>
      <c r="K1" s="2477"/>
      <c r="L1" s="1374"/>
      <c r="M1" s="1374"/>
    </row>
    <row r="2" spans="1:13" ht="12" customHeight="1" x14ac:dyDescent="0.2">
      <c r="B2" s="2479">
        <f>'Single Audit Cover'!E7</f>
        <v>51084005026</v>
      </c>
      <c r="C2" s="2479"/>
      <c r="D2" s="2479"/>
      <c r="E2" s="2479"/>
      <c r="F2" s="2479"/>
      <c r="G2" s="2479"/>
      <c r="H2" s="2479"/>
      <c r="I2" s="2479"/>
      <c r="J2" s="2479"/>
      <c r="K2" s="2479"/>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1948</v>
      </c>
      <c r="D10" s="1386" t="s">
        <v>2148</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Ball-Chatham Community Unit School District #5</v>
      </c>
      <c r="C1" s="2500"/>
      <c r="D1" s="2500"/>
      <c r="E1" s="2500"/>
      <c r="F1" s="2500"/>
      <c r="G1" s="2500"/>
      <c r="H1" s="2500"/>
      <c r="I1" s="2500"/>
      <c r="J1" s="2500"/>
      <c r="K1" s="2500"/>
      <c r="L1" s="1465"/>
    </row>
    <row r="2" spans="1:12" ht="12.75" customHeight="1" x14ac:dyDescent="0.2">
      <c r="B2" s="2501">
        <f>'Single Audit Cover'!E7</f>
        <v>51084005026</v>
      </c>
      <c r="C2" s="2501"/>
      <c r="D2" s="2501"/>
      <c r="E2" s="2501"/>
      <c r="F2" s="2501"/>
      <c r="G2" s="2501"/>
      <c r="H2" s="2501"/>
      <c r="I2" s="2501"/>
      <c r="J2" s="2501"/>
      <c r="K2" s="2501"/>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t="s">
        <v>2148</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7"/>
      <c r="E14" s="2497"/>
      <c r="F14" s="2497"/>
      <c r="H14" s="1475" t="s">
        <v>1369</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8"/>
      <c r="E16" s="2498"/>
      <c r="F16" s="2498"/>
      <c r="G16" s="2498"/>
      <c r="H16" s="2498"/>
      <c r="I16" s="2498"/>
      <c r="J16" s="2498"/>
      <c r="K16" s="2498"/>
      <c r="L16" s="322"/>
    </row>
    <row r="17" spans="2:12" ht="13.5" customHeight="1" x14ac:dyDescent="0.2">
      <c r="B17" s="1387" t="s">
        <v>1367</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Ball-Chatham Community Unit School District #5</v>
      </c>
      <c r="C1" s="2477"/>
      <c r="D1" s="2477"/>
      <c r="E1" s="1491"/>
    </row>
    <row r="2" spans="2:5" s="1282" customFormat="1" ht="12.75" customHeight="1" x14ac:dyDescent="0.2">
      <c r="B2" s="2479">
        <f>'Single Audit Cover'!E7</f>
        <v>51084005026</v>
      </c>
      <c r="C2" s="2479"/>
      <c r="D2" s="2479"/>
      <c r="E2" s="1492"/>
    </row>
    <row r="3" spans="2:5" ht="12.75" customHeight="1" x14ac:dyDescent="0.2">
      <c r="B3" s="2493" t="s">
        <v>1865</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2205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L10" sqref="L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771510203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2.7467999999999999E-2</v>
      </c>
      <c r="E10" s="356" t="s">
        <v>1061</v>
      </c>
      <c r="F10" s="355">
        <v>5.4140000000000004E-3</v>
      </c>
      <c r="G10" s="356" t="s">
        <v>1061</v>
      </c>
      <c r="H10" s="355">
        <v>1.8500000000000001E-3</v>
      </c>
      <c r="I10" s="356" t="s">
        <v>1062</v>
      </c>
      <c r="J10" s="1754">
        <f>ROUND(D10+F10+H10,5)</f>
        <v>3.4729999999999997E-2</v>
      </c>
      <c r="K10" s="222"/>
      <c r="L10" s="355">
        <v>1.5100000000000001E-4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44129337</v>
      </c>
      <c r="E16" s="356"/>
      <c r="F16" s="1755">
        <f>SUM('Acct Summary 7-8'!C17,'Acct Summary 7-8'!D17,'Acct Summary 7-8'!F17)</f>
        <v>38578252</v>
      </c>
      <c r="G16" s="356"/>
      <c r="H16" s="1755">
        <f>SUM(D16-F16)</f>
        <v>5551085</v>
      </c>
      <c r="I16" s="222"/>
      <c r="J16" s="1755">
        <f>SUM('Acct Summary 7-8'!C81,'Acct Summary 7-8'!D81,'Acct Summary 7-8'!F81,'Acct Summary 7-8'!I81)</f>
        <v>23583135</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106468408.01400001</v>
      </c>
      <c r="I31" s="368"/>
      <c r="J31" s="222"/>
      <c r="K31" s="222"/>
      <c r="L31" s="222"/>
      <c r="M31" s="222"/>
    </row>
    <row r="32" spans="1:13" ht="13.35" customHeight="1" x14ac:dyDescent="0.2">
      <c r="B32" s="369" t="s">
        <v>2083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48990000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Ball-Chatham Community Unit School District #5</v>
      </c>
      <c r="E7" s="391"/>
      <c r="G7" s="252"/>
      <c r="H7" s="387"/>
      <c r="I7" s="387"/>
      <c r="J7" s="387"/>
      <c r="K7" s="387"/>
      <c r="L7" s="329"/>
      <c r="M7" s="329"/>
      <c r="N7" s="329"/>
      <c r="O7" s="329"/>
      <c r="P7" s="329"/>
    </row>
    <row r="8" spans="1:18" ht="12.75" x14ac:dyDescent="0.2">
      <c r="A8" s="329"/>
      <c r="B8" s="329"/>
      <c r="C8" s="389" t="s">
        <v>1186</v>
      </c>
      <c r="D8" s="392">
        <f>COVER!A13</f>
        <v>51084005026</v>
      </c>
      <c r="E8" s="393"/>
      <c r="G8" s="329"/>
      <c r="H8" s="329"/>
      <c r="I8" s="329"/>
      <c r="J8" s="329"/>
      <c r="K8" s="329"/>
      <c r="L8" s="329"/>
      <c r="M8" s="329"/>
      <c r="N8" s="329"/>
      <c r="O8" s="329"/>
      <c r="P8" s="329"/>
    </row>
    <row r="9" spans="1:18" ht="12.75" x14ac:dyDescent="0.2">
      <c r="A9" s="329"/>
      <c r="B9" s="329"/>
      <c r="C9" s="389" t="s">
        <v>736</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23583135</v>
      </c>
      <c r="I12" s="404"/>
      <c r="J12" s="404"/>
      <c r="K12" s="405">
        <f>TRUNC((H12/H13*100000),5)/100000</f>
        <v>0.53440945639999993</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44129337</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38578252</v>
      </c>
      <c r="I17" s="404"/>
      <c r="J17" s="416"/>
      <c r="K17" s="405">
        <f>TRUNC((H17/H18*100000),5)/100000</f>
        <v>0.87420873779999997</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44129337</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23913150</v>
      </c>
      <c r="I24" s="422"/>
      <c r="J24" s="422"/>
      <c r="K24" s="423">
        <f>TRUNC(((H24/H25*100000)/100000),2)</f>
        <v>223.14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107161.81111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22775366.947659999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48990000</v>
      </c>
      <c r="I32" s="420"/>
      <c r="J32" s="420"/>
      <c r="K32" s="423">
        <f>TRUNC(100-((((H32/H33*100))*100)/100),2)</f>
        <v>53.98</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106468408.01400001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39" sqref="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11904360</v>
      </c>
      <c r="D4" s="466">
        <v>7456159</v>
      </c>
      <c r="E4" s="466">
        <v>3066402</v>
      </c>
      <c r="F4" s="466">
        <v>2290414</v>
      </c>
      <c r="G4" s="466">
        <v>1132405</v>
      </c>
      <c r="H4" s="466"/>
      <c r="I4" s="466">
        <v>2262217</v>
      </c>
      <c r="J4" s="467"/>
      <c r="K4" s="466">
        <v>946742</v>
      </c>
      <c r="L4" s="466">
        <v>676908</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11904360</v>
      </c>
      <c r="D13" s="1759">
        <f t="shared" ref="D13:L13" si="0">SUM(D4:D12)</f>
        <v>7456159</v>
      </c>
      <c r="E13" s="1759">
        <f t="shared" si="0"/>
        <v>3066402</v>
      </c>
      <c r="F13" s="1759">
        <f t="shared" si="0"/>
        <v>2290414</v>
      </c>
      <c r="G13" s="1759">
        <f t="shared" si="0"/>
        <v>1132405</v>
      </c>
      <c r="H13" s="1759">
        <f t="shared" si="0"/>
        <v>0</v>
      </c>
      <c r="I13" s="1759">
        <f t="shared" si="0"/>
        <v>2262217</v>
      </c>
      <c r="J13" s="1759">
        <f t="shared" si="0"/>
        <v>0</v>
      </c>
      <c r="K13" s="1759">
        <f t="shared" si="0"/>
        <v>946742</v>
      </c>
      <c r="L13" s="1759">
        <f t="shared" si="0"/>
        <v>676908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4426429</v>
      </c>
      <c r="N16" s="484"/>
    </row>
    <row r="17" spans="1:14" s="485" customFormat="1" ht="12.75" customHeight="1" x14ac:dyDescent="0.2">
      <c r="A17" s="482" t="s">
        <v>1469</v>
      </c>
      <c r="B17" s="483">
        <v>230</v>
      </c>
      <c r="C17" s="477"/>
      <c r="D17" s="477"/>
      <c r="E17" s="477"/>
      <c r="F17" s="477"/>
      <c r="G17" s="477"/>
      <c r="H17" s="477"/>
      <c r="I17" s="477"/>
      <c r="J17" s="477"/>
      <c r="K17" s="477"/>
      <c r="L17" s="477"/>
      <c r="M17" s="467">
        <v>111304746</v>
      </c>
      <c r="N17" s="484"/>
    </row>
    <row r="18" spans="1:14" s="485" customFormat="1" ht="12.75" customHeight="1" x14ac:dyDescent="0.2">
      <c r="A18" s="482" t="s">
        <v>1470</v>
      </c>
      <c r="B18" s="483">
        <v>240</v>
      </c>
      <c r="C18" s="477"/>
      <c r="D18" s="477"/>
      <c r="E18" s="477"/>
      <c r="F18" s="477"/>
      <c r="G18" s="477"/>
      <c r="H18" s="477"/>
      <c r="I18" s="477"/>
      <c r="J18" s="477"/>
      <c r="K18" s="477"/>
      <c r="L18" s="477"/>
      <c r="M18" s="467">
        <v>8341565</v>
      </c>
      <c r="N18" s="484"/>
    </row>
    <row r="19" spans="1:14" s="485" customFormat="1" ht="12.75" customHeight="1" x14ac:dyDescent="0.2">
      <c r="A19" s="482" t="s">
        <v>1471</v>
      </c>
      <c r="B19" s="483">
        <v>250</v>
      </c>
      <c r="C19" s="477"/>
      <c r="D19" s="477"/>
      <c r="E19" s="477"/>
      <c r="F19" s="477"/>
      <c r="G19" s="477"/>
      <c r="H19" s="477"/>
      <c r="I19" s="477"/>
      <c r="J19" s="477"/>
      <c r="K19" s="477"/>
      <c r="L19" s="477"/>
      <c r="M19" s="467">
        <v>15066311</v>
      </c>
      <c r="N19" s="484"/>
    </row>
    <row r="20" spans="1:14" s="485" customFormat="1" ht="12.75" customHeight="1" x14ac:dyDescent="0.2">
      <c r="A20" s="482" t="s">
        <v>1472</v>
      </c>
      <c r="B20" s="483">
        <v>260</v>
      </c>
      <c r="C20" s="477"/>
      <c r="D20" s="477"/>
      <c r="E20" s="477"/>
      <c r="F20" s="477"/>
      <c r="G20" s="477"/>
      <c r="H20" s="477"/>
      <c r="I20" s="477"/>
      <c r="J20" s="477"/>
      <c r="K20" s="477"/>
      <c r="L20" s="477"/>
      <c r="M20" s="467">
        <v>68279</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3066402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45923598</v>
      </c>
    </row>
    <row r="23" spans="1:14" ht="13.5" customHeight="1" thickBot="1" x14ac:dyDescent="0.25">
      <c r="A23" s="1758" t="s">
        <v>663</v>
      </c>
      <c r="B23" s="1763"/>
      <c r="C23" s="468"/>
      <c r="D23" s="468"/>
      <c r="E23" s="468"/>
      <c r="F23" s="468"/>
      <c r="G23" s="468"/>
      <c r="H23" s="468"/>
      <c r="I23" s="468"/>
      <c r="J23" s="468"/>
      <c r="K23" s="468"/>
      <c r="L23" s="468"/>
      <c r="M23" s="1710">
        <f>SUM(M15:M22)</f>
        <v>139207330</v>
      </c>
      <c r="N23" s="1710">
        <f>SUM(N21:N22)</f>
        <v>48990000</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289471</v>
      </c>
      <c r="D31" s="467">
        <v>27822</v>
      </c>
      <c r="E31" s="467"/>
      <c r="F31" s="466">
        <v>12722</v>
      </c>
      <c r="G31" s="467">
        <v>3241</v>
      </c>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676908</v>
      </c>
      <c r="M33" s="468"/>
      <c r="N33" s="469"/>
    </row>
    <row r="34" spans="1:14" ht="13.5" customHeight="1" thickBot="1" x14ac:dyDescent="0.25">
      <c r="A34" s="1760" t="s">
        <v>674</v>
      </c>
      <c r="B34" s="1761"/>
      <c r="C34" s="1762">
        <f>SUM(C25:C33)</f>
        <v>289471</v>
      </c>
      <c r="D34" s="1762">
        <f t="shared" ref="D34:K34" si="1">SUM(D25:D33)</f>
        <v>27822</v>
      </c>
      <c r="E34" s="1762">
        <f t="shared" si="1"/>
        <v>0</v>
      </c>
      <c r="F34" s="1762">
        <f t="shared" si="1"/>
        <v>12722</v>
      </c>
      <c r="G34" s="1762">
        <f t="shared" si="1"/>
        <v>3241</v>
      </c>
      <c r="H34" s="1762">
        <f t="shared" si="1"/>
        <v>0</v>
      </c>
      <c r="I34" s="1762">
        <f t="shared" si="1"/>
        <v>0</v>
      </c>
      <c r="J34" s="1762">
        <f t="shared" si="1"/>
        <v>0</v>
      </c>
      <c r="K34" s="1762">
        <f t="shared" si="1"/>
        <v>0</v>
      </c>
      <c r="L34" s="1743">
        <f>SUM(L33)</f>
        <v>676908</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48990000</v>
      </c>
    </row>
    <row r="37" spans="1:14" ht="13.5" thickBot="1" x14ac:dyDescent="0.25">
      <c r="A37" s="1758" t="s">
        <v>673</v>
      </c>
      <c r="B37" s="1763"/>
      <c r="C37" s="477"/>
      <c r="D37" s="477"/>
      <c r="E37" s="477"/>
      <c r="F37" s="477"/>
      <c r="G37" s="477"/>
      <c r="H37" s="477"/>
      <c r="I37" s="477"/>
      <c r="J37" s="477"/>
      <c r="K37" s="477"/>
      <c r="L37" s="480"/>
      <c r="M37" s="468"/>
      <c r="N37" s="1710">
        <f>SUM(N36:N36)</f>
        <v>48990000</v>
      </c>
    </row>
    <row r="38" spans="1:14" s="329" customFormat="1" ht="13.5" customHeight="1" thickTop="1" x14ac:dyDescent="0.2">
      <c r="A38" s="496" t="s">
        <v>439</v>
      </c>
      <c r="B38" s="483">
        <v>714</v>
      </c>
      <c r="C38" s="466">
        <v>1770169</v>
      </c>
      <c r="D38" s="466"/>
      <c r="E38" s="466"/>
      <c r="F38" s="466"/>
      <c r="G38" s="466">
        <v>562378</v>
      </c>
      <c r="H38" s="466"/>
      <c r="I38" s="466"/>
      <c r="J38" s="467"/>
      <c r="K38" s="466">
        <v>85453</v>
      </c>
      <c r="L38" s="481"/>
      <c r="M38" s="497"/>
      <c r="N38" s="497"/>
    </row>
    <row r="39" spans="1:14" s="329" customFormat="1" ht="13.5" customHeight="1" x14ac:dyDescent="0.2">
      <c r="A39" s="496" t="s">
        <v>359</v>
      </c>
      <c r="B39" s="483">
        <v>730</v>
      </c>
      <c r="C39" s="466">
        <v>9844720</v>
      </c>
      <c r="D39" s="466">
        <v>7428337</v>
      </c>
      <c r="E39" s="466">
        <v>3066402</v>
      </c>
      <c r="F39" s="466">
        <v>2277692</v>
      </c>
      <c r="G39" s="466">
        <v>566786</v>
      </c>
      <c r="H39" s="466"/>
      <c r="I39" s="466">
        <v>2262217</v>
      </c>
      <c r="J39" s="467"/>
      <c r="K39" s="466">
        <v>861289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139207330</v>
      </c>
      <c r="N40" s="497"/>
    </row>
    <row r="41" spans="1:14" ht="13.5" customHeight="1" thickBot="1" x14ac:dyDescent="0.25">
      <c r="A41" s="1758" t="s">
        <v>675</v>
      </c>
      <c r="B41" s="1728"/>
      <c r="C41" s="1710">
        <f>(SUM(C34,C37,C38,C39))</f>
        <v>11904360</v>
      </c>
      <c r="D41" s="1710">
        <f t="shared" ref="D41:L41" si="2">SUM(D34,D37,D38:D39)</f>
        <v>7456159</v>
      </c>
      <c r="E41" s="1710">
        <f t="shared" si="2"/>
        <v>3066402</v>
      </c>
      <c r="F41" s="1710">
        <f t="shared" si="2"/>
        <v>2290414</v>
      </c>
      <c r="G41" s="1710">
        <f t="shared" si="2"/>
        <v>1132405</v>
      </c>
      <c r="H41" s="1710">
        <f t="shared" si="2"/>
        <v>0</v>
      </c>
      <c r="I41" s="1710">
        <f t="shared" si="2"/>
        <v>2262217</v>
      </c>
      <c r="J41" s="1710">
        <f t="shared" si="2"/>
        <v>0</v>
      </c>
      <c r="K41" s="1710">
        <f t="shared" si="2"/>
        <v>946742</v>
      </c>
      <c r="L41" s="1710">
        <f t="shared" si="2"/>
        <v>676908</v>
      </c>
      <c r="M41" s="1710">
        <f>SUM(M40)</f>
        <v>139207330</v>
      </c>
      <c r="N41" s="1710">
        <f>SUM(N37)</f>
        <v>48990000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3" t="s">
        <v>1578</v>
      </c>
      <c r="B4" s="1954">
        <v>1000</v>
      </c>
      <c r="C4" s="1764">
        <f>'Revenues 9-14'!C109</f>
        <v>25140761</v>
      </c>
      <c r="D4" s="1764">
        <f>'Revenues 9-14'!D109</f>
        <v>4400922</v>
      </c>
      <c r="E4" s="1764">
        <f>'Revenues 9-14'!E109</f>
        <v>5394788</v>
      </c>
      <c r="F4" s="1764">
        <f>'Revenues 9-14'!F109</f>
        <v>1696281</v>
      </c>
      <c r="G4" s="1764">
        <f>'Revenues 9-14'!G109</f>
        <v>1714814</v>
      </c>
      <c r="H4" s="1764">
        <f>'Revenues 9-14'!H109</f>
        <v>23612</v>
      </c>
      <c r="I4" s="1764">
        <f>'Revenues 9-14'!I109</f>
        <v>120331</v>
      </c>
      <c r="J4" s="1764">
        <f>'Revenues 9-14'!J109</f>
        <v>0</v>
      </c>
      <c r="K4" s="1764">
        <f>'Revenues 9-14'!K109</f>
        <v>94952</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9390285</v>
      </c>
      <c r="D6" s="1765">
        <f>'Revenues 9-14'!D173</f>
        <v>0</v>
      </c>
      <c r="E6" s="1765">
        <f>'Revenues 9-14'!E173</f>
        <v>0</v>
      </c>
      <c r="F6" s="1765">
        <f>'Revenues 9-14'!F173</f>
        <v>1055951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2324471</v>
      </c>
      <c r="D7" s="1765">
        <f>'Revenues 9-14'!D274</f>
        <v>0</v>
      </c>
      <c r="E7" s="1765">
        <f>'Revenues 9-14'!E274</f>
        <v>52293</v>
      </c>
      <c r="F7" s="1765">
        <f>'Revenues 9-14'!F274</f>
        <v>335</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36855517</v>
      </c>
      <c r="D8" s="1710">
        <f t="shared" ref="D8:K8" si="0">SUM(D4:D7)</f>
        <v>4400922</v>
      </c>
      <c r="E8" s="1710">
        <f t="shared" si="0"/>
        <v>5447081</v>
      </c>
      <c r="F8" s="1710">
        <f t="shared" si="0"/>
        <v>2752567</v>
      </c>
      <c r="G8" s="1710">
        <f t="shared" si="0"/>
        <v>1714814</v>
      </c>
      <c r="H8" s="1710">
        <f t="shared" si="0"/>
        <v>23612</v>
      </c>
      <c r="I8" s="1710">
        <f t="shared" si="0"/>
        <v>120331</v>
      </c>
      <c r="J8" s="1710">
        <f t="shared" si="0"/>
        <v>0</v>
      </c>
      <c r="K8" s="1710">
        <f t="shared" si="0"/>
        <v>94952</v>
      </c>
      <c r="L8" s="347"/>
    </row>
    <row r="9" spans="1:13" ht="15.75" thickTop="1" x14ac:dyDescent="0.2">
      <c r="A9" s="514" t="s">
        <v>1751</v>
      </c>
      <c r="B9" s="515">
        <v>3998</v>
      </c>
      <c r="C9" s="481">
        <v>2095367</v>
      </c>
      <c r="D9" s="516"/>
      <c r="E9" s="481"/>
      <c r="F9" s="481"/>
      <c r="G9" s="517"/>
      <c r="H9" s="481"/>
      <c r="I9" s="509" t="s">
        <v>1230</v>
      </c>
      <c r="J9" s="478"/>
      <c r="K9" s="481"/>
      <c r="L9" s="347"/>
    </row>
    <row r="10" spans="1:13" s="519" customFormat="1" ht="13.5" thickBot="1" x14ac:dyDescent="0.25">
      <c r="A10" s="1758" t="s">
        <v>1234</v>
      </c>
      <c r="B10" s="1731"/>
      <c r="C10" s="1710">
        <f>SUM(C8:C9)</f>
        <v>38950884</v>
      </c>
      <c r="D10" s="1710">
        <f t="shared" ref="D10:K10" si="1">SUM(D8:D9)</f>
        <v>4400922</v>
      </c>
      <c r="E10" s="1710">
        <f t="shared" si="1"/>
        <v>5447081</v>
      </c>
      <c r="F10" s="1710">
        <f t="shared" si="1"/>
        <v>2752567</v>
      </c>
      <c r="G10" s="1710">
        <f t="shared" si="1"/>
        <v>1714814</v>
      </c>
      <c r="H10" s="1710">
        <f t="shared" si="1"/>
        <v>23612</v>
      </c>
      <c r="I10" s="1710">
        <f t="shared" si="1"/>
        <v>120331</v>
      </c>
      <c r="J10" s="1710">
        <f t="shared" si="1"/>
        <v>0</v>
      </c>
      <c r="K10" s="1710">
        <f t="shared" si="1"/>
        <v>94952</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22164267</v>
      </c>
      <c r="D12" s="520" t="s">
        <v>1230</v>
      </c>
      <c r="E12" s="468" t="s">
        <v>1230</v>
      </c>
      <c r="F12" s="468" t="s">
        <v>1230</v>
      </c>
      <c r="G12" s="1764">
        <f>'Expenditures 15-22'!K229</f>
        <v>434866</v>
      </c>
      <c r="H12" s="521"/>
      <c r="I12" s="468" t="s">
        <v>1230</v>
      </c>
      <c r="J12" s="468" t="s">
        <v>1230</v>
      </c>
      <c r="K12" s="521" t="s">
        <v>1230</v>
      </c>
      <c r="L12" s="347"/>
    </row>
    <row r="13" spans="1:13" ht="15.75" customHeight="1" x14ac:dyDescent="0.2">
      <c r="A13" s="1598" t="s">
        <v>476</v>
      </c>
      <c r="B13" s="1600">
        <v>2000</v>
      </c>
      <c r="C13" s="1765">
        <f>'Expenditures 15-22'!K74</f>
        <v>10060603</v>
      </c>
      <c r="D13" s="1765">
        <f>'Expenditures 15-22'!K129</f>
        <v>3824930</v>
      </c>
      <c r="E13" s="469" t="s">
        <v>1230</v>
      </c>
      <c r="F13" s="1765">
        <f>'Expenditures 15-22'!K184</f>
        <v>2044538</v>
      </c>
      <c r="G13" s="1765">
        <f>'Expenditures 15-22'!K279</f>
        <v>1007140</v>
      </c>
      <c r="H13" s="1765">
        <f>'Expenditures 15-22'!K303</f>
        <v>258104</v>
      </c>
      <c r="I13" s="468" t="s">
        <v>1230</v>
      </c>
      <c r="J13" s="1765">
        <f>'Expenditures 15-22'!K330</f>
        <v>0</v>
      </c>
      <c r="K13" s="1769">
        <f>'Expenditures 15-22'!K352</f>
        <v>121547</v>
      </c>
      <c r="L13" s="347"/>
    </row>
    <row r="14" spans="1:13" ht="15.75" customHeight="1" x14ac:dyDescent="0.2">
      <c r="A14" s="1598" t="s">
        <v>468</v>
      </c>
      <c r="B14" s="1600">
        <v>3000</v>
      </c>
      <c r="C14" s="1765">
        <f>'Expenditures 15-22'!K75</f>
        <v>9639</v>
      </c>
      <c r="D14" s="1765">
        <f>'Expenditures 15-22'!K130</f>
        <v>0</v>
      </c>
      <c r="E14" s="520" t="s">
        <v>1230</v>
      </c>
      <c r="F14" s="1765">
        <f>'Expenditures 15-22'!K185</f>
        <v>0</v>
      </c>
      <c r="G14" s="1765">
        <f>'Expenditures 15-22'!K280</f>
        <v>1464</v>
      </c>
      <c r="H14" s="512"/>
      <c r="I14" s="468" t="s">
        <v>1230</v>
      </c>
      <c r="J14" s="468" t="s">
        <v>1230</v>
      </c>
      <c r="K14" s="512" t="s">
        <v>1230</v>
      </c>
      <c r="L14" s="347"/>
    </row>
    <row r="15" spans="1:13" ht="15.75" customHeight="1" x14ac:dyDescent="0.2">
      <c r="A15" s="1598" t="s">
        <v>109</v>
      </c>
      <c r="B15" s="1600">
        <v>4000</v>
      </c>
      <c r="C15" s="1765">
        <f>'Expenditures 15-22'!K102</f>
        <v>474275</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5073945</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32708784</v>
      </c>
      <c r="D17" s="1710">
        <f t="shared" si="2"/>
        <v>3824930</v>
      </c>
      <c r="E17" s="1710">
        <f t="shared" si="2"/>
        <v>5073945</v>
      </c>
      <c r="F17" s="1710">
        <f t="shared" si="2"/>
        <v>2044538</v>
      </c>
      <c r="G17" s="1710">
        <f t="shared" si="2"/>
        <v>1443470</v>
      </c>
      <c r="H17" s="1710">
        <f t="shared" si="2"/>
        <v>258104</v>
      </c>
      <c r="I17" s="468"/>
      <c r="J17" s="1710">
        <f>SUM(J12:J16)</f>
        <v>0</v>
      </c>
      <c r="K17" s="1710">
        <f>SUM(K12:K16)</f>
        <v>121547</v>
      </c>
      <c r="L17" s="347"/>
    </row>
    <row r="18" spans="1:12" ht="15" customHeight="1" thickTop="1" x14ac:dyDescent="0.2">
      <c r="A18" s="1766" t="s">
        <v>1752</v>
      </c>
      <c r="B18" s="1767">
        <v>4180</v>
      </c>
      <c r="C18" s="1764">
        <f t="shared" ref="C18:H18" si="3">C9</f>
        <v>2095367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34804151</v>
      </c>
      <c r="D19" s="1710">
        <f t="shared" si="4"/>
        <v>3824930</v>
      </c>
      <c r="E19" s="1710">
        <f t="shared" si="4"/>
        <v>5073945</v>
      </c>
      <c r="F19" s="1710">
        <f t="shared" si="4"/>
        <v>2044538</v>
      </c>
      <c r="G19" s="1710">
        <f t="shared" si="4"/>
        <v>1443470</v>
      </c>
      <c r="H19" s="1710">
        <f t="shared" si="4"/>
        <v>258104</v>
      </c>
      <c r="I19" s="468"/>
      <c r="J19" s="1710">
        <f>SUM(J17:J18)</f>
        <v>0</v>
      </c>
      <c r="K19" s="1710">
        <f>SUM(K17:K18)</f>
        <v>121547</v>
      </c>
      <c r="L19" s="347"/>
    </row>
    <row r="20" spans="1:12" ht="16.5" thickTop="1" thickBot="1" x14ac:dyDescent="0.25">
      <c r="A20" s="2143" t="s">
        <v>1753</v>
      </c>
      <c r="B20" s="2144"/>
      <c r="C20" s="1768">
        <f>C8-C17</f>
        <v>4146733</v>
      </c>
      <c r="D20" s="1768">
        <f t="shared" ref="D20:K20" si="5">D8-D17</f>
        <v>575992</v>
      </c>
      <c r="E20" s="1768">
        <f t="shared" si="5"/>
        <v>373136</v>
      </c>
      <c r="F20" s="1768">
        <f t="shared" si="5"/>
        <v>708029</v>
      </c>
      <c r="G20" s="1768">
        <f t="shared" si="5"/>
        <v>271344</v>
      </c>
      <c r="H20" s="1768">
        <f t="shared" si="5"/>
        <v>-234492</v>
      </c>
      <c r="I20" s="1768">
        <f t="shared" si="5"/>
        <v>120331</v>
      </c>
      <c r="J20" s="1768">
        <f t="shared" si="5"/>
        <v>0</v>
      </c>
      <c r="K20" s="1768">
        <f t="shared" si="5"/>
        <v>-26595</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v>4383094</v>
      </c>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5">
        <f>SUM(C24:C43)</f>
        <v>0</v>
      </c>
      <c r="D44" s="1725">
        <f t="shared" ref="D44:K44" si="6">SUM(D24:D43)</f>
        <v>4383094</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4383094</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3" t="s">
        <v>459</v>
      </c>
      <c r="B76" s="2134"/>
      <c r="C76" s="1725">
        <f t="shared" ref="C76:K76" si="7">SUM(C47:C75)</f>
        <v>0</v>
      </c>
      <c r="D76" s="1725">
        <f t="shared" si="7"/>
        <v>0</v>
      </c>
      <c r="E76" s="1725">
        <f t="shared" si="7"/>
        <v>0</v>
      </c>
      <c r="F76" s="1725">
        <f t="shared" si="7"/>
        <v>0</v>
      </c>
      <c r="G76" s="1725">
        <f t="shared" si="7"/>
        <v>0</v>
      </c>
      <c r="H76" s="1725">
        <f t="shared" si="7"/>
        <v>4383094</v>
      </c>
      <c r="I76" s="1725">
        <f t="shared" si="7"/>
        <v>0</v>
      </c>
      <c r="J76" s="1725">
        <f t="shared" si="7"/>
        <v>0</v>
      </c>
      <c r="K76" s="1725">
        <f t="shared" si="7"/>
        <v>0</v>
      </c>
      <c r="L76" s="524"/>
    </row>
    <row r="77" spans="1:12" ht="14.25" thickTop="1" thickBot="1" x14ac:dyDescent="0.25">
      <c r="A77" s="2135" t="s">
        <v>1238</v>
      </c>
      <c r="B77" s="2136"/>
      <c r="C77" s="1725">
        <f t="shared" ref="C77:K77" si="8">C44-C76</f>
        <v>0</v>
      </c>
      <c r="D77" s="1725">
        <f t="shared" si="8"/>
        <v>4383094</v>
      </c>
      <c r="E77" s="1725">
        <f t="shared" si="8"/>
        <v>0</v>
      </c>
      <c r="F77" s="1725">
        <f t="shared" si="8"/>
        <v>0</v>
      </c>
      <c r="G77" s="1725">
        <f t="shared" si="8"/>
        <v>0</v>
      </c>
      <c r="H77" s="1725">
        <f t="shared" si="8"/>
        <v>-4383094</v>
      </c>
      <c r="I77" s="1725">
        <f t="shared" si="8"/>
        <v>0</v>
      </c>
      <c r="J77" s="1725">
        <f t="shared" si="8"/>
        <v>0</v>
      </c>
      <c r="K77" s="1725">
        <f t="shared" si="8"/>
        <v>0</v>
      </c>
      <c r="L77" s="347"/>
    </row>
    <row r="78" spans="1:12" ht="21.75" customHeight="1" thickTop="1" thickBot="1" x14ac:dyDescent="0.25">
      <c r="A78" s="2139" t="s">
        <v>617</v>
      </c>
      <c r="B78" s="2140"/>
      <c r="C78" s="1724">
        <f t="shared" ref="C78:K78" si="9">C20+C77</f>
        <v>4146733</v>
      </c>
      <c r="D78" s="1724">
        <f t="shared" si="9"/>
        <v>4959086</v>
      </c>
      <c r="E78" s="1724">
        <f t="shared" si="9"/>
        <v>373136</v>
      </c>
      <c r="F78" s="1724">
        <f t="shared" si="9"/>
        <v>708029</v>
      </c>
      <c r="G78" s="1724">
        <f t="shared" si="9"/>
        <v>271344</v>
      </c>
      <c r="H78" s="1724">
        <f t="shared" si="9"/>
        <v>-4617586</v>
      </c>
      <c r="I78" s="1724">
        <f t="shared" si="9"/>
        <v>120331</v>
      </c>
      <c r="J78" s="1724">
        <f t="shared" si="9"/>
        <v>0</v>
      </c>
      <c r="K78" s="1724">
        <f t="shared" si="9"/>
        <v>-26595</v>
      </c>
      <c r="L78" s="533"/>
    </row>
    <row r="79" spans="1:12" ht="13.5" thickTop="1" x14ac:dyDescent="0.2">
      <c r="A79" s="1516" t="s">
        <v>2067</v>
      </c>
      <c r="B79" s="534"/>
      <c r="C79" s="478">
        <v>7468156</v>
      </c>
      <c r="D79" s="535">
        <v>2469251</v>
      </c>
      <c r="E79" s="535">
        <v>2693266</v>
      </c>
      <c r="F79" s="535">
        <v>1569663</v>
      </c>
      <c r="G79" s="535">
        <v>857820</v>
      </c>
      <c r="H79" s="535">
        <v>4617586</v>
      </c>
      <c r="I79" s="535">
        <v>2141886</v>
      </c>
      <c r="J79" s="535"/>
      <c r="K79" s="535">
        <v>973337</v>
      </c>
      <c r="L79" s="347"/>
    </row>
    <row r="80" spans="1:12" x14ac:dyDescent="0.2">
      <c r="A80" s="2145" t="s">
        <v>1894</v>
      </c>
      <c r="B80" s="2146"/>
      <c r="C80" s="467"/>
      <c r="D80" s="467"/>
      <c r="E80" s="467"/>
      <c r="F80" s="467"/>
      <c r="G80" s="467"/>
      <c r="H80" s="467"/>
      <c r="I80" s="467"/>
      <c r="J80" s="467"/>
      <c r="K80" s="467"/>
      <c r="L80" s="347"/>
    </row>
    <row r="81" spans="1:12" ht="13.5" thickBot="1" x14ac:dyDescent="0.25">
      <c r="A81" s="2137" t="s">
        <v>2068</v>
      </c>
      <c r="B81" s="2138"/>
      <c r="C81" s="1710">
        <f>(SUM(C78:C80))</f>
        <v>11614889</v>
      </c>
      <c r="D81" s="1710">
        <f>SUM(D78:D80)</f>
        <v>7428337</v>
      </c>
      <c r="E81" s="1710">
        <f t="shared" ref="E81:K81" si="10">SUM(E78:E80)</f>
        <v>3066402</v>
      </c>
      <c r="F81" s="1710">
        <f t="shared" si="10"/>
        <v>2277692</v>
      </c>
      <c r="G81" s="1710">
        <f t="shared" si="10"/>
        <v>1129164</v>
      </c>
      <c r="H81" s="1710">
        <f t="shared" si="10"/>
        <v>0</v>
      </c>
      <c r="I81" s="1710">
        <f t="shared" si="10"/>
        <v>2262217</v>
      </c>
      <c r="J81" s="1710">
        <f t="shared" si="10"/>
        <v>0</v>
      </c>
      <c r="K81" s="1710">
        <f t="shared" si="10"/>
        <v>946742</v>
      </c>
      <c r="L81" s="347"/>
    </row>
    <row r="82" spans="1:12" ht="0.75" customHeight="1" thickTop="1" thickBot="1" x14ac:dyDescent="0.25">
      <c r="A82" s="536" t="s">
        <v>360</v>
      </c>
      <c r="B82" s="537"/>
      <c r="C82" s="538">
        <f>(C81-C79)</f>
        <v>4146733</v>
      </c>
      <c r="D82" s="538">
        <f t="shared" ref="D82:K82" si="11">(D81-D79)</f>
        <v>4959086</v>
      </c>
      <c r="E82" s="538">
        <f t="shared" si="11"/>
        <v>373136</v>
      </c>
      <c r="F82" s="538">
        <f t="shared" si="11"/>
        <v>708029</v>
      </c>
      <c r="G82" s="538">
        <f t="shared" si="11"/>
        <v>271344</v>
      </c>
      <c r="H82" s="538">
        <f t="shared" si="11"/>
        <v>-4617586</v>
      </c>
      <c r="I82" s="538">
        <f t="shared" si="11"/>
        <v>120331</v>
      </c>
      <c r="J82" s="538">
        <f t="shared" si="11"/>
        <v>0</v>
      </c>
      <c r="K82" s="538">
        <f t="shared" si="11"/>
        <v>-26595</v>
      </c>
    </row>
    <row r="83" spans="1:12" ht="14.25" hidden="1" thickTop="1" thickBot="1" x14ac:dyDescent="0.25">
      <c r="A83" s="539" t="s">
        <v>361</v>
      </c>
      <c r="B83" s="464"/>
      <c r="C83" s="540">
        <f>C82/C81</f>
        <v>0.35701873689882013</v>
      </c>
      <c r="D83" s="540">
        <f t="shared" ref="D83:K83" si="12">D82/D81</f>
        <v>0.66759033684120683</v>
      </c>
      <c r="E83" s="540">
        <f t="shared" si="12"/>
        <v>0.12168528457782117</v>
      </c>
      <c r="F83" s="540">
        <f t="shared" si="12"/>
        <v>0.31085370629567122</v>
      </c>
      <c r="G83" s="540">
        <f t="shared" si="12"/>
        <v>0.24030521695696994</v>
      </c>
      <c r="H83" s="540" t="e">
        <f t="shared" si="12"/>
        <v>#DIV/0!</v>
      </c>
      <c r="I83" s="540">
        <f t="shared" si="12"/>
        <v>5.3191625737053522E-2</v>
      </c>
      <c r="J83" s="540" t="e">
        <f t="shared" si="12"/>
        <v>#DIV/0!</v>
      </c>
      <c r="K83" s="540">
        <f t="shared" si="12"/>
        <v>-2.8091074442667591E-2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6" activePane="bottomLeft" state="frozen"/>
      <selection activeCell="A47" sqref="A47"/>
      <selection pane="bottomLeft" activeCell="C270" sqref="C27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1901</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21950231</v>
      </c>
      <c r="D5" s="481">
        <v>4231052</v>
      </c>
      <c r="E5" s="466">
        <v>5391840</v>
      </c>
      <c r="F5" s="548">
        <v>1477955</v>
      </c>
      <c r="G5" s="466">
        <v>774232</v>
      </c>
      <c r="H5" s="466"/>
      <c r="I5" s="466">
        <v>120265</v>
      </c>
      <c r="J5" s="467"/>
      <c r="K5" s="466">
        <v>94927</v>
      </c>
    </row>
    <row r="6" spans="1:12" ht="15" x14ac:dyDescent="0.2">
      <c r="A6" s="463" t="s">
        <v>1760</v>
      </c>
      <c r="B6" s="470">
        <v>1130</v>
      </c>
      <c r="C6" s="466">
        <v>158284</v>
      </c>
      <c r="D6" s="466"/>
      <c r="E6" s="475"/>
      <c r="F6" s="475"/>
      <c r="G6" s="468"/>
      <c r="H6" s="468"/>
      <c r="I6" s="468"/>
      <c r="J6" s="468"/>
      <c r="K6" s="468"/>
    </row>
    <row r="7" spans="1:12" x14ac:dyDescent="0.2">
      <c r="A7" s="463" t="s">
        <v>112</v>
      </c>
      <c r="B7" s="549">
        <v>1140</v>
      </c>
      <c r="C7" s="466">
        <v>158284</v>
      </c>
      <c r="D7" s="466"/>
      <c r="E7" s="468"/>
      <c r="F7" s="467"/>
      <c r="G7" s="467"/>
      <c r="H7" s="467"/>
      <c r="I7" s="468"/>
      <c r="J7" s="468"/>
      <c r="K7" s="468"/>
    </row>
    <row r="8" spans="1:12" x14ac:dyDescent="0.2">
      <c r="A8" s="463" t="s">
        <v>432</v>
      </c>
      <c r="B8" s="470">
        <v>1150</v>
      </c>
      <c r="C8" s="475"/>
      <c r="D8" s="475"/>
      <c r="E8" s="477"/>
      <c r="F8" s="477"/>
      <c r="G8" s="481">
        <v>899665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22266799</v>
      </c>
      <c r="D12" s="1729">
        <f t="shared" si="0"/>
        <v>4231052</v>
      </c>
      <c r="E12" s="1729">
        <f t="shared" si="0"/>
        <v>5391840</v>
      </c>
      <c r="F12" s="1729">
        <f t="shared" si="0"/>
        <v>1477955</v>
      </c>
      <c r="G12" s="1729">
        <f t="shared" si="0"/>
        <v>1673897</v>
      </c>
      <c r="H12" s="1729">
        <f t="shared" si="0"/>
        <v>0</v>
      </c>
      <c r="I12" s="1729">
        <f t="shared" si="0"/>
        <v>120265</v>
      </c>
      <c r="J12" s="1729">
        <f t="shared" si="0"/>
        <v>0</v>
      </c>
      <c r="K12" s="1710">
        <f t="shared" si="0"/>
        <v>94927</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c r="E16" s="466"/>
      <c r="F16" s="466">
        <v>176481</v>
      </c>
      <c r="G16" s="466">
        <v>40000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0</v>
      </c>
      <c r="D18" s="1732">
        <f t="shared" ref="D18:K18" si="1">SUM(D14:D17)</f>
        <v>0</v>
      </c>
      <c r="E18" s="1732">
        <f t="shared" si="1"/>
        <v>0</v>
      </c>
      <c r="F18" s="1732">
        <f t="shared" si="1"/>
        <v>176481</v>
      </c>
      <c r="G18" s="1732">
        <f t="shared" si="1"/>
        <v>40000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24125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24125</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102262</v>
      </c>
      <c r="D65" s="466">
        <v>30513</v>
      </c>
      <c r="E65" s="466">
        <v>2948</v>
      </c>
      <c r="F65" s="467">
        <v>809</v>
      </c>
      <c r="G65" s="466">
        <v>917</v>
      </c>
      <c r="H65" s="466">
        <v>23612</v>
      </c>
      <c r="I65" s="466">
        <v>66</v>
      </c>
      <c r="J65" s="467"/>
      <c r="K65" s="466">
        <v>25</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102262</v>
      </c>
      <c r="D67" s="1710">
        <f t="shared" ref="D67:K67" si="2">SUM(D65:D66)</f>
        <v>30513</v>
      </c>
      <c r="E67" s="1710">
        <f t="shared" si="2"/>
        <v>2948</v>
      </c>
      <c r="F67" s="1710">
        <f t="shared" si="2"/>
        <v>809</v>
      </c>
      <c r="G67" s="1710">
        <f t="shared" si="2"/>
        <v>917</v>
      </c>
      <c r="H67" s="1710">
        <f t="shared" si="2"/>
        <v>23612</v>
      </c>
      <c r="I67" s="1710">
        <f t="shared" si="2"/>
        <v>66</v>
      </c>
      <c r="J67" s="1710">
        <f t="shared" si="2"/>
        <v>0</v>
      </c>
      <c r="K67" s="1710">
        <f t="shared" si="2"/>
        <v>25</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519115</v>
      </c>
      <c r="D69" s="468"/>
      <c r="E69" s="468"/>
      <c r="F69" s="468"/>
      <c r="G69" s="468"/>
      <c r="H69" s="468"/>
      <c r="I69" s="468"/>
      <c r="J69" s="468"/>
      <c r="K69" s="468"/>
    </row>
    <row r="70" spans="1:11" ht="12.75" customHeight="1" x14ac:dyDescent="0.2">
      <c r="A70" s="463" t="s">
        <v>1053</v>
      </c>
      <c r="B70" s="470">
        <v>1612</v>
      </c>
      <c r="C70" s="551">
        <v>39119</v>
      </c>
      <c r="D70" s="468"/>
      <c r="E70" s="468"/>
      <c r="F70" s="468"/>
      <c r="G70" s="468"/>
      <c r="H70" s="468"/>
      <c r="I70" s="468"/>
      <c r="J70" s="468"/>
      <c r="K70" s="468"/>
    </row>
    <row r="71" spans="1:11" ht="12.75" customHeight="1" x14ac:dyDescent="0.2">
      <c r="A71" s="463" t="s">
        <v>290</v>
      </c>
      <c r="B71" s="470">
        <v>1613</v>
      </c>
      <c r="C71" s="551">
        <v>1013987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38448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1610669</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97440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97690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131512</v>
      </c>
      <c r="D81" s="466"/>
      <c r="E81" s="468"/>
      <c r="F81" s="468"/>
      <c r="G81" s="468"/>
      <c r="H81" s="468"/>
      <c r="I81" s="468"/>
      <c r="J81" s="468"/>
      <c r="K81" s="468"/>
    </row>
    <row r="82" spans="1:11" ht="12.75" customHeight="1" thickBot="1" x14ac:dyDescent="0.25">
      <c r="A82" s="1730" t="s">
        <v>259</v>
      </c>
      <c r="B82" s="1731"/>
      <c r="C82" s="1729">
        <f>SUM(C77:C81)</f>
        <v>326642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560575</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8680</v>
      </c>
      <c r="D92" s="468"/>
      <c r="E92" s="468"/>
      <c r="F92" s="468"/>
      <c r="G92" s="468"/>
      <c r="H92" s="468"/>
      <c r="I92" s="468"/>
      <c r="J92" s="468"/>
      <c r="K92" s="468"/>
    </row>
    <row r="93" spans="1:11" ht="12.75" customHeight="1" thickBot="1" x14ac:dyDescent="0.25">
      <c r="A93" s="1730" t="s">
        <v>261</v>
      </c>
      <c r="B93" s="1731"/>
      <c r="C93" s="1710">
        <f>SUM(C84:C92)</f>
        <v>569255</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128602</v>
      </c>
      <c r="E95" s="521"/>
      <c r="F95" s="521"/>
      <c r="G95" s="521"/>
      <c r="H95" s="521"/>
      <c r="I95" s="521"/>
      <c r="J95" s="521"/>
      <c r="K95" s="521"/>
    </row>
    <row r="96" spans="1:11" ht="12.75" customHeight="1" x14ac:dyDescent="0.2">
      <c r="A96" s="463" t="s">
        <v>408</v>
      </c>
      <c r="B96" s="470">
        <v>1920</v>
      </c>
      <c r="C96" s="551">
        <v>41575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v>6980</v>
      </c>
      <c r="G98" s="512"/>
      <c r="H98" s="512"/>
      <c r="I98" s="510"/>
      <c r="J98" s="512"/>
      <c r="K98" s="512"/>
    </row>
    <row r="99" spans="1:12" ht="12.75" customHeight="1" x14ac:dyDescent="0.2">
      <c r="A99" s="463" t="s">
        <v>874</v>
      </c>
      <c r="B99" s="470">
        <v>1950</v>
      </c>
      <c r="C99" s="489">
        <v>103461</v>
      </c>
      <c r="D99" s="466">
        <v>198</v>
      </c>
      <c r="E99" s="466"/>
      <c r="F99" s="466">
        <v>3616</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60030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35943</v>
      </c>
      <c r="D107" s="466">
        <v>10557</v>
      </c>
      <c r="E107" s="466"/>
      <c r="F107" s="466">
        <v>30440</v>
      </c>
      <c r="G107" s="466"/>
      <c r="H107" s="466"/>
      <c r="I107" s="466"/>
      <c r="J107" s="467"/>
      <c r="K107" s="466"/>
    </row>
    <row r="108" spans="1:12" ht="12.75" customHeight="1" thickBot="1" x14ac:dyDescent="0.25">
      <c r="A108" s="1730" t="s">
        <v>507</v>
      </c>
      <c r="B108" s="1734"/>
      <c r="C108" s="1729">
        <f>SUM(C95:C107)</f>
        <v>241009</v>
      </c>
      <c r="D108" s="1729">
        <f t="shared" ref="D108:K108" si="3">SUM(D95:D107)</f>
        <v>139357</v>
      </c>
      <c r="E108" s="1729">
        <f t="shared" si="3"/>
        <v>0</v>
      </c>
      <c r="F108" s="1729">
        <f t="shared" si="3"/>
        <v>41036</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25140761</v>
      </c>
      <c r="D109" s="1737">
        <f t="shared" si="4"/>
        <v>4400922</v>
      </c>
      <c r="E109" s="1737">
        <f t="shared" si="4"/>
        <v>5394788</v>
      </c>
      <c r="F109" s="1737">
        <f t="shared" si="4"/>
        <v>1696281</v>
      </c>
      <c r="G109" s="1737">
        <f t="shared" si="4"/>
        <v>1714814</v>
      </c>
      <c r="H109" s="1737">
        <f t="shared" si="4"/>
        <v>23612</v>
      </c>
      <c r="I109" s="1737">
        <f t="shared" si="4"/>
        <v>120331</v>
      </c>
      <c r="J109" s="1737">
        <f t="shared" si="4"/>
        <v>0</v>
      </c>
      <c r="K109" s="1724">
        <f t="shared" si="4"/>
        <v>94952</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7473552</v>
      </c>
      <c r="D117" s="481"/>
      <c r="E117" s="466"/>
      <c r="F117" s="481">
        <v>100000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7473552</v>
      </c>
      <c r="D121" s="1729">
        <f t="shared" si="5"/>
        <v>0</v>
      </c>
      <c r="E121" s="1729">
        <f t="shared" si="5"/>
        <v>0</v>
      </c>
      <c r="F121" s="1729">
        <f t="shared" si="5"/>
        <v>100000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638288</v>
      </c>
      <c r="D124" s="561"/>
      <c r="E124" s="468"/>
      <c r="F124" s="548"/>
      <c r="G124" s="468"/>
      <c r="H124" s="468"/>
      <c r="I124" s="468"/>
      <c r="J124" s="468"/>
      <c r="K124" s="468"/>
    </row>
    <row r="125" spans="1:11" ht="12.75" customHeight="1" x14ac:dyDescent="0.2">
      <c r="A125" s="463" t="s">
        <v>1520</v>
      </c>
      <c r="B125" s="562">
        <v>3105</v>
      </c>
      <c r="C125" s="466">
        <v>286674</v>
      </c>
      <c r="D125" s="561"/>
      <c r="E125" s="468"/>
      <c r="F125" s="466"/>
      <c r="G125" s="468"/>
      <c r="H125" s="468"/>
      <c r="I125" s="468"/>
      <c r="J125" s="468"/>
      <c r="K125" s="468"/>
    </row>
    <row r="126" spans="1:11" ht="12.75" customHeight="1" x14ac:dyDescent="0.2">
      <c r="A126" s="463" t="s">
        <v>921</v>
      </c>
      <c r="B126" s="562">
        <v>3110</v>
      </c>
      <c r="C126" s="551">
        <v>295231</v>
      </c>
      <c r="D126" s="466"/>
      <c r="E126" s="468"/>
      <c r="F126" s="466"/>
      <c r="G126" s="468"/>
      <c r="H126" s="468"/>
      <c r="I126" s="468"/>
      <c r="J126" s="468"/>
      <c r="K126" s="468"/>
    </row>
    <row r="127" spans="1:11" ht="12.75" customHeight="1" x14ac:dyDescent="0.2">
      <c r="A127" s="463" t="s">
        <v>107</v>
      </c>
      <c r="B127" s="562">
        <v>3120</v>
      </c>
      <c r="C127" s="466">
        <v>205290</v>
      </c>
      <c r="D127" s="561"/>
      <c r="E127" s="468"/>
      <c r="F127" s="466"/>
      <c r="G127" s="468"/>
      <c r="H127" s="468"/>
      <c r="I127" s="468"/>
      <c r="J127" s="468"/>
      <c r="K127" s="468"/>
    </row>
    <row r="128" spans="1:11" ht="12.75" customHeight="1" x14ac:dyDescent="0.2">
      <c r="A128" s="463" t="s">
        <v>1521</v>
      </c>
      <c r="B128" s="562">
        <v>3130</v>
      </c>
      <c r="C128" s="466">
        <v>48625</v>
      </c>
      <c r="D128" s="561"/>
      <c r="E128" s="468"/>
      <c r="F128" s="466"/>
      <c r="G128" s="468"/>
      <c r="H128" s="468"/>
      <c r="I128" s="468"/>
      <c r="J128" s="468"/>
      <c r="K128" s="468"/>
    </row>
    <row r="129" spans="1:11" ht="12.75" customHeight="1" x14ac:dyDescent="0.2">
      <c r="A129" s="463" t="s">
        <v>139</v>
      </c>
      <c r="B129" s="562">
        <v>3145</v>
      </c>
      <c r="C129" s="466">
        <v>543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1474651</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4482</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66055</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621125</v>
      </c>
      <c r="G151" s="467"/>
      <c r="H151" s="468"/>
      <c r="I151" s="468"/>
      <c r="J151" s="468"/>
      <c r="K151" s="468"/>
    </row>
    <row r="152" spans="1:11" ht="12.75" customHeight="1" x14ac:dyDescent="0.2">
      <c r="A152" s="463" t="s">
        <v>1116</v>
      </c>
      <c r="B152" s="562">
        <v>3510</v>
      </c>
      <c r="C152" s="551"/>
      <c r="D152" s="466"/>
      <c r="E152" s="561"/>
      <c r="F152" s="466">
        <v>289378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910503</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363538</v>
      </c>
      <c r="D158" s="578"/>
      <c r="E158" s="561"/>
      <c r="F158" s="576">
        <v>45448</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8007</v>
      </c>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1916733</v>
      </c>
      <c r="D172" s="1744">
        <f t="shared" si="6"/>
        <v>0</v>
      </c>
      <c r="E172" s="1744">
        <f t="shared" si="6"/>
        <v>0</v>
      </c>
      <c r="F172" s="1744">
        <f t="shared" si="6"/>
        <v>955951</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9390285</v>
      </c>
      <c r="D173" s="1737">
        <f>SUM(D121,D172)</f>
        <v>0</v>
      </c>
      <c r="E173" s="1737">
        <f>SUM(E121,E172)</f>
        <v>0</v>
      </c>
      <c r="F173" s="1737">
        <f t="shared" ref="F173:K173" si="7">SUM(F121,F172)</f>
        <v>1055951</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1902</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360135</v>
      </c>
      <c r="D194" s="468"/>
      <c r="E194" s="561"/>
      <c r="F194" s="468"/>
      <c r="G194" s="585"/>
      <c r="H194" s="468"/>
      <c r="I194" s="468"/>
      <c r="J194" s="468"/>
      <c r="K194" s="468"/>
    </row>
    <row r="195" spans="1:11" ht="12.75" customHeight="1" x14ac:dyDescent="0.2">
      <c r="A195" s="463" t="s">
        <v>1106</v>
      </c>
      <c r="B195" s="470">
        <v>4215</v>
      </c>
      <c r="C195" s="551">
        <v>1272</v>
      </c>
      <c r="D195" s="468"/>
      <c r="E195" s="561"/>
      <c r="F195" s="468"/>
      <c r="G195" s="585"/>
      <c r="H195" s="468"/>
      <c r="I195" s="468"/>
      <c r="J195" s="468"/>
      <c r="K195" s="468"/>
    </row>
    <row r="196" spans="1:11" ht="12.75" customHeight="1" x14ac:dyDescent="0.2">
      <c r="A196" s="463" t="s">
        <v>1118</v>
      </c>
      <c r="B196" s="470">
        <v>4220</v>
      </c>
      <c r="C196" s="551">
        <v>54775</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416182</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349260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349260</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27395</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883944</v>
      </c>
      <c r="D220" s="466"/>
      <c r="E220" s="468"/>
      <c r="F220" s="466">
        <v>335</v>
      </c>
      <c r="G220" s="466"/>
      <c r="H220" s="468"/>
      <c r="I220" s="468"/>
      <c r="J220" s="468"/>
      <c r="K220" s="468"/>
    </row>
    <row r="221" spans="1:11" ht="12.75" customHeight="1" x14ac:dyDescent="0.2">
      <c r="A221" s="463" t="s">
        <v>1113</v>
      </c>
      <c r="B221" s="470">
        <v>4625</v>
      </c>
      <c r="C221" s="551">
        <v>353865</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1265204</v>
      </c>
      <c r="D224" s="1729">
        <f>SUM(D218:D223)</f>
        <v>0</v>
      </c>
      <c r="E224" s="468"/>
      <c r="F224" s="1729">
        <f>SUM(F218:F223)</f>
        <v>335</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52293</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52293</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55356</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79858</v>
      </c>
      <c r="D270" s="576"/>
      <c r="E270" s="468"/>
      <c r="F270" s="576"/>
      <c r="G270" s="576"/>
      <c r="H270" s="468"/>
      <c r="I270" s="468"/>
      <c r="J270" s="468"/>
      <c r="K270" s="468"/>
    </row>
    <row r="271" spans="1:11" ht="12.75" customHeight="1" thickTop="1" thickBot="1" x14ac:dyDescent="0.25">
      <c r="A271" s="463" t="s">
        <v>394</v>
      </c>
      <c r="B271" s="470">
        <v>4992</v>
      </c>
      <c r="C271" s="575">
        <v>105077</v>
      </c>
      <c r="D271" s="576"/>
      <c r="E271" s="468"/>
      <c r="F271" s="576"/>
      <c r="G271" s="576"/>
      <c r="H271" s="468"/>
      <c r="I271" s="468"/>
      <c r="J271" s="468"/>
      <c r="K271" s="468"/>
    </row>
    <row r="272" spans="1:11" s="594" customFormat="1" ht="12.75" customHeight="1" thickTop="1" thickBot="1" x14ac:dyDescent="0.25">
      <c r="A272" s="563" t="s">
        <v>77</v>
      </c>
      <c r="B272" s="557">
        <v>4999</v>
      </c>
      <c r="C272" s="575">
        <v>53534</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2324471</v>
      </c>
      <c r="D273" s="1737">
        <f t="shared" si="10"/>
        <v>0</v>
      </c>
      <c r="E273" s="1737">
        <f t="shared" si="10"/>
        <v>52293</v>
      </c>
      <c r="F273" s="1737">
        <f t="shared" si="10"/>
        <v>335</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2324471</v>
      </c>
      <c r="D274" s="1737">
        <f>SUM(D178,D184,D273)</f>
        <v>0</v>
      </c>
      <c r="E274" s="1737">
        <f>SUM(E178,E273)</f>
        <v>52293</v>
      </c>
      <c r="F274" s="1737">
        <f t="shared" ref="F274:K274" si="11">SUM(F178,F184,F273)</f>
        <v>335</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36855517</v>
      </c>
      <c r="D275" s="1737">
        <f t="shared" si="12"/>
        <v>4400922</v>
      </c>
      <c r="E275" s="1737">
        <f t="shared" si="12"/>
        <v>5447081</v>
      </c>
      <c r="F275" s="1737">
        <f t="shared" si="12"/>
        <v>2752567</v>
      </c>
      <c r="G275" s="1737">
        <f t="shared" si="12"/>
        <v>1714814</v>
      </c>
      <c r="H275" s="1737">
        <f t="shared" si="12"/>
        <v>23612</v>
      </c>
      <c r="I275" s="1737">
        <f t="shared" si="12"/>
        <v>120331</v>
      </c>
      <c r="J275" s="1737">
        <f t="shared" si="12"/>
        <v>0</v>
      </c>
      <c r="K275" s="1724">
        <f t="shared" si="12"/>
        <v>94952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4" activePane="bottomLeft" state="frozen"/>
      <selection activeCell="A47" sqref="A47"/>
      <selection pane="bottomLeft" activeCell="K59" sqref="K5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9" t="s">
        <v>314</v>
      </c>
      <c r="B3" s="2180"/>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11574662</v>
      </c>
      <c r="D5" s="466">
        <v>2643375</v>
      </c>
      <c r="E5" s="466">
        <v>376223</v>
      </c>
      <c r="F5" s="466">
        <v>1139048</v>
      </c>
      <c r="G5" s="466">
        <v>44338</v>
      </c>
      <c r="H5" s="466">
        <v>6679</v>
      </c>
      <c r="I5" s="467">
        <v>2692</v>
      </c>
      <c r="J5" s="467"/>
      <c r="K5" s="1693">
        <f>SUM(C5:J5)</f>
        <v>15787017</v>
      </c>
      <c r="L5" s="466">
        <v>16204300</v>
      </c>
    </row>
    <row r="6" spans="1:14" x14ac:dyDescent="0.2">
      <c r="A6" s="1526" t="s">
        <v>1507</v>
      </c>
      <c r="B6" s="615" t="s">
        <v>1505</v>
      </c>
      <c r="C6" s="477"/>
      <c r="D6" s="477"/>
      <c r="E6" s="466"/>
      <c r="F6" s="477"/>
      <c r="G6" s="477"/>
      <c r="H6" s="477"/>
      <c r="I6" s="477"/>
      <c r="J6" s="477"/>
      <c r="K6" s="1693">
        <f>SUM(C6,E6)</f>
        <v>0</v>
      </c>
      <c r="L6" s="466">
        <v>5390</v>
      </c>
    </row>
    <row r="7" spans="1:14" x14ac:dyDescent="0.2">
      <c r="A7" s="1526" t="s">
        <v>165</v>
      </c>
      <c r="B7" s="615" t="s">
        <v>1023</v>
      </c>
      <c r="C7" s="467">
        <v>200643</v>
      </c>
      <c r="D7" s="467">
        <v>61750</v>
      </c>
      <c r="E7" s="467">
        <v>2002</v>
      </c>
      <c r="F7" s="467">
        <v>4688</v>
      </c>
      <c r="G7" s="467"/>
      <c r="H7" s="467"/>
      <c r="I7" s="467"/>
      <c r="J7" s="467"/>
      <c r="K7" s="1693">
        <f t="shared" ref="K7:K32" si="0">SUM(C7:J7)</f>
        <v>269083</v>
      </c>
      <c r="L7" s="466">
        <v>238713</v>
      </c>
    </row>
    <row r="8" spans="1:14" x14ac:dyDescent="0.2">
      <c r="A8" s="1526" t="s">
        <v>166</v>
      </c>
      <c r="B8" s="615">
        <v>1200</v>
      </c>
      <c r="C8" s="466">
        <v>2457090</v>
      </c>
      <c r="D8" s="466">
        <v>697038</v>
      </c>
      <c r="E8" s="466">
        <v>31641</v>
      </c>
      <c r="F8" s="466">
        <v>14806</v>
      </c>
      <c r="G8" s="466"/>
      <c r="H8" s="466"/>
      <c r="I8" s="467">
        <v>4293</v>
      </c>
      <c r="J8" s="467"/>
      <c r="K8" s="1693">
        <f t="shared" si="0"/>
        <v>3204868</v>
      </c>
      <c r="L8" s="466">
        <v>3358974</v>
      </c>
    </row>
    <row r="9" spans="1:14" x14ac:dyDescent="0.2">
      <c r="A9" s="1526" t="s">
        <v>744</v>
      </c>
      <c r="B9" s="615" t="s">
        <v>1024</v>
      </c>
      <c r="C9" s="467">
        <v>34239</v>
      </c>
      <c r="D9" s="467">
        <v>6394</v>
      </c>
      <c r="E9" s="467"/>
      <c r="F9" s="467"/>
      <c r="G9" s="467"/>
      <c r="H9" s="467"/>
      <c r="I9" s="467"/>
      <c r="J9" s="467"/>
      <c r="K9" s="1693">
        <f t="shared" si="0"/>
        <v>40633</v>
      </c>
      <c r="L9" s="466">
        <v>56141</v>
      </c>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v>38280</v>
      </c>
      <c r="D12" s="466">
        <v>6878</v>
      </c>
      <c r="E12" s="466">
        <v>75</v>
      </c>
      <c r="F12" s="466"/>
      <c r="G12" s="466"/>
      <c r="H12" s="466"/>
      <c r="I12" s="467"/>
      <c r="J12" s="467"/>
      <c r="K12" s="1693">
        <f t="shared" si="0"/>
        <v>45233</v>
      </c>
      <c r="L12" s="466">
        <v>45680</v>
      </c>
    </row>
    <row r="13" spans="1:14" x14ac:dyDescent="0.2">
      <c r="A13" s="1526" t="s">
        <v>746</v>
      </c>
      <c r="B13" s="615">
        <v>1400</v>
      </c>
      <c r="C13" s="466">
        <v>436345</v>
      </c>
      <c r="D13" s="466">
        <v>93834</v>
      </c>
      <c r="E13" s="466">
        <v>2665</v>
      </c>
      <c r="F13" s="466">
        <v>17272</v>
      </c>
      <c r="G13" s="466"/>
      <c r="H13" s="466"/>
      <c r="I13" s="467"/>
      <c r="J13" s="467"/>
      <c r="K13" s="1693">
        <f t="shared" si="0"/>
        <v>550116</v>
      </c>
      <c r="L13" s="466">
        <v>566528</v>
      </c>
    </row>
    <row r="14" spans="1:14" x14ac:dyDescent="0.2">
      <c r="A14" s="1526" t="s">
        <v>1019</v>
      </c>
      <c r="B14" s="615">
        <v>1500</v>
      </c>
      <c r="C14" s="466">
        <v>528990</v>
      </c>
      <c r="D14" s="466">
        <v>53443</v>
      </c>
      <c r="E14" s="466">
        <v>77982</v>
      </c>
      <c r="F14" s="466">
        <v>47755</v>
      </c>
      <c r="G14" s="466"/>
      <c r="H14" s="466">
        <v>24539</v>
      </c>
      <c r="I14" s="467">
        <v>500</v>
      </c>
      <c r="J14" s="467"/>
      <c r="K14" s="1693">
        <f t="shared" si="0"/>
        <v>733209</v>
      </c>
      <c r="L14" s="466">
        <v>812137</v>
      </c>
    </row>
    <row r="15" spans="1:14" x14ac:dyDescent="0.2">
      <c r="A15" s="1526" t="s">
        <v>1020</v>
      </c>
      <c r="B15" s="615">
        <v>1600</v>
      </c>
      <c r="C15" s="466">
        <v>19407</v>
      </c>
      <c r="D15" s="466">
        <v>266</v>
      </c>
      <c r="E15" s="466"/>
      <c r="F15" s="466"/>
      <c r="G15" s="466"/>
      <c r="H15" s="466"/>
      <c r="I15" s="467"/>
      <c r="J15" s="467"/>
      <c r="K15" s="1693">
        <f t="shared" si="0"/>
        <v>19673</v>
      </c>
      <c r="L15" s="466">
        <v>21179</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156091</v>
      </c>
      <c r="D17" s="467">
        <v>40098</v>
      </c>
      <c r="E17" s="467">
        <v>1929</v>
      </c>
      <c r="F17" s="467">
        <v>139</v>
      </c>
      <c r="G17" s="467">
        <v>17980</v>
      </c>
      <c r="H17" s="467">
        <v>30</v>
      </c>
      <c r="I17" s="467"/>
      <c r="J17" s="467"/>
      <c r="K17" s="1693">
        <f t="shared" si="0"/>
        <v>216267</v>
      </c>
      <c r="L17" s="466">
        <v>228762</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1298168</v>
      </c>
      <c r="I22" s="617"/>
      <c r="J22" s="477"/>
      <c r="K22" s="1693">
        <f t="shared" si="0"/>
        <v>1298168</v>
      </c>
      <c r="L22" s="471">
        <v>1439375</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15445747</v>
      </c>
      <c r="D33" s="1692">
        <f t="shared" ref="D33:L33" si="1">SUM(D5:D32)</f>
        <v>3603076</v>
      </c>
      <c r="E33" s="1692">
        <f t="shared" si="1"/>
        <v>492517</v>
      </c>
      <c r="F33" s="1692">
        <f t="shared" si="1"/>
        <v>1223708</v>
      </c>
      <c r="G33" s="1692">
        <f t="shared" si="1"/>
        <v>62318</v>
      </c>
      <c r="H33" s="1692">
        <f t="shared" si="1"/>
        <v>1329416</v>
      </c>
      <c r="I33" s="1692">
        <f t="shared" si="1"/>
        <v>7485</v>
      </c>
      <c r="J33" s="1692">
        <f t="shared" si="1"/>
        <v>0</v>
      </c>
      <c r="K33" s="1692">
        <f t="shared" si="1"/>
        <v>22164267</v>
      </c>
      <c r="L33" s="1692">
        <f t="shared" si="1"/>
        <v>22977179</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227275</v>
      </c>
      <c r="D36" s="481">
        <v>33354</v>
      </c>
      <c r="E36" s="481">
        <v>481</v>
      </c>
      <c r="F36" s="481">
        <v>2088</v>
      </c>
      <c r="G36" s="481"/>
      <c r="H36" s="481"/>
      <c r="I36" s="467"/>
      <c r="J36" s="467"/>
      <c r="K36" s="1693">
        <f t="shared" ref="K36:K41" si="2">SUM(C36:J36)</f>
        <v>263198</v>
      </c>
      <c r="L36" s="466">
        <v>263415</v>
      </c>
    </row>
    <row r="37" spans="1:14" x14ac:dyDescent="0.2">
      <c r="A37" s="1526" t="s">
        <v>1150</v>
      </c>
      <c r="B37" s="615">
        <v>2120</v>
      </c>
      <c r="C37" s="466">
        <v>598263</v>
      </c>
      <c r="D37" s="466">
        <v>135006</v>
      </c>
      <c r="E37" s="466">
        <v>1138</v>
      </c>
      <c r="F37" s="466">
        <v>3785</v>
      </c>
      <c r="G37" s="466"/>
      <c r="H37" s="466"/>
      <c r="I37" s="467"/>
      <c r="J37" s="467"/>
      <c r="K37" s="1693">
        <f t="shared" si="2"/>
        <v>738192</v>
      </c>
      <c r="L37" s="466">
        <v>753937</v>
      </c>
    </row>
    <row r="38" spans="1:14" x14ac:dyDescent="0.2">
      <c r="A38" s="1526" t="s">
        <v>207</v>
      </c>
      <c r="B38" s="615">
        <v>2130</v>
      </c>
      <c r="C38" s="466">
        <v>199261</v>
      </c>
      <c r="D38" s="466">
        <v>28225</v>
      </c>
      <c r="E38" s="466">
        <v>1280</v>
      </c>
      <c r="F38" s="466">
        <v>15230</v>
      </c>
      <c r="G38" s="466"/>
      <c r="H38" s="466">
        <v>82</v>
      </c>
      <c r="I38" s="467"/>
      <c r="J38" s="467"/>
      <c r="K38" s="1693">
        <f t="shared" si="2"/>
        <v>244078</v>
      </c>
      <c r="L38" s="466">
        <v>317530</v>
      </c>
    </row>
    <row r="39" spans="1:14" x14ac:dyDescent="0.2">
      <c r="A39" s="1526" t="s">
        <v>208</v>
      </c>
      <c r="B39" s="615">
        <v>2140</v>
      </c>
      <c r="C39" s="466">
        <v>135874</v>
      </c>
      <c r="D39" s="466">
        <v>29889</v>
      </c>
      <c r="E39" s="466">
        <v>500</v>
      </c>
      <c r="F39" s="466">
        <v>2980</v>
      </c>
      <c r="G39" s="466"/>
      <c r="H39" s="466"/>
      <c r="I39" s="467"/>
      <c r="J39" s="467"/>
      <c r="K39" s="1693">
        <f t="shared" si="2"/>
        <v>169243</v>
      </c>
      <c r="L39" s="466">
        <v>171540</v>
      </c>
    </row>
    <row r="40" spans="1:14" x14ac:dyDescent="0.2">
      <c r="A40" s="1526" t="s">
        <v>209</v>
      </c>
      <c r="B40" s="615">
        <v>2150</v>
      </c>
      <c r="C40" s="466">
        <v>397325</v>
      </c>
      <c r="D40" s="466">
        <v>107938</v>
      </c>
      <c r="E40" s="466">
        <v>37529</v>
      </c>
      <c r="F40" s="466">
        <v>3583</v>
      </c>
      <c r="G40" s="466"/>
      <c r="H40" s="466"/>
      <c r="I40" s="467"/>
      <c r="J40" s="467"/>
      <c r="K40" s="1693">
        <f t="shared" si="2"/>
        <v>546375</v>
      </c>
      <c r="L40" s="466">
        <v>560891</v>
      </c>
    </row>
    <row r="41" spans="1:14" x14ac:dyDescent="0.2">
      <c r="A41" s="1526" t="s">
        <v>1767</v>
      </c>
      <c r="B41" s="615">
        <v>2190</v>
      </c>
      <c r="C41" s="466">
        <v>363982</v>
      </c>
      <c r="D41" s="466">
        <v>35811</v>
      </c>
      <c r="E41" s="466">
        <v>1428</v>
      </c>
      <c r="F41" s="466"/>
      <c r="G41" s="466"/>
      <c r="H41" s="466"/>
      <c r="I41" s="467"/>
      <c r="J41" s="467"/>
      <c r="K41" s="1693">
        <f t="shared" si="2"/>
        <v>401221</v>
      </c>
      <c r="L41" s="466">
        <v>389992</v>
      </c>
    </row>
    <row r="42" spans="1:14" ht="12.75" customHeight="1" thickBot="1" x14ac:dyDescent="0.25">
      <c r="A42" s="1690" t="s">
        <v>580</v>
      </c>
      <c r="B42" s="1691" t="s">
        <v>739</v>
      </c>
      <c r="C42" s="1692">
        <f>SUM(C36:C41)</f>
        <v>1921980</v>
      </c>
      <c r="D42" s="1692">
        <f t="shared" ref="D42:L42" si="3">SUM(D36:D41)</f>
        <v>370223</v>
      </c>
      <c r="E42" s="1692">
        <f t="shared" si="3"/>
        <v>42356</v>
      </c>
      <c r="F42" s="1692">
        <f t="shared" si="3"/>
        <v>27666</v>
      </c>
      <c r="G42" s="1692">
        <f t="shared" si="3"/>
        <v>0</v>
      </c>
      <c r="H42" s="1692">
        <f t="shared" si="3"/>
        <v>82</v>
      </c>
      <c r="I42" s="1692">
        <f t="shared" si="3"/>
        <v>0</v>
      </c>
      <c r="J42" s="1692">
        <f t="shared" si="3"/>
        <v>0</v>
      </c>
      <c r="K42" s="1692">
        <f t="shared" si="3"/>
        <v>2362307</v>
      </c>
      <c r="L42" s="1692">
        <f t="shared" si="3"/>
        <v>2457305</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43539</v>
      </c>
      <c r="D44" s="481">
        <v>6241</v>
      </c>
      <c r="E44" s="481">
        <v>122010</v>
      </c>
      <c r="F44" s="481">
        <v>4437</v>
      </c>
      <c r="G44" s="481"/>
      <c r="H44" s="481">
        <v>1711</v>
      </c>
      <c r="I44" s="467"/>
      <c r="J44" s="467"/>
      <c r="K44" s="1694">
        <f>SUM(C44:J44)</f>
        <v>177938</v>
      </c>
      <c r="L44" s="481">
        <v>255657</v>
      </c>
    </row>
    <row r="45" spans="1:14" x14ac:dyDescent="0.2">
      <c r="A45" s="1526" t="s">
        <v>868</v>
      </c>
      <c r="B45" s="615">
        <v>2220</v>
      </c>
      <c r="C45" s="466">
        <v>164162</v>
      </c>
      <c r="D45" s="466">
        <v>50712</v>
      </c>
      <c r="E45" s="466">
        <v>170</v>
      </c>
      <c r="F45" s="466">
        <v>39358</v>
      </c>
      <c r="G45" s="466"/>
      <c r="H45" s="466"/>
      <c r="I45" s="467"/>
      <c r="J45" s="467"/>
      <c r="K45" s="1694">
        <f>SUM(C45:J45)</f>
        <v>254402</v>
      </c>
      <c r="L45" s="466">
        <v>273712</v>
      </c>
    </row>
    <row r="46" spans="1:14" x14ac:dyDescent="0.2">
      <c r="A46" s="1526" t="s">
        <v>869</v>
      </c>
      <c r="B46" s="615">
        <v>2230</v>
      </c>
      <c r="C46" s="466"/>
      <c r="D46" s="466"/>
      <c r="E46" s="466">
        <v>16651</v>
      </c>
      <c r="F46" s="466">
        <v>1950</v>
      </c>
      <c r="G46" s="466"/>
      <c r="H46" s="466"/>
      <c r="I46" s="467"/>
      <c r="J46" s="467"/>
      <c r="K46" s="1694">
        <f>SUM(C46:J46)</f>
        <v>18601</v>
      </c>
      <c r="L46" s="466">
        <v>17000</v>
      </c>
    </row>
    <row r="47" spans="1:14" ht="12.75" customHeight="1" thickBot="1" x14ac:dyDescent="0.25">
      <c r="A47" s="1690" t="s">
        <v>581</v>
      </c>
      <c r="B47" s="1691" t="s">
        <v>32</v>
      </c>
      <c r="C47" s="1692">
        <f>SUM(C44:C46)</f>
        <v>207701</v>
      </c>
      <c r="D47" s="1692">
        <f t="shared" ref="D47:K47" si="4">SUM(D44:D46)</f>
        <v>56953</v>
      </c>
      <c r="E47" s="1692">
        <f t="shared" si="4"/>
        <v>138831</v>
      </c>
      <c r="F47" s="1692">
        <f t="shared" si="4"/>
        <v>45745</v>
      </c>
      <c r="G47" s="1692">
        <f t="shared" si="4"/>
        <v>0</v>
      </c>
      <c r="H47" s="1692">
        <f t="shared" si="4"/>
        <v>1711</v>
      </c>
      <c r="I47" s="1692">
        <f t="shared" si="4"/>
        <v>0</v>
      </c>
      <c r="J47" s="1692">
        <f t="shared" si="4"/>
        <v>0</v>
      </c>
      <c r="K47" s="1692">
        <f t="shared" si="4"/>
        <v>450941</v>
      </c>
      <c r="L47" s="1692">
        <f>SUM(L44:L46)</f>
        <v>546369</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72706</v>
      </c>
      <c r="D49" s="481">
        <v>17707</v>
      </c>
      <c r="E49" s="481">
        <v>118952</v>
      </c>
      <c r="F49" s="481">
        <v>16860</v>
      </c>
      <c r="G49" s="481">
        <v>12128</v>
      </c>
      <c r="H49" s="481"/>
      <c r="I49" s="467"/>
      <c r="J49" s="467"/>
      <c r="K49" s="1694">
        <f>SUM(C49:J49)</f>
        <v>238353</v>
      </c>
      <c r="L49" s="481">
        <v>297386</v>
      </c>
    </row>
    <row r="50" spans="1:14" x14ac:dyDescent="0.2">
      <c r="A50" s="1526" t="s">
        <v>871</v>
      </c>
      <c r="B50" s="615">
        <v>2320</v>
      </c>
      <c r="C50" s="466">
        <v>310674</v>
      </c>
      <c r="D50" s="466">
        <v>69477</v>
      </c>
      <c r="E50" s="466">
        <v>11421</v>
      </c>
      <c r="F50" s="466">
        <v>455</v>
      </c>
      <c r="G50" s="466"/>
      <c r="H50" s="466">
        <v>2070</v>
      </c>
      <c r="I50" s="467"/>
      <c r="J50" s="467"/>
      <c r="K50" s="1694">
        <f>SUM(C50:J50)</f>
        <v>394097</v>
      </c>
      <c r="L50" s="466">
        <v>392444</v>
      </c>
    </row>
    <row r="51" spans="1:14" x14ac:dyDescent="0.2">
      <c r="A51" s="1526" t="s">
        <v>44</v>
      </c>
      <c r="B51" s="615">
        <v>2330</v>
      </c>
      <c r="C51" s="466">
        <v>182516</v>
      </c>
      <c r="D51" s="466">
        <v>38761</v>
      </c>
      <c r="E51" s="466">
        <v>3339</v>
      </c>
      <c r="F51" s="466">
        <v>13572</v>
      </c>
      <c r="G51" s="466"/>
      <c r="H51" s="466">
        <v>540</v>
      </c>
      <c r="I51" s="467"/>
      <c r="J51" s="467"/>
      <c r="K51" s="1694">
        <f>SUM(C51:J51)</f>
        <v>238728</v>
      </c>
      <c r="L51" s="466">
        <v>247942</v>
      </c>
    </row>
    <row r="52" spans="1:14" ht="22.5" x14ac:dyDescent="0.2">
      <c r="A52" s="1527" t="s">
        <v>315</v>
      </c>
      <c r="B52" s="628" t="s">
        <v>383</v>
      </c>
      <c r="C52" s="474"/>
      <c r="D52" s="474"/>
      <c r="E52" s="474">
        <v>591595</v>
      </c>
      <c r="F52" s="474"/>
      <c r="G52" s="474"/>
      <c r="H52" s="474"/>
      <c r="I52" s="474"/>
      <c r="J52" s="474"/>
      <c r="K52" s="1694">
        <f>SUM(C52:J52)</f>
        <v>591595</v>
      </c>
      <c r="L52" s="474">
        <v>593000</v>
      </c>
    </row>
    <row r="53" spans="1:14" ht="12.75" customHeight="1" thickBot="1" x14ac:dyDescent="0.25">
      <c r="A53" s="1690" t="s">
        <v>740</v>
      </c>
      <c r="B53" s="1691" t="s">
        <v>33</v>
      </c>
      <c r="C53" s="1692">
        <f>SUM(C49:C52)</f>
        <v>565896</v>
      </c>
      <c r="D53" s="1692">
        <f t="shared" ref="D53:L53" si="5">SUM(D49:D52)</f>
        <v>125945</v>
      </c>
      <c r="E53" s="1692">
        <f t="shared" si="5"/>
        <v>725307</v>
      </c>
      <c r="F53" s="1692">
        <f t="shared" si="5"/>
        <v>30887</v>
      </c>
      <c r="G53" s="1692">
        <f t="shared" si="5"/>
        <v>12128</v>
      </c>
      <c r="H53" s="1692">
        <f t="shared" si="5"/>
        <v>2610</v>
      </c>
      <c r="I53" s="1692">
        <f t="shared" si="5"/>
        <v>0</v>
      </c>
      <c r="J53" s="1692">
        <f t="shared" si="5"/>
        <v>0</v>
      </c>
      <c r="K53" s="1692">
        <f t="shared" si="5"/>
        <v>1462773</v>
      </c>
      <c r="L53" s="1692">
        <f t="shared" si="5"/>
        <v>1530772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1444120</v>
      </c>
      <c r="D55" s="481">
        <v>309090</v>
      </c>
      <c r="E55" s="481">
        <v>21985</v>
      </c>
      <c r="F55" s="481">
        <v>36187</v>
      </c>
      <c r="G55" s="481"/>
      <c r="H55" s="481">
        <v>11354</v>
      </c>
      <c r="I55" s="467">
        <v>950</v>
      </c>
      <c r="J55" s="467"/>
      <c r="K55" s="1694">
        <f>SUM(C55:J55)</f>
        <v>1823686</v>
      </c>
      <c r="L55" s="481">
        <v>1873399</v>
      </c>
    </row>
    <row r="56" spans="1:14" ht="12.75" customHeight="1" x14ac:dyDescent="0.2">
      <c r="A56" s="1530" t="s">
        <v>393</v>
      </c>
      <c r="B56" s="629">
        <v>2490</v>
      </c>
      <c r="C56" s="466">
        <v>176181</v>
      </c>
      <c r="D56" s="466">
        <v>22192</v>
      </c>
      <c r="E56" s="466">
        <v>3591</v>
      </c>
      <c r="F56" s="466">
        <v>1088</v>
      </c>
      <c r="G56" s="466"/>
      <c r="H56" s="466">
        <v>398</v>
      </c>
      <c r="I56" s="467"/>
      <c r="J56" s="467"/>
      <c r="K56" s="1694">
        <f>SUM(C56:J56)</f>
        <v>203450</v>
      </c>
      <c r="L56" s="466">
        <v>209800</v>
      </c>
    </row>
    <row r="57" spans="1:14" s="343" customFormat="1" ht="12.75" customHeight="1" thickBot="1" x14ac:dyDescent="0.25">
      <c r="A57" s="1690" t="s">
        <v>281</v>
      </c>
      <c r="B57" s="1695" t="s">
        <v>34</v>
      </c>
      <c r="C57" s="1696">
        <f>SUM(C55:C56)</f>
        <v>1620301</v>
      </c>
      <c r="D57" s="1696">
        <f t="shared" ref="D57:K57" si="6">SUM(D55:D56)</f>
        <v>331282</v>
      </c>
      <c r="E57" s="1696">
        <f t="shared" si="6"/>
        <v>25576</v>
      </c>
      <c r="F57" s="1696">
        <f t="shared" si="6"/>
        <v>37275</v>
      </c>
      <c r="G57" s="1696">
        <f t="shared" si="6"/>
        <v>0</v>
      </c>
      <c r="H57" s="1696">
        <f t="shared" si="6"/>
        <v>11752</v>
      </c>
      <c r="I57" s="1696">
        <f t="shared" si="6"/>
        <v>950</v>
      </c>
      <c r="J57" s="1696">
        <f t="shared" si="6"/>
        <v>0</v>
      </c>
      <c r="K57" s="1696">
        <f t="shared" si="6"/>
        <v>2027136</v>
      </c>
      <c r="L57" s="1692">
        <f>SUM(L55:L56)</f>
        <v>2083199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102141</v>
      </c>
      <c r="D59" s="481">
        <v>11556</v>
      </c>
      <c r="E59" s="481">
        <v>4203</v>
      </c>
      <c r="F59" s="481">
        <v>333</v>
      </c>
      <c r="G59" s="481"/>
      <c r="H59" s="481">
        <v>395</v>
      </c>
      <c r="I59" s="467"/>
      <c r="J59" s="467"/>
      <c r="K59" s="1694">
        <f t="shared" ref="K59:K64" si="7">SUM(C59:J59)</f>
        <v>118628</v>
      </c>
      <c r="L59" s="481">
        <v>122366</v>
      </c>
      <c r="M59" s="610"/>
      <c r="N59" s="610"/>
    </row>
    <row r="60" spans="1:14" s="343" customFormat="1" x14ac:dyDescent="0.2">
      <c r="A60" s="1526" t="s">
        <v>482</v>
      </c>
      <c r="B60" s="615">
        <v>2520</v>
      </c>
      <c r="C60" s="466">
        <v>87719</v>
      </c>
      <c r="D60" s="466">
        <v>14352</v>
      </c>
      <c r="E60" s="466">
        <v>71504</v>
      </c>
      <c r="F60" s="466">
        <v>1724</v>
      </c>
      <c r="G60" s="466"/>
      <c r="H60" s="466"/>
      <c r="I60" s="467"/>
      <c r="J60" s="467"/>
      <c r="K60" s="1694">
        <f t="shared" si="7"/>
        <v>175299</v>
      </c>
      <c r="L60" s="466">
        <v>182843</v>
      </c>
      <c r="M60" s="610"/>
      <c r="N60" s="610"/>
    </row>
    <row r="61" spans="1:14" s="343" customFormat="1" x14ac:dyDescent="0.2">
      <c r="A61" s="1526" t="s">
        <v>206</v>
      </c>
      <c r="B61" s="615">
        <v>2540</v>
      </c>
      <c r="C61" s="466">
        <v>242101</v>
      </c>
      <c r="D61" s="466">
        <v>1248</v>
      </c>
      <c r="E61" s="466">
        <v>315</v>
      </c>
      <c r="F61" s="466"/>
      <c r="G61" s="466"/>
      <c r="H61" s="466"/>
      <c r="I61" s="467"/>
      <c r="J61" s="467"/>
      <c r="K61" s="1694">
        <f t="shared" si="7"/>
        <v>243664</v>
      </c>
      <c r="L61" s="466">
        <v>283173</v>
      </c>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760855</v>
      </c>
      <c r="D63" s="466">
        <v>124806</v>
      </c>
      <c r="E63" s="466">
        <v>9040</v>
      </c>
      <c r="F63" s="466">
        <v>1000624</v>
      </c>
      <c r="G63" s="466"/>
      <c r="H63" s="466">
        <v>365</v>
      </c>
      <c r="I63" s="467"/>
      <c r="J63" s="467"/>
      <c r="K63" s="1694">
        <f t="shared" si="7"/>
        <v>1895690</v>
      </c>
      <c r="L63" s="466">
        <v>1990980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1192816</v>
      </c>
      <c r="D65" s="1692">
        <f t="shared" ref="D65:L65" si="8">SUM(D59:D64)</f>
        <v>151962</v>
      </c>
      <c r="E65" s="1692">
        <f t="shared" si="8"/>
        <v>85062</v>
      </c>
      <c r="F65" s="1692">
        <f t="shared" si="8"/>
        <v>1002681</v>
      </c>
      <c r="G65" s="1692">
        <f t="shared" si="8"/>
        <v>0</v>
      </c>
      <c r="H65" s="1692">
        <f t="shared" si="8"/>
        <v>760</v>
      </c>
      <c r="I65" s="1692">
        <f t="shared" si="8"/>
        <v>0</v>
      </c>
      <c r="J65" s="1692">
        <f t="shared" si="8"/>
        <v>0</v>
      </c>
      <c r="K65" s="1692">
        <f t="shared" si="8"/>
        <v>2433281</v>
      </c>
      <c r="L65" s="1692">
        <f t="shared" si="8"/>
        <v>2579362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68015</v>
      </c>
      <c r="D69" s="466">
        <v>211</v>
      </c>
      <c r="E69" s="466">
        <v>175</v>
      </c>
      <c r="F69" s="466">
        <v>108</v>
      </c>
      <c r="G69" s="466"/>
      <c r="H69" s="466">
        <v>275</v>
      </c>
      <c r="I69" s="467"/>
      <c r="J69" s="467"/>
      <c r="K69" s="1694">
        <f>SUM(C69:J69)</f>
        <v>68784</v>
      </c>
      <c r="L69" s="466">
        <v>70375</v>
      </c>
      <c r="M69" s="610"/>
      <c r="N69" s="610"/>
    </row>
    <row r="70" spans="1:14" s="343" customFormat="1" x14ac:dyDescent="0.2">
      <c r="A70" s="1526" t="s">
        <v>422</v>
      </c>
      <c r="B70" s="615">
        <v>2640</v>
      </c>
      <c r="C70" s="466">
        <v>41335</v>
      </c>
      <c r="D70" s="466">
        <v>7596</v>
      </c>
      <c r="E70" s="466">
        <v>9355</v>
      </c>
      <c r="F70" s="466"/>
      <c r="G70" s="466"/>
      <c r="H70" s="466"/>
      <c r="I70" s="467"/>
      <c r="J70" s="467"/>
      <c r="K70" s="1694">
        <f>SUM(C70:J70)</f>
        <v>58286</v>
      </c>
      <c r="L70" s="466">
        <v>59187</v>
      </c>
      <c r="M70" s="610"/>
      <c r="N70" s="610"/>
    </row>
    <row r="71" spans="1:14" s="343" customFormat="1" x14ac:dyDescent="0.2">
      <c r="A71" s="1526" t="s">
        <v>423</v>
      </c>
      <c r="B71" s="615">
        <v>2660</v>
      </c>
      <c r="C71" s="466">
        <v>305331</v>
      </c>
      <c r="D71" s="466">
        <v>49186</v>
      </c>
      <c r="E71" s="466">
        <v>245163</v>
      </c>
      <c r="F71" s="466">
        <v>375380</v>
      </c>
      <c r="G71" s="466">
        <v>187490</v>
      </c>
      <c r="H71" s="466"/>
      <c r="I71" s="467">
        <v>33291</v>
      </c>
      <c r="J71" s="467"/>
      <c r="K71" s="1694">
        <f>SUM(C71:J71)</f>
        <v>1195841</v>
      </c>
      <c r="L71" s="466">
        <v>1278075</v>
      </c>
      <c r="M71" s="610"/>
      <c r="N71" s="610"/>
    </row>
    <row r="72" spans="1:14" s="343" customFormat="1" ht="12.75" customHeight="1" thickBot="1" x14ac:dyDescent="0.25">
      <c r="A72" s="1690" t="s">
        <v>37</v>
      </c>
      <c r="B72" s="1697" t="s">
        <v>36</v>
      </c>
      <c r="C72" s="1692">
        <f>SUM(C67:C71)</f>
        <v>414681</v>
      </c>
      <c r="D72" s="1692">
        <f t="shared" ref="D72:K72" si="9">SUM(D67:D71)</f>
        <v>56993</v>
      </c>
      <c r="E72" s="1692">
        <f t="shared" si="9"/>
        <v>254693</v>
      </c>
      <c r="F72" s="1692">
        <f t="shared" si="9"/>
        <v>375488</v>
      </c>
      <c r="G72" s="1692">
        <f t="shared" si="9"/>
        <v>187490</v>
      </c>
      <c r="H72" s="1692">
        <f t="shared" si="9"/>
        <v>275</v>
      </c>
      <c r="I72" s="1692">
        <f t="shared" si="9"/>
        <v>33291</v>
      </c>
      <c r="J72" s="1692">
        <f t="shared" si="9"/>
        <v>0</v>
      </c>
      <c r="K72" s="1692">
        <f t="shared" si="9"/>
        <v>1322911</v>
      </c>
      <c r="L72" s="1692">
        <f>SUM(L67:L71)</f>
        <v>1407637</v>
      </c>
      <c r="M72" s="610"/>
      <c r="N72" s="610"/>
    </row>
    <row r="73" spans="1:14" s="343" customFormat="1" ht="14.25" thickTop="1" thickBot="1" x14ac:dyDescent="0.25">
      <c r="A73" s="1532" t="s">
        <v>1036</v>
      </c>
      <c r="B73" s="633" t="s">
        <v>594</v>
      </c>
      <c r="C73" s="573"/>
      <c r="D73" s="573"/>
      <c r="E73" s="573">
        <v>963</v>
      </c>
      <c r="F73" s="573">
        <v>291</v>
      </c>
      <c r="G73" s="573"/>
      <c r="H73" s="573"/>
      <c r="I73" s="531"/>
      <c r="J73" s="531"/>
      <c r="K73" s="1692">
        <f>SUM(C73:J73)</f>
        <v>1254</v>
      </c>
      <c r="L73" s="576">
        <v>1368</v>
      </c>
      <c r="M73" s="610"/>
      <c r="N73" s="610"/>
    </row>
    <row r="74" spans="1:14" ht="12.75" customHeight="1" thickTop="1" thickBot="1" x14ac:dyDescent="0.25">
      <c r="A74" s="1690" t="s">
        <v>864</v>
      </c>
      <c r="B74" s="1698">
        <v>2000</v>
      </c>
      <c r="C74" s="1699">
        <f>SUM(C42,C47,C53,C57,C65,C72,C73)</f>
        <v>5923375</v>
      </c>
      <c r="D74" s="1699">
        <f t="shared" ref="D74:K74" si="10">SUM(D42,D47,D53,D57,D65,D72,D73)</f>
        <v>1093358</v>
      </c>
      <c r="E74" s="1699">
        <f t="shared" si="10"/>
        <v>1272788</v>
      </c>
      <c r="F74" s="1699">
        <f t="shared" si="10"/>
        <v>1520033</v>
      </c>
      <c r="G74" s="1699">
        <f t="shared" si="10"/>
        <v>199618</v>
      </c>
      <c r="H74" s="1699">
        <f t="shared" si="10"/>
        <v>17190</v>
      </c>
      <c r="I74" s="1699">
        <f t="shared" si="10"/>
        <v>34241</v>
      </c>
      <c r="J74" s="1699">
        <f t="shared" si="10"/>
        <v>0</v>
      </c>
      <c r="K74" s="1699">
        <f t="shared" si="10"/>
        <v>10060603</v>
      </c>
      <c r="L74" s="1699">
        <f>SUM(L42,L47,L53,L57,L65,L72,L73)</f>
        <v>10606012</v>
      </c>
    </row>
    <row r="75" spans="1:14" s="259" customFormat="1" ht="15.75" customHeight="1" thickTop="1" thickBot="1" x14ac:dyDescent="0.25">
      <c r="A75" s="1632" t="s">
        <v>49</v>
      </c>
      <c r="B75" s="1633" t="s">
        <v>595</v>
      </c>
      <c r="C75" s="573">
        <v>8920</v>
      </c>
      <c r="D75" s="573">
        <v>13</v>
      </c>
      <c r="E75" s="573">
        <v>279</v>
      </c>
      <c r="F75" s="573">
        <v>427</v>
      </c>
      <c r="G75" s="573"/>
      <c r="H75" s="573"/>
      <c r="I75" s="531"/>
      <c r="J75" s="531"/>
      <c r="K75" s="1692">
        <f>SUM(C75:J75)</f>
        <v>9639</v>
      </c>
      <c r="L75" s="576">
        <v>10647</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19494</v>
      </c>
      <c r="F78" s="617"/>
      <c r="G78" s="617"/>
      <c r="H78" s="635"/>
      <c r="I78" s="477"/>
      <c r="J78" s="477"/>
      <c r="K78" s="1693">
        <f t="shared" ref="K78:K83" si="11">SUM(C78:J78)</f>
        <v>19494</v>
      </c>
      <c r="L78" s="481">
        <v>1500</v>
      </c>
    </row>
    <row r="79" spans="1:14" x14ac:dyDescent="0.2">
      <c r="A79" s="1526" t="s">
        <v>321</v>
      </c>
      <c r="B79" s="615">
        <v>4120</v>
      </c>
      <c r="C79" s="617"/>
      <c r="D79" s="617"/>
      <c r="E79" s="466"/>
      <c r="F79" s="617"/>
      <c r="G79" s="617"/>
      <c r="H79" s="466"/>
      <c r="I79" s="477"/>
      <c r="J79" s="477"/>
      <c r="K79" s="1693">
        <f t="shared" si="11"/>
        <v>0</v>
      </c>
      <c r="L79" s="466">
        <v>38500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v>2796</v>
      </c>
      <c r="I81" s="477"/>
      <c r="J81" s="477"/>
      <c r="K81" s="1693">
        <f t="shared" si="11"/>
        <v>2796</v>
      </c>
      <c r="L81" s="466">
        <v>2800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v>500</v>
      </c>
    </row>
    <row r="84" spans="1:12" ht="13.5" thickBot="1" x14ac:dyDescent="0.25">
      <c r="A84" s="1690" t="s">
        <v>1564</v>
      </c>
      <c r="B84" s="1700">
        <v>4100</v>
      </c>
      <c r="C84" s="617"/>
      <c r="D84" s="617"/>
      <c r="E84" s="1692">
        <f>SUM(E78:E83)</f>
        <v>19494</v>
      </c>
      <c r="F84" s="617"/>
      <c r="G84" s="617"/>
      <c r="H84" s="1692">
        <f>SUM(H78:H83)</f>
        <v>2796</v>
      </c>
      <c r="I84" s="477"/>
      <c r="J84" s="477"/>
      <c r="K84" s="1692">
        <f>SUM(K78:K83)</f>
        <v>22290</v>
      </c>
      <c r="L84" s="1692">
        <f>SUM(L78:L83)</f>
        <v>43300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84435</v>
      </c>
      <c r="I86" s="477"/>
      <c r="J86" s="477"/>
      <c r="K86" s="1699">
        <f t="shared" ref="K86:K98" si="12">H86</f>
        <v>84435</v>
      </c>
      <c r="L86" s="530">
        <v>95000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336275</v>
      </c>
      <c r="I88" s="477"/>
      <c r="J88" s="477"/>
      <c r="K88" s="1699">
        <f t="shared" si="12"/>
        <v>336275</v>
      </c>
      <c r="L88" s="530">
        <v>337000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v>31275</v>
      </c>
      <c r="I91" s="477"/>
      <c r="J91" s="477"/>
      <c r="K91" s="1699">
        <f t="shared" si="12"/>
        <v>31275</v>
      </c>
      <c r="L91" s="530">
        <v>31500</v>
      </c>
    </row>
    <row r="92" spans="1:12" ht="14.25" thickTop="1" thickBot="1" x14ac:dyDescent="0.25">
      <c r="A92" s="1702" t="s">
        <v>1640</v>
      </c>
      <c r="B92" s="1700">
        <v>4200</v>
      </c>
      <c r="C92" s="617"/>
      <c r="D92" s="617"/>
      <c r="E92" s="639"/>
      <c r="F92" s="617"/>
      <c r="G92" s="617"/>
      <c r="H92" s="1692">
        <f>SUM(H85:H91)</f>
        <v>451985</v>
      </c>
      <c r="I92" s="477"/>
      <c r="J92" s="477"/>
      <c r="K92" s="1699">
        <f t="shared" si="12"/>
        <v>451985</v>
      </c>
      <c r="L92" s="1692">
        <f>SUM(L85:L91)</f>
        <v>463500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19494</v>
      </c>
      <c r="F102" s="617"/>
      <c r="G102" s="617"/>
      <c r="H102" s="1699">
        <f>SUM(H84,H92,H100,H101)</f>
        <v>454781</v>
      </c>
      <c r="I102" s="477"/>
      <c r="J102" s="477"/>
      <c r="K102" s="1699">
        <f>SUM(K84,K92,K100,K101)</f>
        <v>474275</v>
      </c>
      <c r="L102" s="1699">
        <f>SUM(L84,L92,L100,L101)</f>
        <v>506800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v>2600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2600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2600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155000</v>
      </c>
      <c r="M113" s="614"/>
      <c r="N113" s="614"/>
    </row>
    <row r="114" spans="1:14" ht="12.75" customHeight="1" thickTop="1" thickBot="1" x14ac:dyDescent="0.25">
      <c r="A114" s="1690" t="s">
        <v>50</v>
      </c>
      <c r="B114" s="1704"/>
      <c r="C114" s="1692">
        <f>SUM(C33,C74,C75,C102,C112,C113)</f>
        <v>21378042</v>
      </c>
      <c r="D114" s="1692">
        <f t="shared" ref="D114:K114" si="13">SUM(D33,D74,D75,D102,D112,D113)</f>
        <v>4696447</v>
      </c>
      <c r="E114" s="1692">
        <f t="shared" si="13"/>
        <v>1785078</v>
      </c>
      <c r="F114" s="1692">
        <f t="shared" si="13"/>
        <v>2744168</v>
      </c>
      <c r="G114" s="1692">
        <f t="shared" si="13"/>
        <v>261936</v>
      </c>
      <c r="H114" s="1692">
        <f>SUM(H33,H74,H75,H102,H112,H113)</f>
        <v>1801387</v>
      </c>
      <c r="I114" s="1692">
        <f t="shared" si="13"/>
        <v>41726</v>
      </c>
      <c r="J114" s="1692">
        <f t="shared" si="13"/>
        <v>0</v>
      </c>
      <c r="K114" s="1692">
        <f t="shared" si="13"/>
        <v>32708784</v>
      </c>
      <c r="L114" s="1692">
        <f>SUM(L33,L74,L75,L102,L112,L113)</f>
        <v>34258238</v>
      </c>
    </row>
    <row r="115" spans="1:14" ht="13.5" thickTop="1" x14ac:dyDescent="0.2">
      <c r="A115" s="2198" t="s">
        <v>1052</v>
      </c>
      <c r="B115" s="2199"/>
      <c r="C115" s="619"/>
      <c r="D115" s="619"/>
      <c r="E115" s="619"/>
      <c r="F115" s="619"/>
      <c r="G115" s="619"/>
      <c r="H115" s="619"/>
      <c r="I115" s="619"/>
      <c r="J115" s="619"/>
      <c r="K115" s="1706">
        <f>'Revenues 9-14'!C275-'Expenditures 15-22'!K114</f>
        <v>4146733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313</v>
      </c>
      <c r="B117" s="2177"/>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1709976</v>
      </c>
      <c r="D124" s="466">
        <v>266614</v>
      </c>
      <c r="E124" s="466">
        <v>419931</v>
      </c>
      <c r="F124" s="466">
        <v>1206155</v>
      </c>
      <c r="G124" s="466">
        <v>179439</v>
      </c>
      <c r="H124" s="466">
        <v>6020</v>
      </c>
      <c r="I124" s="467">
        <v>36795</v>
      </c>
      <c r="J124" s="467"/>
      <c r="K124" s="1692">
        <f>SUM(C124:J124)</f>
        <v>3824930</v>
      </c>
      <c r="L124" s="466">
        <v>4209962</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1709976</v>
      </c>
      <c r="D127" s="1692">
        <f t="shared" ref="D127:L127" si="14">SUM(D122:D126)</f>
        <v>266614</v>
      </c>
      <c r="E127" s="1692">
        <f t="shared" si="14"/>
        <v>419931</v>
      </c>
      <c r="F127" s="1692">
        <f t="shared" si="14"/>
        <v>1206155</v>
      </c>
      <c r="G127" s="1692">
        <f t="shared" si="14"/>
        <v>179439</v>
      </c>
      <c r="H127" s="1692">
        <f t="shared" si="14"/>
        <v>6020</v>
      </c>
      <c r="I127" s="1692">
        <f t="shared" si="14"/>
        <v>36795</v>
      </c>
      <c r="J127" s="1692">
        <f t="shared" si="14"/>
        <v>0</v>
      </c>
      <c r="K127" s="1692">
        <f t="shared" si="14"/>
        <v>3824930</v>
      </c>
      <c r="L127" s="1692">
        <f t="shared" si="14"/>
        <v>4209962</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1709976</v>
      </c>
      <c r="D129" s="1699">
        <f t="shared" ref="D129:L129" si="15">SUM(D120,D127,D128)</f>
        <v>266614</v>
      </c>
      <c r="E129" s="1699">
        <f t="shared" si="15"/>
        <v>419931</v>
      </c>
      <c r="F129" s="1699">
        <f t="shared" si="15"/>
        <v>1206155</v>
      </c>
      <c r="G129" s="1699">
        <f t="shared" si="15"/>
        <v>179439</v>
      </c>
      <c r="H129" s="1699">
        <f t="shared" si="15"/>
        <v>6020</v>
      </c>
      <c r="I129" s="1699">
        <f t="shared" si="15"/>
        <v>36795</v>
      </c>
      <c r="J129" s="1699">
        <f t="shared" si="15"/>
        <v>0</v>
      </c>
      <c r="K129" s="1699">
        <f t="shared" si="15"/>
        <v>3824930</v>
      </c>
      <c r="L129" s="1699">
        <f t="shared" si="15"/>
        <v>4209962</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1952</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200000</v>
      </c>
    </row>
    <row r="151" spans="1:14" ht="12.75" customHeight="1" thickTop="1" thickBot="1" x14ac:dyDescent="0.25">
      <c r="A151" s="2188" t="s">
        <v>640</v>
      </c>
      <c r="B151" s="2170"/>
      <c r="C151" s="1692">
        <f>SUM(C129,C130,C139,C149,C150)</f>
        <v>1709976</v>
      </c>
      <c r="D151" s="1692">
        <f t="shared" ref="D151:K151" si="16">SUM(D129,D130,D139,D149,D150)</f>
        <v>266614</v>
      </c>
      <c r="E151" s="1692">
        <f t="shared" si="16"/>
        <v>419931</v>
      </c>
      <c r="F151" s="1692">
        <f t="shared" si="16"/>
        <v>1206155</v>
      </c>
      <c r="G151" s="1692">
        <f t="shared" si="16"/>
        <v>179439</v>
      </c>
      <c r="H151" s="1692">
        <f t="shared" si="16"/>
        <v>6020</v>
      </c>
      <c r="I151" s="1692">
        <f t="shared" si="16"/>
        <v>36795</v>
      </c>
      <c r="J151" s="1692">
        <f t="shared" si="16"/>
        <v>0</v>
      </c>
      <c r="K151" s="1692">
        <f t="shared" si="16"/>
        <v>3824930</v>
      </c>
      <c r="L151" s="1692">
        <f>SUM(L129,L130,L139,L149,L150)</f>
        <v>4409962</v>
      </c>
    </row>
    <row r="152" spans="1:14" ht="12.75" customHeight="1" thickTop="1" x14ac:dyDescent="0.2">
      <c r="A152" s="2191" t="s">
        <v>1239</v>
      </c>
      <c r="B152" s="2192"/>
      <c r="C152" s="619"/>
      <c r="D152" s="619"/>
      <c r="E152" s="619"/>
      <c r="F152" s="619"/>
      <c r="G152" s="619"/>
      <c r="H152" s="619"/>
      <c r="I152" s="619"/>
      <c r="J152" s="617"/>
      <c r="K152" s="1706">
        <f>'Revenues 9-14'!D275-'Expenditures 15-22'!K151</f>
        <v>575992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641</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1952</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1954</v>
      </c>
      <c r="C158" s="617"/>
      <c r="D158" s="617"/>
      <c r="E158" s="617"/>
      <c r="F158" s="617"/>
      <c r="G158" s="617"/>
      <c r="H158" s="467"/>
      <c r="I158" s="617"/>
      <c r="J158" s="617"/>
      <c r="K158" s="1693">
        <f>H158</f>
        <v>0</v>
      </c>
      <c r="L158" s="467"/>
      <c r="M158" s="620"/>
      <c r="N158" s="620"/>
    </row>
    <row r="159" spans="1:14" s="621" customFormat="1" ht="12" x14ac:dyDescent="0.2">
      <c r="A159" s="1849" t="s">
        <v>1955</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1956</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1978945</v>
      </c>
      <c r="I169" s="617"/>
      <c r="J169" s="617"/>
      <c r="K169" s="1693">
        <f>SUM(C169:H169)</f>
        <v>1978945</v>
      </c>
      <c r="L169" s="657">
        <v>1978945</v>
      </c>
    </row>
    <row r="170" spans="1:14" ht="33.75" customHeight="1" x14ac:dyDescent="0.2">
      <c r="A170" s="670" t="s">
        <v>1768</v>
      </c>
      <c r="B170" s="672" t="s">
        <v>31</v>
      </c>
      <c r="C170" s="617"/>
      <c r="D170" s="617"/>
      <c r="E170" s="617"/>
      <c r="F170" s="617"/>
      <c r="G170" s="617"/>
      <c r="H170" s="569">
        <v>3095000</v>
      </c>
      <c r="I170" s="617"/>
      <c r="J170" s="617"/>
      <c r="K170" s="1693">
        <f>SUM(C170:J170)</f>
        <v>3095000</v>
      </c>
      <c r="L170" s="569">
        <v>3095000</v>
      </c>
    </row>
    <row r="171" spans="1:14" ht="15.75" customHeight="1" x14ac:dyDescent="0.2">
      <c r="A171" s="622" t="s">
        <v>789</v>
      </c>
      <c r="B171" s="673" t="s">
        <v>86</v>
      </c>
      <c r="C171" s="617"/>
      <c r="D171" s="617"/>
      <c r="E171" s="466"/>
      <c r="F171" s="617"/>
      <c r="G171" s="617"/>
      <c r="H171" s="569"/>
      <c r="I171" s="477"/>
      <c r="J171" s="617"/>
      <c r="K171" s="1693">
        <f>SUM(C171:J171)</f>
        <v>0</v>
      </c>
      <c r="L171" s="569"/>
    </row>
    <row r="172" spans="1:14" ht="12.75" customHeight="1" thickBot="1" x14ac:dyDescent="0.25">
      <c r="A172" s="1690" t="s">
        <v>658</v>
      </c>
      <c r="B172" s="1691" t="s">
        <v>512</v>
      </c>
      <c r="C172" s="617"/>
      <c r="D172" s="617"/>
      <c r="E172" s="1699">
        <f>SUM(E168,E169,E170,E171)</f>
        <v>0</v>
      </c>
      <c r="F172" s="617"/>
      <c r="G172" s="617"/>
      <c r="H172" s="1699">
        <f>SUM(H168,H169,H170,H171)</f>
        <v>5073945</v>
      </c>
      <c r="I172" s="639"/>
      <c r="J172" s="617"/>
      <c r="K172" s="1699">
        <f>SUM(K168,K169,K170,K171)</f>
        <v>5073945</v>
      </c>
      <c r="L172" s="1699">
        <f>SUM(L168,L169,L170,L171)</f>
        <v>5073945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5073945</v>
      </c>
      <c r="I174" s="639"/>
      <c r="J174" s="617"/>
      <c r="K174" s="1699">
        <f>SUM(K160,K172,K173)</f>
        <v>5073945</v>
      </c>
      <c r="L174" s="1699">
        <f>SUM(L160,L172,L173)</f>
        <v>5073945</v>
      </c>
    </row>
    <row r="175" spans="1:14" ht="13.5" thickTop="1" x14ac:dyDescent="0.2">
      <c r="A175" s="2198" t="s">
        <v>1052</v>
      </c>
      <c r="B175" s="2199"/>
      <c r="C175" s="617"/>
      <c r="D175" s="617"/>
      <c r="E175" s="617"/>
      <c r="F175" s="617"/>
      <c r="G175" s="617"/>
      <c r="H175" s="619"/>
      <c r="I175" s="617"/>
      <c r="J175" s="617"/>
      <c r="K175" s="1706">
        <f>'Revenues 9-14'!E275-'Expenditures 15-22'!K174</f>
        <v>373136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1315970</v>
      </c>
      <c r="D182" s="466">
        <v>140197</v>
      </c>
      <c r="E182" s="466">
        <v>145264</v>
      </c>
      <c r="F182" s="466">
        <v>281308</v>
      </c>
      <c r="G182" s="466">
        <v>160560</v>
      </c>
      <c r="H182" s="466"/>
      <c r="I182" s="467">
        <v>1239</v>
      </c>
      <c r="J182" s="467"/>
      <c r="K182" s="1693">
        <f>SUM(C182:J182)</f>
        <v>2044538</v>
      </c>
      <c r="L182" s="466">
        <v>2127233</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1315970</v>
      </c>
      <c r="D184" s="1699">
        <f t="shared" ref="D184:J184" si="17">SUM(D180,D182,D183)</f>
        <v>140197</v>
      </c>
      <c r="E184" s="1699">
        <f t="shared" si="17"/>
        <v>145264</v>
      </c>
      <c r="F184" s="1699">
        <f t="shared" si="17"/>
        <v>281308</v>
      </c>
      <c r="G184" s="1699">
        <f t="shared" si="17"/>
        <v>160560</v>
      </c>
      <c r="H184" s="1699">
        <f t="shared" si="17"/>
        <v>0</v>
      </c>
      <c r="I184" s="1699">
        <f t="shared" si="17"/>
        <v>1239</v>
      </c>
      <c r="J184" s="1699">
        <f t="shared" si="17"/>
        <v>0</v>
      </c>
      <c r="K184" s="1699">
        <f>SUM(K180,K182,K183)</f>
        <v>2044538</v>
      </c>
      <c r="L184" s="1699">
        <f>SUM(L180, L182:L183)</f>
        <v>2127233</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1315970</v>
      </c>
      <c r="D210" s="1692">
        <f>SUM(D184,D185)</f>
        <v>140197</v>
      </c>
      <c r="E210" s="1692">
        <f>SUM(E184,E185,E196)</f>
        <v>145264</v>
      </c>
      <c r="F210" s="1692">
        <f>SUM(F184,F185)</f>
        <v>281308</v>
      </c>
      <c r="G210" s="1692">
        <f>SUM(G184,G185)</f>
        <v>160560</v>
      </c>
      <c r="H210" s="1692">
        <f>SUM(H184,H185,H196,H208,H209)</f>
        <v>0</v>
      </c>
      <c r="I210" s="1692">
        <f>SUM(I184,I185)</f>
        <v>1239</v>
      </c>
      <c r="J210" s="1692">
        <f>SUM(J184,J185)</f>
        <v>0</v>
      </c>
      <c r="K210" s="1693">
        <f>SUM(K184,K185,K196,K208,K209)</f>
        <v>2044538</v>
      </c>
      <c r="L210" s="1692">
        <f>SUM(L184,L185,L196,L208,L209)</f>
        <v>2127233</v>
      </c>
    </row>
    <row r="211" spans="1:14" ht="13.5" thickTop="1" x14ac:dyDescent="0.2">
      <c r="A211" s="2198" t="s">
        <v>1052</v>
      </c>
      <c r="B211" s="2199"/>
      <c r="C211" s="619"/>
      <c r="D211" s="619"/>
      <c r="E211" s="619"/>
      <c r="F211" s="619"/>
      <c r="G211" s="619"/>
      <c r="H211" s="619"/>
      <c r="I211" s="617"/>
      <c r="J211" s="617"/>
      <c r="K211" s="1706">
        <f>'Revenues 9-14'!F275-'Expenditures 15-22'!K210</f>
        <v>708029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1021</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190781</v>
      </c>
      <c r="E215" s="617"/>
      <c r="F215" s="617"/>
      <c r="G215" s="617"/>
      <c r="H215" s="617"/>
      <c r="I215" s="617"/>
      <c r="J215" s="617"/>
      <c r="K215" s="1693">
        <f>D215</f>
        <v>190781</v>
      </c>
      <c r="L215" s="466">
        <v>140329</v>
      </c>
    </row>
    <row r="216" spans="1:14" x14ac:dyDescent="0.2">
      <c r="A216" s="1526" t="s">
        <v>165</v>
      </c>
      <c r="B216" s="615" t="s">
        <v>1023</v>
      </c>
      <c r="C216" s="617"/>
      <c r="D216" s="467">
        <v>3155</v>
      </c>
      <c r="E216" s="617"/>
      <c r="F216" s="617"/>
      <c r="G216" s="617"/>
      <c r="H216" s="617"/>
      <c r="I216" s="617"/>
      <c r="J216" s="617"/>
      <c r="K216" s="1693">
        <f t="shared" ref="K216:K228" si="19">D216</f>
        <v>3155</v>
      </c>
      <c r="L216" s="466">
        <v>64353</v>
      </c>
    </row>
    <row r="217" spans="1:14" x14ac:dyDescent="0.2">
      <c r="A217" s="1526" t="s">
        <v>166</v>
      </c>
      <c r="B217" s="615">
        <v>1200</v>
      </c>
      <c r="C217" s="617"/>
      <c r="D217" s="466">
        <v>200063</v>
      </c>
      <c r="E217" s="617"/>
      <c r="F217" s="617"/>
      <c r="G217" s="617"/>
      <c r="H217" s="617"/>
      <c r="I217" s="617"/>
      <c r="J217" s="617"/>
      <c r="K217" s="1693">
        <f t="shared" si="19"/>
        <v>200063</v>
      </c>
      <c r="L217" s="466">
        <v>225564</v>
      </c>
    </row>
    <row r="218" spans="1:14" x14ac:dyDescent="0.2">
      <c r="A218" s="1526" t="s">
        <v>295</v>
      </c>
      <c r="B218" s="615" t="s">
        <v>1024</v>
      </c>
      <c r="C218" s="617"/>
      <c r="D218" s="467">
        <v>1793</v>
      </c>
      <c r="E218" s="617"/>
      <c r="F218" s="617"/>
      <c r="G218" s="617"/>
      <c r="H218" s="617"/>
      <c r="I218" s="617"/>
      <c r="J218" s="617"/>
      <c r="K218" s="1693">
        <f t="shared" si="19"/>
        <v>1793</v>
      </c>
      <c r="L218" s="466">
        <v>2750</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v>6841</v>
      </c>
      <c r="E221" s="617"/>
      <c r="F221" s="617"/>
      <c r="G221" s="617"/>
      <c r="H221" s="617"/>
      <c r="I221" s="617"/>
      <c r="J221" s="617"/>
      <c r="K221" s="1693">
        <f t="shared" si="19"/>
        <v>6841</v>
      </c>
      <c r="L221" s="466">
        <v>7700</v>
      </c>
    </row>
    <row r="222" spans="1:14" x14ac:dyDescent="0.2">
      <c r="A222" s="1526" t="s">
        <v>746</v>
      </c>
      <c r="B222" s="615">
        <v>1400</v>
      </c>
      <c r="C222" s="617"/>
      <c r="D222" s="466">
        <v>6348</v>
      </c>
      <c r="E222" s="617"/>
      <c r="F222" s="617"/>
      <c r="G222" s="617"/>
      <c r="H222" s="617"/>
      <c r="I222" s="617"/>
      <c r="J222" s="617"/>
      <c r="K222" s="1693">
        <f t="shared" si="19"/>
        <v>6348</v>
      </c>
      <c r="L222" s="466">
        <v>6513</v>
      </c>
    </row>
    <row r="223" spans="1:14" x14ac:dyDescent="0.2">
      <c r="A223" s="1526" t="s">
        <v>1019</v>
      </c>
      <c r="B223" s="615">
        <v>1500</v>
      </c>
      <c r="C223" s="617"/>
      <c r="D223" s="466">
        <v>23390</v>
      </c>
      <c r="E223" s="617"/>
      <c r="F223" s="617"/>
      <c r="G223" s="617"/>
      <c r="H223" s="617"/>
      <c r="I223" s="617"/>
      <c r="J223" s="617"/>
      <c r="K223" s="1693">
        <f t="shared" si="19"/>
        <v>23390</v>
      </c>
      <c r="L223" s="466">
        <v>27295</v>
      </c>
    </row>
    <row r="224" spans="1:14" x14ac:dyDescent="0.2">
      <c r="A224" s="1526" t="s">
        <v>1020</v>
      </c>
      <c r="B224" s="615">
        <v>1600</v>
      </c>
      <c r="C224" s="617"/>
      <c r="D224" s="466">
        <v>273</v>
      </c>
      <c r="E224" s="617"/>
      <c r="F224" s="617"/>
      <c r="G224" s="617"/>
      <c r="H224" s="617"/>
      <c r="I224" s="617"/>
      <c r="J224" s="617"/>
      <c r="K224" s="1693">
        <f t="shared" si="19"/>
        <v>273</v>
      </c>
      <c r="L224" s="466">
        <v>232</v>
      </c>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2222</v>
      </c>
      <c r="E226" s="617"/>
      <c r="F226" s="617"/>
      <c r="G226" s="617"/>
      <c r="H226" s="617"/>
      <c r="I226" s="617"/>
      <c r="J226" s="617"/>
      <c r="K226" s="1693">
        <f t="shared" si="19"/>
        <v>2222</v>
      </c>
      <c r="L226" s="466">
        <v>2300</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434866</v>
      </c>
      <c r="E229" s="617"/>
      <c r="F229" s="617"/>
      <c r="G229" s="617"/>
      <c r="H229" s="617"/>
      <c r="I229" s="617"/>
      <c r="J229" s="617"/>
      <c r="K229" s="1692">
        <f>SUM(K215:K228)</f>
        <v>434866</v>
      </c>
      <c r="L229" s="1692">
        <f>SUM(L215:L228)</f>
        <v>477036</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3270</v>
      </c>
      <c r="E232" s="617"/>
      <c r="F232" s="617"/>
      <c r="G232" s="617"/>
      <c r="H232" s="617"/>
      <c r="I232" s="617"/>
      <c r="J232" s="617"/>
      <c r="K232" s="1693">
        <f t="shared" ref="K232:K237" si="20">D232</f>
        <v>3270</v>
      </c>
      <c r="L232" s="466">
        <v>3300</v>
      </c>
    </row>
    <row r="233" spans="1:12" x14ac:dyDescent="0.2">
      <c r="A233" s="1526" t="s">
        <v>1150</v>
      </c>
      <c r="B233" s="615">
        <v>2120</v>
      </c>
      <c r="C233" s="617"/>
      <c r="D233" s="466">
        <v>13729</v>
      </c>
      <c r="E233" s="617"/>
      <c r="F233" s="617"/>
      <c r="G233" s="617"/>
      <c r="H233" s="617"/>
      <c r="I233" s="617"/>
      <c r="J233" s="617"/>
      <c r="K233" s="1693">
        <f t="shared" si="20"/>
        <v>13729</v>
      </c>
      <c r="L233" s="466">
        <v>15447</v>
      </c>
    </row>
    <row r="234" spans="1:12" x14ac:dyDescent="0.2">
      <c r="A234" s="1526" t="s">
        <v>207</v>
      </c>
      <c r="B234" s="615">
        <v>2130</v>
      </c>
      <c r="C234" s="617"/>
      <c r="D234" s="466">
        <v>34683</v>
      </c>
      <c r="E234" s="617"/>
      <c r="F234" s="617"/>
      <c r="G234" s="617"/>
      <c r="H234" s="617"/>
      <c r="I234" s="617"/>
      <c r="J234" s="617"/>
      <c r="K234" s="1693">
        <f t="shared" si="20"/>
        <v>34683</v>
      </c>
      <c r="L234" s="466">
        <v>44111</v>
      </c>
    </row>
    <row r="235" spans="1:12" x14ac:dyDescent="0.2">
      <c r="A235" s="1526" t="s">
        <v>208</v>
      </c>
      <c r="B235" s="615">
        <v>2140</v>
      </c>
      <c r="C235" s="617"/>
      <c r="D235" s="466">
        <v>1930</v>
      </c>
      <c r="E235" s="617"/>
      <c r="F235" s="617"/>
      <c r="G235" s="617"/>
      <c r="H235" s="617"/>
      <c r="I235" s="617"/>
      <c r="J235" s="617"/>
      <c r="K235" s="1693">
        <f t="shared" si="20"/>
        <v>1930</v>
      </c>
      <c r="L235" s="466">
        <v>1975</v>
      </c>
    </row>
    <row r="236" spans="1:12" x14ac:dyDescent="0.2">
      <c r="A236" s="1526" t="s">
        <v>209</v>
      </c>
      <c r="B236" s="615">
        <v>2150</v>
      </c>
      <c r="C236" s="617"/>
      <c r="D236" s="466">
        <v>5383</v>
      </c>
      <c r="E236" s="617"/>
      <c r="F236" s="617"/>
      <c r="G236" s="617"/>
      <c r="H236" s="617"/>
      <c r="I236" s="617"/>
      <c r="J236" s="617"/>
      <c r="K236" s="1693">
        <f t="shared" si="20"/>
        <v>5383</v>
      </c>
      <c r="L236" s="466">
        <v>5700</v>
      </c>
    </row>
    <row r="237" spans="1:12" x14ac:dyDescent="0.2">
      <c r="A237" s="1526" t="s">
        <v>167</v>
      </c>
      <c r="B237" s="615">
        <v>2190</v>
      </c>
      <c r="C237" s="617"/>
      <c r="D237" s="466">
        <v>53955</v>
      </c>
      <c r="E237" s="617"/>
      <c r="F237" s="617"/>
      <c r="G237" s="617"/>
      <c r="H237" s="617"/>
      <c r="I237" s="617"/>
      <c r="J237" s="617"/>
      <c r="K237" s="1693">
        <f t="shared" si="20"/>
        <v>53955</v>
      </c>
      <c r="L237" s="466">
        <v>62434</v>
      </c>
    </row>
    <row r="238" spans="1:12" ht="12.75" customHeight="1" thickBot="1" x14ac:dyDescent="0.25">
      <c r="A238" s="1690" t="s">
        <v>580</v>
      </c>
      <c r="B238" s="1697" t="s">
        <v>739</v>
      </c>
      <c r="C238" s="617"/>
      <c r="D238" s="1692">
        <f>SUM(D232:D237)</f>
        <v>112950</v>
      </c>
      <c r="E238" s="617"/>
      <c r="F238" s="617"/>
      <c r="G238" s="617"/>
      <c r="H238" s="617"/>
      <c r="I238" s="617"/>
      <c r="J238" s="617"/>
      <c r="K238" s="1692">
        <f>SUM(K232:K237)</f>
        <v>112950</v>
      </c>
      <c r="L238" s="1692">
        <f>SUM(L232:L237)</f>
        <v>132967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599</v>
      </c>
      <c r="E240" s="617"/>
      <c r="F240" s="617"/>
      <c r="G240" s="617"/>
      <c r="H240" s="617"/>
      <c r="I240" s="617"/>
      <c r="J240" s="617"/>
      <c r="K240" s="1694">
        <f>D240</f>
        <v>599</v>
      </c>
      <c r="L240" s="481">
        <v>1200</v>
      </c>
    </row>
    <row r="241" spans="1:12" x14ac:dyDescent="0.2">
      <c r="A241" s="1526" t="s">
        <v>868</v>
      </c>
      <c r="B241" s="615">
        <v>2220</v>
      </c>
      <c r="C241" s="617"/>
      <c r="D241" s="466">
        <v>15727</v>
      </c>
      <c r="E241" s="617"/>
      <c r="F241" s="617"/>
      <c r="G241" s="617"/>
      <c r="H241" s="617"/>
      <c r="I241" s="617"/>
      <c r="J241" s="617"/>
      <c r="K241" s="1694">
        <f>D241</f>
        <v>15727</v>
      </c>
      <c r="L241" s="466">
        <v>19701</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16326</v>
      </c>
      <c r="E243" s="617"/>
      <c r="F243" s="617"/>
      <c r="G243" s="617"/>
      <c r="H243" s="617"/>
      <c r="I243" s="617"/>
      <c r="J243" s="617"/>
      <c r="K243" s="1692">
        <f>SUM(K240:K242)</f>
        <v>16326</v>
      </c>
      <c r="L243" s="1692">
        <f>SUM(L240:L242)</f>
        <v>20901</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14038</v>
      </c>
      <c r="E245" s="617"/>
      <c r="F245" s="617"/>
      <c r="G245" s="617"/>
      <c r="H245" s="617"/>
      <c r="I245" s="617"/>
      <c r="J245" s="617"/>
      <c r="K245" s="1694">
        <f>D245</f>
        <v>14038</v>
      </c>
      <c r="L245" s="481">
        <v>11190</v>
      </c>
    </row>
    <row r="246" spans="1:12" x14ac:dyDescent="0.2">
      <c r="A246" s="1526" t="s">
        <v>871</v>
      </c>
      <c r="B246" s="615">
        <v>2320</v>
      </c>
      <c r="C246" s="617"/>
      <c r="D246" s="466">
        <v>4505</v>
      </c>
      <c r="E246" s="617"/>
      <c r="F246" s="617"/>
      <c r="G246" s="617"/>
      <c r="H246" s="617"/>
      <c r="I246" s="617"/>
      <c r="J246" s="617"/>
      <c r="K246" s="1694">
        <f t="shared" ref="K246:K256" si="21">D246</f>
        <v>4505</v>
      </c>
      <c r="L246" s="466">
        <v>4500</v>
      </c>
    </row>
    <row r="247" spans="1:12" x14ac:dyDescent="0.2">
      <c r="A247" s="1526" t="s">
        <v>872</v>
      </c>
      <c r="B247" s="615">
        <v>2330</v>
      </c>
      <c r="C247" s="617"/>
      <c r="D247" s="466">
        <v>7188</v>
      </c>
      <c r="E247" s="617"/>
      <c r="F247" s="617"/>
      <c r="G247" s="617"/>
      <c r="H247" s="617"/>
      <c r="I247" s="617"/>
      <c r="J247" s="617"/>
      <c r="K247" s="1694">
        <f t="shared" si="21"/>
        <v>7188</v>
      </c>
      <c r="L247" s="466">
        <v>8300</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25731</v>
      </c>
      <c r="E257" s="617"/>
      <c r="F257" s="617"/>
      <c r="G257" s="617"/>
      <c r="H257" s="617"/>
      <c r="I257" s="617"/>
      <c r="J257" s="617"/>
      <c r="K257" s="1692">
        <f>SUM(K245:K256)</f>
        <v>25731</v>
      </c>
      <c r="L257" s="1692">
        <f>SUM(L245:L256)</f>
        <v>23990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56295</v>
      </c>
      <c r="E259" s="617"/>
      <c r="F259" s="617"/>
      <c r="G259" s="617"/>
      <c r="H259" s="617"/>
      <c r="I259" s="617"/>
      <c r="J259" s="617"/>
      <c r="K259" s="1694">
        <f>D259</f>
        <v>56295</v>
      </c>
      <c r="L259" s="481">
        <v>59023</v>
      </c>
    </row>
    <row r="260" spans="1:14" s="598" customFormat="1" x14ac:dyDescent="0.2">
      <c r="A260" s="1544" t="s">
        <v>1903</v>
      </c>
      <c r="B260" s="629">
        <v>2490</v>
      </c>
      <c r="C260" s="617"/>
      <c r="D260" s="466">
        <v>31553</v>
      </c>
      <c r="E260" s="617"/>
      <c r="F260" s="617"/>
      <c r="G260" s="617"/>
      <c r="H260" s="617"/>
      <c r="I260" s="617"/>
      <c r="J260" s="617"/>
      <c r="K260" s="1694">
        <f>D260</f>
        <v>31553</v>
      </c>
      <c r="L260" s="466">
        <v>30950</v>
      </c>
      <c r="M260" s="210"/>
      <c r="N260" s="210"/>
    </row>
    <row r="261" spans="1:14" ht="12.75" customHeight="1" thickBot="1" x14ac:dyDescent="0.25">
      <c r="A261" s="1714" t="s">
        <v>281</v>
      </c>
      <c r="B261" s="1719" t="s">
        <v>34</v>
      </c>
      <c r="C261" s="617"/>
      <c r="D261" s="1692">
        <f>SUM(D259:D260)</f>
        <v>87848</v>
      </c>
      <c r="E261" s="617"/>
      <c r="F261" s="617"/>
      <c r="G261" s="617"/>
      <c r="H261" s="617"/>
      <c r="I261" s="617"/>
      <c r="J261" s="617"/>
      <c r="K261" s="1692">
        <f>SUM(K259:K260)</f>
        <v>87848</v>
      </c>
      <c r="L261" s="1692">
        <f>SUM(L259:L260)</f>
        <v>89973</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4092</v>
      </c>
      <c r="E263" s="617"/>
      <c r="F263" s="617"/>
      <c r="G263" s="617"/>
      <c r="H263" s="617"/>
      <c r="I263" s="617"/>
      <c r="J263" s="617"/>
      <c r="K263" s="1694">
        <f>D263</f>
        <v>4092</v>
      </c>
      <c r="L263" s="481">
        <v>4110</v>
      </c>
    </row>
    <row r="264" spans="1:14" x14ac:dyDescent="0.2">
      <c r="A264" s="1526" t="s">
        <v>482</v>
      </c>
      <c r="B264" s="686">
        <v>2520</v>
      </c>
      <c r="C264" s="617"/>
      <c r="D264" s="466">
        <v>15801</v>
      </c>
      <c r="E264" s="617"/>
      <c r="F264" s="617"/>
      <c r="G264" s="617"/>
      <c r="H264" s="617"/>
      <c r="I264" s="617"/>
      <c r="J264" s="617"/>
      <c r="K264" s="1694">
        <f t="shared" ref="K264:K269" si="22">D264</f>
        <v>15801</v>
      </c>
      <c r="L264" s="466">
        <v>15881</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331683</v>
      </c>
      <c r="E266" s="617"/>
      <c r="F266" s="617"/>
      <c r="G266" s="617"/>
      <c r="H266" s="617"/>
      <c r="I266" s="617"/>
      <c r="J266" s="617"/>
      <c r="K266" s="1694">
        <f t="shared" si="22"/>
        <v>331683</v>
      </c>
      <c r="L266" s="466">
        <v>360889</v>
      </c>
    </row>
    <row r="267" spans="1:14" x14ac:dyDescent="0.2">
      <c r="A267" s="1526" t="s">
        <v>1009</v>
      </c>
      <c r="B267" s="615">
        <v>2550</v>
      </c>
      <c r="C267" s="617"/>
      <c r="D267" s="466">
        <v>226119</v>
      </c>
      <c r="E267" s="617"/>
      <c r="F267" s="617"/>
      <c r="G267" s="617"/>
      <c r="H267" s="617"/>
      <c r="I267" s="617"/>
      <c r="J267" s="617"/>
      <c r="K267" s="1694">
        <f t="shared" si="22"/>
        <v>226119</v>
      </c>
      <c r="L267" s="466">
        <v>236154</v>
      </c>
    </row>
    <row r="268" spans="1:14" x14ac:dyDescent="0.2">
      <c r="A268" s="1526" t="s">
        <v>102</v>
      </c>
      <c r="B268" s="615">
        <v>2560</v>
      </c>
      <c r="C268" s="617"/>
      <c r="D268" s="466">
        <v>115285</v>
      </c>
      <c r="E268" s="617"/>
      <c r="F268" s="617"/>
      <c r="G268" s="617"/>
      <c r="H268" s="617"/>
      <c r="I268" s="617"/>
      <c r="J268" s="617"/>
      <c r="K268" s="1694">
        <f t="shared" si="22"/>
        <v>115285</v>
      </c>
      <c r="L268" s="466">
        <v>128688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692980</v>
      </c>
      <c r="E270" s="617"/>
      <c r="F270" s="617"/>
      <c r="G270" s="617"/>
      <c r="H270" s="617"/>
      <c r="I270" s="617"/>
      <c r="J270" s="617"/>
      <c r="K270" s="1692">
        <f>SUM(K263:K269)</f>
        <v>692980</v>
      </c>
      <c r="L270" s="1692">
        <f>SUM(L263:L269)</f>
        <v>745722</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12200</v>
      </c>
      <c r="E274" s="617"/>
      <c r="F274" s="617"/>
      <c r="G274" s="617"/>
      <c r="H274" s="617"/>
      <c r="I274" s="617"/>
      <c r="J274" s="617"/>
      <c r="K274" s="1694">
        <f>D274</f>
        <v>12200</v>
      </c>
      <c r="L274" s="466">
        <v>12475</v>
      </c>
    </row>
    <row r="275" spans="1:12" x14ac:dyDescent="0.2">
      <c r="A275" s="1526" t="s">
        <v>422</v>
      </c>
      <c r="B275" s="615">
        <v>2640</v>
      </c>
      <c r="C275" s="617"/>
      <c r="D275" s="466">
        <v>5268</v>
      </c>
      <c r="E275" s="617"/>
      <c r="F275" s="617"/>
      <c r="G275" s="617"/>
      <c r="H275" s="617"/>
      <c r="I275" s="617"/>
      <c r="J275" s="617"/>
      <c r="K275" s="1694">
        <f>D275</f>
        <v>5268</v>
      </c>
      <c r="L275" s="466">
        <v>6100</v>
      </c>
    </row>
    <row r="276" spans="1:12" x14ac:dyDescent="0.2">
      <c r="A276" s="1526" t="s">
        <v>423</v>
      </c>
      <c r="B276" s="615">
        <v>2660</v>
      </c>
      <c r="C276" s="617"/>
      <c r="D276" s="466">
        <v>53837</v>
      </c>
      <c r="E276" s="617"/>
      <c r="F276" s="617"/>
      <c r="G276" s="617"/>
      <c r="H276" s="617"/>
      <c r="I276" s="617"/>
      <c r="J276" s="617"/>
      <c r="K276" s="1694">
        <f>D276</f>
        <v>53837</v>
      </c>
      <c r="L276" s="466">
        <v>54200</v>
      </c>
    </row>
    <row r="277" spans="1:12" ht="12.75" customHeight="1" thickBot="1" x14ac:dyDescent="0.25">
      <c r="A277" s="1713" t="s">
        <v>37</v>
      </c>
      <c r="B277" s="1691" t="s">
        <v>36</v>
      </c>
      <c r="C277" s="617"/>
      <c r="D277" s="1692">
        <f>SUM(D272:D276)</f>
        <v>71305</v>
      </c>
      <c r="E277" s="617"/>
      <c r="F277" s="617"/>
      <c r="G277" s="617"/>
      <c r="H277" s="617"/>
      <c r="I277" s="617"/>
      <c r="J277" s="617"/>
      <c r="K277" s="1692">
        <f>SUM(K272:K276)</f>
        <v>71305</v>
      </c>
      <c r="L277" s="1692">
        <f>SUM(L272:L276)</f>
        <v>72775</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1007140</v>
      </c>
      <c r="E279" s="617"/>
      <c r="F279" s="617"/>
      <c r="G279" s="617"/>
      <c r="H279" s="617"/>
      <c r="I279" s="617"/>
      <c r="J279" s="617"/>
      <c r="K279" s="1699">
        <f>SUM(K238,K243,K257,K261,K270,K277,K278)</f>
        <v>1007140</v>
      </c>
      <c r="L279" s="1699">
        <f>SUM(L238,L243,L257,L261,L270,L277,L278)</f>
        <v>1086328</v>
      </c>
    </row>
    <row r="280" spans="1:12" ht="15.75" customHeight="1" thickTop="1" thickBot="1" x14ac:dyDescent="0.25">
      <c r="A280" s="1646" t="s">
        <v>929</v>
      </c>
      <c r="B280" s="1635">
        <v>3000</v>
      </c>
      <c r="C280" s="617"/>
      <c r="D280" s="576">
        <v>1464</v>
      </c>
      <c r="E280" s="617"/>
      <c r="F280" s="617"/>
      <c r="G280" s="617"/>
      <c r="H280" s="617"/>
      <c r="I280" s="617"/>
      <c r="J280" s="617"/>
      <c r="K280" s="1701">
        <f>D280</f>
        <v>1464</v>
      </c>
      <c r="L280" s="576">
        <v>711</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1952</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89" t="s">
        <v>525</v>
      </c>
      <c r="B295" s="2190"/>
      <c r="C295" s="617"/>
      <c r="D295" s="1692">
        <f>SUM(D229,D279,D280,D285)</f>
        <v>1443470</v>
      </c>
      <c r="E295" s="617"/>
      <c r="F295" s="617"/>
      <c r="G295" s="617"/>
      <c r="H295" s="1692">
        <f>H293</f>
        <v>0</v>
      </c>
      <c r="I295" s="617"/>
      <c r="J295" s="617"/>
      <c r="K295" s="1692">
        <f>SUM(K229,K279,K280,K285,K293,K294)</f>
        <v>1443470</v>
      </c>
      <c r="L295" s="1692">
        <f>SUM(L229,L279,L280,L285,L293,L294)</f>
        <v>1564075</v>
      </c>
    </row>
    <row r="296" spans="1:14" ht="13.5" thickTop="1" x14ac:dyDescent="0.2">
      <c r="A296" s="2198" t="s">
        <v>1052</v>
      </c>
      <c r="B296" s="2199"/>
      <c r="C296" s="617"/>
      <c r="D296" s="619"/>
      <c r="E296" s="617"/>
      <c r="F296" s="617"/>
      <c r="G296" s="617"/>
      <c r="H296" s="688"/>
      <c r="I296" s="617"/>
      <c r="J296" s="617"/>
      <c r="K296" s="1706">
        <f>'Revenues 9-14'!G275-'Expenditures 15-22'!K295</f>
        <v>271344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v>258104</v>
      </c>
      <c r="H301" s="466"/>
      <c r="I301" s="467"/>
      <c r="J301" s="467"/>
      <c r="K301" s="1693">
        <f>SUM(C301:J301)</f>
        <v>258104</v>
      </c>
      <c r="L301" s="467">
        <v>258104</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258104</v>
      </c>
      <c r="H303" s="1699">
        <f t="shared" si="23"/>
        <v>0</v>
      </c>
      <c r="I303" s="1699">
        <f t="shared" si="23"/>
        <v>0</v>
      </c>
      <c r="J303" s="1699">
        <f t="shared" si="23"/>
        <v>0</v>
      </c>
      <c r="K303" s="1699">
        <f t="shared" si="23"/>
        <v>258104</v>
      </c>
      <c r="L303" s="1699">
        <f t="shared" si="23"/>
        <v>258104</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6" t="s">
        <v>294</v>
      </c>
      <c r="B312" s="2187"/>
      <c r="C312" s="1692">
        <f>SUM(C303)</f>
        <v>0</v>
      </c>
      <c r="D312" s="1692">
        <f>SUM(D303)</f>
        <v>0</v>
      </c>
      <c r="E312" s="1692">
        <f>SUM(E303,E310)</f>
        <v>0</v>
      </c>
      <c r="F312" s="1692">
        <f>SUM(F303)</f>
        <v>0</v>
      </c>
      <c r="G312" s="1692">
        <f>SUM(G303)</f>
        <v>258104</v>
      </c>
      <c r="H312" s="1692">
        <f>SUM(H303,H310)</f>
        <v>0</v>
      </c>
      <c r="I312" s="1692">
        <f>SUM(I303)</f>
        <v>0</v>
      </c>
      <c r="J312" s="1692">
        <f>SUM(J303)</f>
        <v>0</v>
      </c>
      <c r="K312" s="1692">
        <f>SUM(K303,K310,K311)</f>
        <v>258104</v>
      </c>
      <c r="L312" s="1692">
        <f>SUM(L303,L310,L311)</f>
        <v>258104</v>
      </c>
      <c r="M312" s="666"/>
      <c r="N312" s="666"/>
    </row>
    <row r="313" spans="1:14" ht="13.5" thickTop="1" x14ac:dyDescent="0.2">
      <c r="A313" s="2182" t="s">
        <v>1052</v>
      </c>
      <c r="B313" s="2183"/>
      <c r="C313" s="627"/>
      <c r="D313" s="627"/>
      <c r="E313" s="627"/>
      <c r="F313" s="627"/>
      <c r="G313" s="627"/>
      <c r="H313" s="627"/>
      <c r="I313" s="627"/>
      <c r="J313" s="627"/>
      <c r="K313" s="1707">
        <f>'Revenues 9-14'!H275-'Expenditures 15-22'!K312</f>
        <v>-234492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953</v>
      </c>
      <c r="B317" s="2196"/>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1958</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1952</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1954</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1959</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1052</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1022</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121547</v>
      </c>
      <c r="F349" s="466"/>
      <c r="G349" s="466"/>
      <c r="H349" s="466"/>
      <c r="I349" s="467"/>
      <c r="J349" s="467"/>
      <c r="K349" s="1693">
        <f>SUM(C349:J349)</f>
        <v>121547</v>
      </c>
      <c r="L349" s="466">
        <v>121548</v>
      </c>
    </row>
    <row r="350" spans="1:14" ht="12.75" customHeight="1" thickBot="1" x14ac:dyDescent="0.25">
      <c r="A350" s="1690" t="s">
        <v>742</v>
      </c>
      <c r="B350" s="1691" t="s">
        <v>35</v>
      </c>
      <c r="C350" s="1692">
        <f>SUM(C348:C349)</f>
        <v>0</v>
      </c>
      <c r="D350" s="1692">
        <f t="shared" ref="D350:L350" si="26">SUM(D348:D349)</f>
        <v>0</v>
      </c>
      <c r="E350" s="1692">
        <f t="shared" si="26"/>
        <v>121547</v>
      </c>
      <c r="F350" s="1692">
        <f t="shared" si="26"/>
        <v>0</v>
      </c>
      <c r="G350" s="1692">
        <f t="shared" si="26"/>
        <v>0</v>
      </c>
      <c r="H350" s="1692">
        <f t="shared" si="26"/>
        <v>0</v>
      </c>
      <c r="I350" s="1692">
        <f t="shared" si="26"/>
        <v>0</v>
      </c>
      <c r="J350" s="1692">
        <f t="shared" si="26"/>
        <v>0</v>
      </c>
      <c r="K350" s="1692">
        <f t="shared" si="26"/>
        <v>121547</v>
      </c>
      <c r="L350" s="1692">
        <f t="shared" si="26"/>
        <v>121548</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121547</v>
      </c>
      <c r="F352" s="1692">
        <f t="shared" si="27"/>
        <v>0</v>
      </c>
      <c r="G352" s="1692">
        <f t="shared" si="27"/>
        <v>0</v>
      </c>
      <c r="H352" s="1692">
        <f t="shared" si="27"/>
        <v>0</v>
      </c>
      <c r="I352" s="1692">
        <f t="shared" si="27"/>
        <v>0</v>
      </c>
      <c r="J352" s="1692">
        <f t="shared" si="27"/>
        <v>0</v>
      </c>
      <c r="K352" s="1692">
        <f t="shared" si="27"/>
        <v>121547</v>
      </c>
      <c r="L352" s="1692">
        <f t="shared" si="27"/>
        <v>121548</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row>
    <row r="355" spans="1:14" ht="12.75" customHeight="1" x14ac:dyDescent="0.2">
      <c r="A355" s="1535" t="s">
        <v>1961</v>
      </c>
      <c r="B355" s="691" t="s">
        <v>1954</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121547</v>
      </c>
      <c r="F367" s="1692">
        <f t="shared" si="28"/>
        <v>0</v>
      </c>
      <c r="G367" s="1692">
        <f t="shared" si="28"/>
        <v>0</v>
      </c>
      <c r="H367" s="1692">
        <f t="shared" si="28"/>
        <v>0</v>
      </c>
      <c r="I367" s="1692">
        <f t="shared" si="28"/>
        <v>0</v>
      </c>
      <c r="J367" s="1692">
        <f t="shared" si="28"/>
        <v>0</v>
      </c>
      <c r="K367" s="1692">
        <f t="shared" si="28"/>
        <v>121547</v>
      </c>
      <c r="L367" s="1692">
        <f t="shared" si="28"/>
        <v>121548</v>
      </c>
    </row>
    <row r="368" spans="1:14" ht="13.5" thickTop="1" x14ac:dyDescent="0.2">
      <c r="A368" s="2198" t="s">
        <v>1052</v>
      </c>
      <c r="B368" s="2199"/>
      <c r="C368" s="655"/>
      <c r="D368" s="655"/>
      <c r="E368" s="627"/>
      <c r="F368" s="627"/>
      <c r="G368" s="627"/>
      <c r="H368" s="627"/>
      <c r="I368" s="627"/>
      <c r="J368" s="624"/>
      <c r="K368" s="1693">
        <f>'Revenues 9-14'!K275-'Expenditures 15-22'!K367</f>
        <v>-26595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terms/"/>
    <ds:schemaRef ds:uri="http://schemas.microsoft.com/office/infopath/2007/PartnerControls"/>
    <ds:schemaRef ds:uri="http://purl.org/dc/dcmitype/"/>
    <ds:schemaRef ds:uri="6ce3111e-7420-4802-b50a-75d4e9a0b980"/>
    <ds:schemaRef ds:uri="http://schemas.openxmlformats.org/package/2006/metadata/core-properties"/>
    <ds:schemaRef ds:uri="http://schemas.microsoft.com/sharepoint/v3"/>
    <ds:schemaRef ds:uri="http://schemas.microsoft.com/office/2006/metadata/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2018-10-09T17:22:56Z</cp:lastPrinted>
  <dcterms:created xsi:type="dcterms:W3CDTF">2003-10-29T19:06:34Z</dcterms:created>
  <dcterms:modified xsi:type="dcterms:W3CDTF">2018-10-09T18:01:35Z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