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87" r:id="rId19"/>
    <sheet name="REF 34" sheetId="117" r:id="rId20"/>
    <sheet name="Table of Contents - Excel" sheetId="184" r:id="rId21"/>
    <sheet name="Opinion - PDF" sheetId="129" r:id="rId22"/>
    <sheet name="GAS Report - PDF" sheetId="189" r:id="rId23"/>
    <sheet name="Notes - PDF" sheetId="190" r:id="rId24"/>
    <sheet name="Activity Funds - Excel" sheetId="191" r:id="rId25"/>
    <sheet name="DeficitAFRSum Calc 36" sheetId="146" r:id="rId26"/>
    <sheet name="AUDITCHECK" sheetId="36" r:id="rId27"/>
    <sheet name="AFR18" sheetId="106" state="hidden" r:id="rId28"/>
    <sheet name="Single Audit Cover" sheetId="169" r:id="rId29"/>
    <sheet name="Single Audit Checklist" sheetId="170" r:id="rId30"/>
    <sheet name="SEFA Reconcile" sheetId="171" r:id="rId31"/>
    <sheet name="SEFA NOTES" sheetId="173" r:id="rId32"/>
    <sheet name=" SEFA" sheetId="179" r:id="rId33"/>
    <sheet name="SF&amp;QC Sec-1" sheetId="174" r:id="rId34"/>
    <sheet name="SF&amp;QC Sec-2" sheetId="175" r:id="rId35"/>
    <sheet name="SF&amp;QC Sec-3" sheetId="176" r:id="rId36"/>
    <sheet name="SSPAF" sheetId="177" r:id="rId37"/>
  </sheets>
  <definedNames>
    <definedName name="a" localSheetId="24">#REF!</definedName>
    <definedName name="a" localSheetId="22">#REF!</definedName>
    <definedName name="a" localSheetId="23">#REF!</definedName>
    <definedName name="a">#REF!</definedName>
    <definedName name="AFAFDAF" localSheetId="22">#REF!</definedName>
    <definedName name="AFAFDAF" localSheetId="23">#REF!</definedName>
    <definedName name="AFAFDAF">#REF!</definedName>
    <definedName name="AFDASFDAFDAFD" localSheetId="22">#REF!</definedName>
    <definedName name="AFDASFDAFDAFD" localSheetId="23">#REF!</definedName>
    <definedName name="AFDASFDAFDAFD">#REF!</definedName>
    <definedName name="b" localSheetId="22">#REF!</definedName>
    <definedName name="b" localSheetId="23">#REF!</definedName>
    <definedName name="b">#REF!</definedName>
    <definedName name="d" localSheetId="22">#REF!</definedName>
    <definedName name="d" localSheetId="23">#REF!</definedName>
    <definedName name="d">#REF!</definedName>
    <definedName name="dafd" localSheetId="22">#REF!</definedName>
    <definedName name="dafd" localSheetId="23">#REF!</definedName>
    <definedName name="dafd">#REF!</definedName>
    <definedName name="E" localSheetId="22">#REF!</definedName>
    <definedName name="E" localSheetId="23">#REF!</definedName>
    <definedName name="E">#REF!</definedName>
    <definedName name="FDAFDAFD" localSheetId="22">#REF!</definedName>
    <definedName name="FDAFDAFD" localSheetId="23">#REF!</definedName>
    <definedName name="FDAFDAFD">#REF!</definedName>
    <definedName name="_xlnm.Print_Area" localSheetId="32">' SEFA'!$B$1:$M$46</definedName>
    <definedName name="_xlnm.Print_Area" localSheetId="31">'SEFA NOTES'!$A$1:$F$52</definedName>
    <definedName name="_xlnm.Print_Area" localSheetId="30">'SEFA Reconcile'!$A$1:$E$49</definedName>
    <definedName name="_xlnm.Print_Area" localSheetId="33">'SF&amp;QC Sec-1'!$A$1:$J$63</definedName>
    <definedName name="_xlnm.Print_Area" localSheetId="35">'SF&amp;QC Sec-3'!$A$1:$K$52</definedName>
    <definedName name="_xlnm.Print_Area" localSheetId="16">'Shared Outsourced Services 31'!$A$1:$F$43</definedName>
    <definedName name="_xlnm.Print_Area" localSheetId="29">'Single Audit Checklist'!$A$1:$D$124</definedName>
    <definedName name="_xlnm.Print_Area" localSheetId="28">'Single Audit Cover'!$A$1:$L$52</definedName>
    <definedName name="_xlnm.Print_Titles" localSheetId="6">'Acct Summary 7-8'!$A:$B,'Acct Summary 7-8'!$1:$2</definedName>
    <definedName name="_xlnm.Print_Titles" localSheetId="5">'Assets-Liab 5-6'!$A:$B,'Assets-Liab 5-6'!$1:$2</definedName>
    <definedName name="_xlnm.Print_Titles" localSheetId="26">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9">'Single Audit Checklist'!$1:$4</definedName>
    <definedName name="SCHADDRS" localSheetId="32">#REF!</definedName>
    <definedName name="SCHADDRS" localSheetId="17">#REF!</definedName>
    <definedName name="SCHADDRS" localSheetId="24">#REF!</definedName>
    <definedName name="SCHADDRS" localSheetId="25">#REF!</definedName>
    <definedName name="SCHADDRS" localSheetId="4">#REF!</definedName>
    <definedName name="SCHADDRS" localSheetId="22">#REF!</definedName>
    <definedName name="SCHADDRS" localSheetId="18">#REF!</definedName>
    <definedName name="SCHADDRS" localSheetId="23">#REF!</definedName>
    <definedName name="SCHADDRS" localSheetId="31">#REF!</definedName>
    <definedName name="SCHADDRS" localSheetId="30">#REF!</definedName>
    <definedName name="SCHADDRS" localSheetId="33">#REF!</definedName>
    <definedName name="SCHADDRS" localSheetId="34">#REF!</definedName>
    <definedName name="SCHADDRS" localSheetId="35">#REF!</definedName>
    <definedName name="SCHADDRS" localSheetId="29">#REF!</definedName>
    <definedName name="SCHADDRS" localSheetId="28">#REF!</definedName>
    <definedName name="SCHADDRS" localSheetId="36">#REF!</definedName>
    <definedName name="SCHADDRS" localSheetId="20">#REF!</definedName>
    <definedName name="SCHADDRS">#REF!</definedName>
    <definedName name="SCHCTY" localSheetId="32">#REF!</definedName>
    <definedName name="SCHCTY" localSheetId="17">#REF!</definedName>
    <definedName name="SCHCTY" localSheetId="24">#REF!</definedName>
    <definedName name="SCHCTY" localSheetId="25">#REF!</definedName>
    <definedName name="SCHCTY" localSheetId="4">#REF!</definedName>
    <definedName name="SCHCTY" localSheetId="22">#REF!</definedName>
    <definedName name="SCHCTY" localSheetId="18">#REF!</definedName>
    <definedName name="SCHCTY" localSheetId="23">#REF!</definedName>
    <definedName name="SCHCTY" localSheetId="31">#REF!</definedName>
    <definedName name="SCHCTY" localSheetId="30">#REF!</definedName>
    <definedName name="SCHCTY" localSheetId="33">#REF!</definedName>
    <definedName name="SCHCTY" localSheetId="34">#REF!</definedName>
    <definedName name="SCHCTY" localSheetId="35">#REF!</definedName>
    <definedName name="SCHCTY" localSheetId="29">#REF!</definedName>
    <definedName name="SCHCTY" localSheetId="28">#REF!</definedName>
    <definedName name="SCHCTY" localSheetId="36">#REF!</definedName>
    <definedName name="SCHCTY" localSheetId="20">#REF!</definedName>
    <definedName name="SCHCTY">#REF!</definedName>
    <definedName name="SCHNMBR" localSheetId="32">#REF!</definedName>
    <definedName name="SCHNMBR" localSheetId="17">#REF!</definedName>
    <definedName name="SCHNMBR" localSheetId="24">#REF!</definedName>
    <definedName name="SCHNMBR" localSheetId="25">#REF!</definedName>
    <definedName name="SCHNMBR" localSheetId="4">#REF!</definedName>
    <definedName name="SCHNMBR" localSheetId="22">#REF!</definedName>
    <definedName name="SCHNMBR" localSheetId="18">#REF!</definedName>
    <definedName name="SCHNMBR" localSheetId="23">#REF!</definedName>
    <definedName name="SCHNMBR" localSheetId="31">#REF!</definedName>
    <definedName name="SCHNMBR" localSheetId="30">#REF!</definedName>
    <definedName name="SCHNMBR" localSheetId="33">#REF!</definedName>
    <definedName name="SCHNMBR" localSheetId="34">#REF!</definedName>
    <definedName name="SCHNMBR" localSheetId="35">#REF!</definedName>
    <definedName name="SCHNMBR" localSheetId="29">#REF!</definedName>
    <definedName name="SCHNMBR" localSheetId="28">#REF!</definedName>
    <definedName name="SCHNMBR" localSheetId="36">#REF!</definedName>
    <definedName name="SCHNMBR" localSheetId="20">#REF!</definedName>
    <definedName name="SCHNMBR">#REF!</definedName>
    <definedName name="SCHNME" localSheetId="32">#REF!</definedName>
    <definedName name="SCHNME" localSheetId="17">#REF!</definedName>
    <definedName name="SCHNME" localSheetId="24">#REF!</definedName>
    <definedName name="SCHNME" localSheetId="25">#REF!</definedName>
    <definedName name="SCHNME" localSheetId="4">#REF!</definedName>
    <definedName name="SCHNME" localSheetId="22">#REF!</definedName>
    <definedName name="SCHNME" localSheetId="18">#REF!</definedName>
    <definedName name="SCHNME" localSheetId="23">#REF!</definedName>
    <definedName name="SCHNME" localSheetId="31">#REF!</definedName>
    <definedName name="SCHNME" localSheetId="30">#REF!</definedName>
    <definedName name="SCHNME" localSheetId="33">#REF!</definedName>
    <definedName name="SCHNME" localSheetId="34">#REF!</definedName>
    <definedName name="SCHNME" localSheetId="35">#REF!</definedName>
    <definedName name="SCHNME" localSheetId="29">#REF!</definedName>
    <definedName name="SCHNME" localSheetId="28">#REF!</definedName>
    <definedName name="SCHNME" localSheetId="36">#REF!</definedName>
    <definedName name="SCHNME" localSheetId="20">#REF!</definedName>
    <definedName name="SCHNME">#REF!</definedName>
    <definedName name="SUPT" localSheetId="32">#REF!</definedName>
    <definedName name="SUPT" localSheetId="17">#REF!</definedName>
    <definedName name="SUPT" localSheetId="24">#REF!</definedName>
    <definedName name="SUPT" localSheetId="25">#REF!</definedName>
    <definedName name="SUPT" localSheetId="4">#REF!</definedName>
    <definedName name="SUPT" localSheetId="22">#REF!</definedName>
    <definedName name="SUPT" localSheetId="18">#REF!</definedName>
    <definedName name="SUPT" localSheetId="23">#REF!</definedName>
    <definedName name="SUPT" localSheetId="31">#REF!</definedName>
    <definedName name="SUPT" localSheetId="30">#REF!</definedName>
    <definedName name="SUPT" localSheetId="33">#REF!</definedName>
    <definedName name="SUPT" localSheetId="34">#REF!</definedName>
    <definedName name="SUPT" localSheetId="35">#REF!</definedName>
    <definedName name="SUPT" localSheetId="29">#REF!</definedName>
    <definedName name="SUPT" localSheetId="28">#REF!</definedName>
    <definedName name="SUPT" localSheetId="36">#REF!</definedName>
    <definedName name="SUPT" localSheetId="20">#REF!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3" i="191" l="1"/>
  <c r="I64" i="191"/>
  <c r="I63" i="191"/>
  <c r="I62" i="191"/>
  <c r="I61" i="191"/>
  <c r="I60" i="191"/>
  <c r="I59" i="191"/>
  <c r="I58" i="191"/>
  <c r="I57" i="191"/>
  <c r="I56" i="191"/>
  <c r="I55" i="191"/>
  <c r="I54" i="191"/>
  <c r="I53" i="191"/>
  <c r="I52" i="191"/>
  <c r="I51" i="191"/>
  <c r="I50" i="191"/>
  <c r="I49" i="191"/>
  <c r="I48" i="191"/>
  <c r="I47" i="191"/>
  <c r="I46" i="191"/>
  <c r="I45" i="191"/>
  <c r="I44" i="191"/>
  <c r="I43" i="191"/>
  <c r="E72" i="191" l="1"/>
  <c r="E12" i="191" s="1"/>
  <c r="E15" i="191" s="1"/>
  <c r="C72" i="191"/>
  <c r="C12" i="191" s="1"/>
  <c r="I70" i="191"/>
  <c r="I69" i="191"/>
  <c r="I68" i="191"/>
  <c r="I67" i="191"/>
  <c r="I66" i="191"/>
  <c r="I65" i="191"/>
  <c r="I42" i="191"/>
  <c r="I41" i="191"/>
  <c r="I40" i="191"/>
  <c r="I39" i="191"/>
  <c r="I38" i="191"/>
  <c r="I37" i="191"/>
  <c r="I36" i="191"/>
  <c r="I35" i="191"/>
  <c r="I34" i="191"/>
  <c r="I33" i="191"/>
  <c r="I32" i="191"/>
  <c r="I31" i="191"/>
  <c r="I30" i="191"/>
  <c r="I29" i="191"/>
  <c r="I28" i="191"/>
  <c r="I27" i="191"/>
  <c r="I26" i="191"/>
  <c r="I25" i="191"/>
  <c r="I24" i="191"/>
  <c r="I22" i="191"/>
  <c r="I21" i="191"/>
  <c r="I20" i="191"/>
  <c r="B65" i="187"/>
  <c r="B64" i="187"/>
  <c r="C15" i="191" l="1"/>
  <c r="I72" i="191"/>
  <c r="G72" i="191"/>
  <c r="C50" i="29"/>
  <c r="C5" i="3"/>
  <c r="I13" i="191" l="1"/>
  <c r="G12" i="191"/>
  <c r="K65" i="5"/>
  <c r="G15" i="191" l="1"/>
  <c r="I12" i="191"/>
  <c r="I15" i="191" s="1"/>
  <c r="J65" i="5"/>
  <c r="I65" i="5"/>
  <c r="D215" i="29"/>
  <c r="D268" i="29"/>
  <c r="D267" i="29"/>
  <c r="D266" i="29"/>
  <c r="D264" i="29"/>
  <c r="D259" i="29"/>
  <c r="D237" i="29"/>
  <c r="D234" i="29"/>
  <c r="D223" i="29"/>
  <c r="D216" i="29"/>
  <c r="G65" i="5"/>
  <c r="F182" i="29"/>
  <c r="E182" i="29"/>
  <c r="C182" i="29"/>
  <c r="F65" i="5"/>
  <c r="E65" i="5"/>
  <c r="E124" i="29"/>
  <c r="F124" i="29"/>
  <c r="C124" i="29"/>
  <c r="D65" i="5"/>
  <c r="F5" i="29"/>
  <c r="E63" i="29"/>
  <c r="E55" i="29"/>
  <c r="D55" i="29"/>
  <c r="C55" i="29"/>
  <c r="D50" i="29"/>
  <c r="E49" i="29"/>
  <c r="F49" i="29"/>
  <c r="E45" i="29"/>
  <c r="F45" i="29"/>
  <c r="D41" i="29"/>
  <c r="F38" i="29"/>
  <c r="D37" i="29"/>
  <c r="D17" i="29"/>
  <c r="F14" i="29"/>
  <c r="C69" i="5"/>
  <c r="H14" i="29"/>
  <c r="E14" i="29"/>
  <c r="D14" i="29"/>
  <c r="C14" i="29"/>
  <c r="F13" i="29"/>
  <c r="D13" i="29"/>
  <c r="D10" i="29"/>
  <c r="C10" i="29"/>
  <c r="D8" i="29"/>
  <c r="H5" i="29"/>
  <c r="E5" i="29"/>
  <c r="D5" i="29"/>
  <c r="C5" i="29"/>
  <c r="F7" i="29"/>
  <c r="E7" i="29"/>
  <c r="D7" i="29"/>
  <c r="C7" i="29"/>
  <c r="C271" i="5"/>
  <c r="C4" i="3"/>
  <c r="M19" i="3"/>
  <c r="H5" i="12"/>
  <c r="E6" i="7"/>
  <c r="C6" i="7"/>
  <c r="K5" i="5"/>
  <c r="J5" i="5"/>
  <c r="I5" i="5"/>
  <c r="F5" i="5"/>
  <c r="E5" i="5"/>
  <c r="D5" i="5"/>
  <c r="C7" i="5"/>
  <c r="C5" i="5"/>
  <c r="I12" i="11" l="1"/>
  <c r="J31" i="8"/>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B7758" i="106"/>
  <c r="D7758" i="106" s="1"/>
  <c r="K6" i="29"/>
  <c r="B7763" i="106" s="1"/>
  <c r="B7762" i="106"/>
  <c r="K12" i="12"/>
  <c r="K23" i="12"/>
  <c r="K24" i="12" s="1"/>
  <c r="B7733" i="106" s="1"/>
  <c r="J12" i="12"/>
  <c r="J21" i="12"/>
  <c r="J23" i="12" s="1"/>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B2805" i="106" s="1"/>
  <c r="D2805" i="106" s="1"/>
  <c r="K185" i="29"/>
  <c r="F14" i="4" s="1"/>
  <c r="B2597" i="106" s="1"/>
  <c r="D2597" i="106" s="1"/>
  <c r="K122" i="29"/>
  <c r="F15" i="145" s="1"/>
  <c r="F19" i="145" s="1"/>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K63" i="29"/>
  <c r="D1132" i="106"/>
  <c r="K68" i="29"/>
  <c r="K69" i="29"/>
  <c r="B1136" i="106" s="1"/>
  <c r="D1136" i="106" s="1"/>
  <c r="K70" i="29"/>
  <c r="B1137" i="106" s="1"/>
  <c r="D1137" i="106" s="1"/>
  <c r="D1138" i="106"/>
  <c r="K71" i="29"/>
  <c r="B1139" i="106" s="1"/>
  <c r="D1139" i="106" s="1"/>
  <c r="D1140" i="106"/>
  <c r="K73" i="29"/>
  <c r="K78" i="29"/>
  <c r="K79" i="29"/>
  <c r="K80" i="29"/>
  <c r="K81" i="29"/>
  <c r="K82" i="29"/>
  <c r="B2977" i="106" s="1"/>
  <c r="D2977" i="106" s="1"/>
  <c r="K83" i="29"/>
  <c r="K93" i="29"/>
  <c r="B6997" i="106" s="1"/>
  <c r="D6997" i="106" s="1"/>
  <c r="K94" i="29"/>
  <c r="B6999" i="106" s="1"/>
  <c r="D6999" i="106" s="1"/>
  <c r="K95" i="29"/>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B7090" i="106" s="1"/>
  <c r="D7090" i="106" s="1"/>
  <c r="K253" i="29"/>
  <c r="B7092" i="106" s="1"/>
  <c r="D7092" i="106" s="1"/>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c r="B5106" i="106"/>
  <c r="D5106" i="106" s="1"/>
  <c r="B5107" i="106"/>
  <c r="D5107" i="106" s="1"/>
  <c r="B5108" i="106"/>
  <c r="D5108" i="106" s="1"/>
  <c r="B5109" i="106"/>
  <c r="D5109" i="106" s="1"/>
  <c r="B5110" i="106"/>
  <c r="D5110" i="106" s="1"/>
  <c r="B5111" i="106"/>
  <c r="D5111" i="106" s="1"/>
  <c r="B5113" i="106"/>
  <c r="D5113" i="106" s="1"/>
  <c r="B5114" i="106"/>
  <c r="D5114" i="106"/>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c r="B6302" i="106"/>
  <c r="D6302" i="106"/>
  <c r="B6303" i="106"/>
  <c r="D6303" i="106"/>
  <c r="B6304" i="106"/>
  <c r="D6304" i="106" s="1"/>
  <c r="B6305" i="106"/>
  <c r="D6305" i="106" s="1"/>
  <c r="B6307" i="106"/>
  <c r="D6307" i="106"/>
  <c r="B6308" i="106"/>
  <c r="D6308" i="106" s="1"/>
  <c r="B6309" i="106"/>
  <c r="D6309" i="106" s="1"/>
  <c r="B6310" i="106"/>
  <c r="D6310" i="106" s="1"/>
  <c r="B6311" i="106"/>
  <c r="D6311" i="106" s="1"/>
  <c r="B6312" i="106"/>
  <c r="D6312" i="106"/>
  <c r="B6313" i="106"/>
  <c r="D6313" i="106" s="1"/>
  <c r="B6314" i="106"/>
  <c r="D6314" i="106"/>
  <c r="B6315" i="106"/>
  <c r="D6315" i="106" s="1"/>
  <c r="B6316" i="106"/>
  <c r="D6316" i="106" s="1"/>
  <c r="B6317" i="106"/>
  <c r="D6317" i="106" s="1"/>
  <c r="B6319" i="106"/>
  <c r="D6319" i="106"/>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c r="B6330" i="106"/>
  <c r="D6330" i="106" s="1"/>
  <c r="B6331" i="106"/>
  <c r="D6331" i="106" s="1"/>
  <c r="B6332" i="106"/>
  <c r="D6332" i="106" s="1"/>
  <c r="B6333" i="106"/>
  <c r="D6333" i="106" s="1"/>
  <c r="B6334" i="106"/>
  <c r="D6334" i="106" s="1"/>
  <c r="B6335" i="106"/>
  <c r="D6335" i="106"/>
  <c r="B6336" i="106"/>
  <c r="D6336" i="106"/>
  <c r="B6337" i="106"/>
  <c r="D6337" i="106" s="1"/>
  <c r="B6338" i="106"/>
  <c r="D6338" i="106" s="1"/>
  <c r="B6339" i="106"/>
  <c r="D6339" i="106"/>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c r="B6363" i="106"/>
  <c r="D6363" i="106" s="1"/>
  <c r="B6364" i="106"/>
  <c r="D6364" i="106"/>
  <c r="B6365" i="106"/>
  <c r="D6365" i="106" s="1"/>
  <c r="B6366" i="106"/>
  <c r="D6366" i="106" s="1"/>
  <c r="B6367" i="106"/>
  <c r="D6367" i="106"/>
  <c r="B6368" i="106"/>
  <c r="D6368" i="106" s="1"/>
  <c r="B6369" i="106"/>
  <c r="D6369" i="106" s="1"/>
  <c r="B6370" i="106"/>
  <c r="D6370" i="106" s="1"/>
  <c r="B6371" i="106"/>
  <c r="D6371" i="106" s="1"/>
  <c r="B6372" i="106"/>
  <c r="D6372" i="106"/>
  <c r="B6373" i="106"/>
  <c r="D6373" i="106" s="1"/>
  <c r="B6374" i="106"/>
  <c r="D6374" i="106" s="1"/>
  <c r="B6375" i="106"/>
  <c r="D6375" i="106" s="1"/>
  <c r="B6376" i="106"/>
  <c r="D6376" i="106"/>
  <c r="B6377" i="106"/>
  <c r="D6377" i="106" s="1"/>
  <c r="B6378" i="106"/>
  <c r="D6378" i="106"/>
  <c r="B6379" i="106"/>
  <c r="D6379" i="106" s="1"/>
  <c r="B6380" i="106"/>
  <c r="D6380" i="106" s="1"/>
  <c r="B6381" i="106"/>
  <c r="D6381" i="106" s="1"/>
  <c r="B6382" i="106"/>
  <c r="D6382" i="106"/>
  <c r="B6383" i="106"/>
  <c r="D6383" i="106"/>
  <c r="B6384" i="106"/>
  <c r="D6384" i="106" s="1"/>
  <c r="B6385" i="106"/>
  <c r="D6385" i="106" s="1"/>
  <c r="B6386" i="106"/>
  <c r="D6386" i="106"/>
  <c r="B6387" i="106"/>
  <c r="D6387" i="106" s="1"/>
  <c r="B6388" i="106"/>
  <c r="D6388" i="106"/>
  <c r="B6389" i="106"/>
  <c r="D6389" i="106" s="1"/>
  <c r="B6390" i="106"/>
  <c r="D6390" i="106" s="1"/>
  <c r="B6391" i="106"/>
  <c r="D6391" i="106" s="1"/>
  <c r="B6392" i="106"/>
  <c r="D6392" i="106"/>
  <c r="B6393" i="106"/>
  <c r="D6393" i="106" s="1"/>
  <c r="B6394" i="106"/>
  <c r="D6394" i="106" s="1"/>
  <c r="B6395" i="106"/>
  <c r="D6395" i="106" s="1"/>
  <c r="B6398" i="106"/>
  <c r="D6398" i="106"/>
  <c r="B6399" i="106"/>
  <c r="D6399" i="106" s="1"/>
  <c r="B6401" i="106"/>
  <c r="D6401" i="106" s="1"/>
  <c r="B6402" i="106"/>
  <c r="D6402" i="106" s="1"/>
  <c r="B6403" i="106"/>
  <c r="D6403" i="106" s="1"/>
  <c r="B6404" i="106"/>
  <c r="D6404" i="106" s="1"/>
  <c r="B6405" i="106"/>
  <c r="D6405" i="106"/>
  <c r="B6406" i="106"/>
  <c r="D6406" i="106"/>
  <c r="B6407" i="106"/>
  <c r="D6407" i="106" s="1"/>
  <c r="B6408" i="106"/>
  <c r="D6408" i="106" s="1"/>
  <c r="B6410" i="106"/>
  <c r="D6410" i="106"/>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c r="B6620" i="106"/>
  <c r="D6620" i="106" s="1"/>
  <c r="B6621" i="106"/>
  <c r="D6621" i="106"/>
  <c r="B6622" i="106"/>
  <c r="D6622" i="106" s="1"/>
  <c r="B6623" i="106"/>
  <c r="D6623" i="106" s="1"/>
  <c r="B6624" i="106"/>
  <c r="D6624" i="106" s="1"/>
  <c r="B6625" i="106"/>
  <c r="D6625" i="106"/>
  <c r="B6626" i="106"/>
  <c r="D6626" i="106" s="1"/>
  <c r="B6627" i="106"/>
  <c r="D6627" i="106" s="1"/>
  <c r="B6628" i="106"/>
  <c r="D6628" i="106" s="1"/>
  <c r="B6629" i="106"/>
  <c r="D6629" i="106"/>
  <c r="B6630" i="106"/>
  <c r="D6630" i="106" s="1"/>
  <c r="B6631" i="106"/>
  <c r="D6631" i="106" s="1"/>
  <c r="B6632" i="106"/>
  <c r="D6632" i="106" s="1"/>
  <c r="B6633" i="106"/>
  <c r="D6633" i="106" s="1"/>
  <c r="B6634" i="106"/>
  <c r="D6634" i="106"/>
  <c r="B6635" i="106"/>
  <c r="D6635" i="106"/>
  <c r="B6636" i="106"/>
  <c r="D6636" i="106" s="1"/>
  <c r="B6637" i="106"/>
  <c r="D6637" i="106" s="1"/>
  <c r="B6638" i="106"/>
  <c r="D6638" i="106" s="1"/>
  <c r="B6639" i="106"/>
  <c r="D6639" i="106"/>
  <c r="B6640" i="106"/>
  <c r="D6640" i="106" s="1"/>
  <c r="B6641" i="106"/>
  <c r="D6641" i="106"/>
  <c r="B6642" i="106"/>
  <c r="D6642" i="106" s="1"/>
  <c r="B6643" i="106"/>
  <c r="D6643" i="106" s="1"/>
  <c r="B6644" i="106"/>
  <c r="D6644" i="106" s="1"/>
  <c r="B6645" i="106"/>
  <c r="D6645" i="106"/>
  <c r="B6646" i="106"/>
  <c r="D6646" i="106" s="1"/>
  <c r="B6647" i="106"/>
  <c r="D6647" i="106" s="1"/>
  <c r="B6648" i="106"/>
  <c r="D6648" i="106" s="1"/>
  <c r="B6649" i="106"/>
  <c r="D6649" i="106"/>
  <c r="B6650" i="106"/>
  <c r="D6650" i="106"/>
  <c r="B6651" i="106"/>
  <c r="D6651" i="106"/>
  <c r="B6652" i="106"/>
  <c r="D6652" i="106" s="1"/>
  <c r="B6653" i="106"/>
  <c r="D6653" i="106" s="1"/>
  <c r="B6654" i="106"/>
  <c r="D6654" i="106" s="1"/>
  <c r="B6655" i="106"/>
  <c r="D6655" i="106"/>
  <c r="B6656" i="106"/>
  <c r="D6656" i="106" s="1"/>
  <c r="B6657" i="106"/>
  <c r="D6657" i="106" s="1"/>
  <c r="B6658" i="106"/>
  <c r="D6658" i="106" s="1"/>
  <c r="B6659" i="106"/>
  <c r="D6659" i="106"/>
  <c r="B6660" i="106"/>
  <c r="D6660" i="106" s="1"/>
  <c r="B6661" i="106"/>
  <c r="D6661" i="106" s="1"/>
  <c r="B6662" i="106"/>
  <c r="D6662" i="106" s="1"/>
  <c r="B6663" i="106"/>
  <c r="D6663" i="106" s="1"/>
  <c r="B6664" i="106"/>
  <c r="D6664" i="106" s="1"/>
  <c r="B6665" i="106"/>
  <c r="D6665" i="106"/>
  <c r="B6666" i="106"/>
  <c r="D6666" i="106" s="1"/>
  <c r="B6667" i="106"/>
  <c r="D6667" i="106" s="1"/>
  <c r="B6668" i="106"/>
  <c r="D6668" i="106" s="1"/>
  <c r="B6669" i="106"/>
  <c r="D6669" i="106"/>
  <c r="B6670" i="106"/>
  <c r="D6670" i="106"/>
  <c r="B6671" i="106"/>
  <c r="D6671" i="106"/>
  <c r="B6672" i="106"/>
  <c r="D6672" i="106" s="1"/>
  <c r="B6673" i="106"/>
  <c r="D6673" i="106" s="1"/>
  <c r="B6674" i="106"/>
  <c r="D6674" i="106" s="1"/>
  <c r="B6675" i="106"/>
  <c r="D6675" i="106"/>
  <c r="B6676" i="106"/>
  <c r="D6676" i="106" s="1"/>
  <c r="B6677" i="106"/>
  <c r="D6677" i="106" s="1"/>
  <c r="B6678" i="106"/>
  <c r="D6678" i="106" s="1"/>
  <c r="B6679" i="106"/>
  <c r="D6679" i="106"/>
  <c r="B6680" i="106"/>
  <c r="D6680" i="106" s="1"/>
  <c r="B6681" i="106"/>
  <c r="D6681" i="106" s="1"/>
  <c r="B6682" i="106"/>
  <c r="D6682" i="106" s="1"/>
  <c r="B6683" i="106"/>
  <c r="D6683" i="106" s="1"/>
  <c r="B6684" i="106"/>
  <c r="D6684" i="106" s="1"/>
  <c r="B6685" i="106"/>
  <c r="D6685" i="106"/>
  <c r="B6686" i="106"/>
  <c r="D6686" i="106" s="1"/>
  <c r="B6687" i="106"/>
  <c r="D6687" i="106" s="1"/>
  <c r="B6688" i="106"/>
  <c r="D6688" i="106" s="1"/>
  <c r="B6689" i="106"/>
  <c r="D6689" i="106"/>
  <c r="B6690" i="106"/>
  <c r="D6690" i="106" s="1"/>
  <c r="B6691" i="106"/>
  <c r="D6691" i="106" s="1"/>
  <c r="B6692" i="106"/>
  <c r="D6692" i="106" s="1"/>
  <c r="B6693" i="106"/>
  <c r="D6693" i="106" s="1"/>
  <c r="B6694" i="106"/>
  <c r="D6694" i="106" s="1"/>
  <c r="B6695" i="106"/>
  <c r="D6695" i="106"/>
  <c r="B6696" i="106"/>
  <c r="D6696" i="106" s="1"/>
  <c r="B6697" i="106"/>
  <c r="D6697" i="106"/>
  <c r="B6698" i="106"/>
  <c r="D6698" i="106" s="1"/>
  <c r="B6699" i="106"/>
  <c r="D6699" i="106"/>
  <c r="B6700" i="106"/>
  <c r="D6700" i="106" s="1"/>
  <c r="B6701" i="106"/>
  <c r="D6701" i="106" s="1"/>
  <c r="B6702" i="106"/>
  <c r="D6702" i="106" s="1"/>
  <c r="B6703" i="106"/>
  <c r="D6703" i="106" s="1"/>
  <c r="B6704" i="106"/>
  <c r="D6704" i="106" s="1"/>
  <c r="B6705" i="106"/>
  <c r="D6705" i="106"/>
  <c r="B6706" i="106"/>
  <c r="D6706" i="106" s="1"/>
  <c r="B6707" i="106"/>
  <c r="D6707" i="106" s="1"/>
  <c r="B6708" i="106"/>
  <c r="D6708" i="106" s="1"/>
  <c r="B6709" i="106"/>
  <c r="D6709" i="106"/>
  <c r="B6710" i="106"/>
  <c r="D6710" i="106" s="1"/>
  <c r="B6711" i="106"/>
  <c r="D6711" i="106" s="1"/>
  <c r="B6712" i="106"/>
  <c r="D6712" i="106" s="1"/>
  <c r="B6713" i="106"/>
  <c r="D6713" i="106" s="1"/>
  <c r="B6714" i="106"/>
  <c r="D6714" i="106"/>
  <c r="B6715" i="106"/>
  <c r="D6715" i="106"/>
  <c r="B6716" i="106"/>
  <c r="D6716" i="106" s="1"/>
  <c r="B6717" i="106"/>
  <c r="D6717" i="106" s="1"/>
  <c r="B6718" i="106"/>
  <c r="D6718" i="106" s="1"/>
  <c r="B6719" i="106"/>
  <c r="D6719" i="106"/>
  <c r="B6720" i="106"/>
  <c r="D6720" i="106" s="1"/>
  <c r="B6721" i="106"/>
  <c r="D6721" i="106" s="1"/>
  <c r="B6722" i="106"/>
  <c r="D6722" i="106" s="1"/>
  <c r="B6723" i="106"/>
  <c r="D6723" i="106" s="1"/>
  <c r="B6724" i="106"/>
  <c r="D6724" i="106" s="1"/>
  <c r="B6725" i="106"/>
  <c r="D6725" i="106"/>
  <c r="B6726" i="106"/>
  <c r="D6726" i="106" s="1"/>
  <c r="B6727" i="106"/>
  <c r="D6727" i="106" s="1"/>
  <c r="B6728" i="106"/>
  <c r="D6728" i="106" s="1"/>
  <c r="B6729" i="106"/>
  <c r="D6729" i="106" s="1"/>
  <c r="B6730" i="106"/>
  <c r="D6730" i="106"/>
  <c r="B6731" i="106"/>
  <c r="D6731" i="106" s="1"/>
  <c r="B6732" i="106"/>
  <c r="D6732" i="106" s="1"/>
  <c r="B6733" i="106"/>
  <c r="D6733" i="106"/>
  <c r="B6734" i="106"/>
  <c r="D6734" i="106" s="1"/>
  <c r="B6735" i="106"/>
  <c r="D6735" i="106" s="1"/>
  <c r="B6736" i="106"/>
  <c r="D6736" i="106" s="1"/>
  <c r="B6737" i="106"/>
  <c r="D6737" i="106"/>
  <c r="B6738" i="106"/>
  <c r="D6738" i="106"/>
  <c r="B6739" i="106"/>
  <c r="D6739" i="106" s="1"/>
  <c r="B6740" i="106"/>
  <c r="D6740" i="106" s="1"/>
  <c r="B6741" i="106"/>
  <c r="D6741" i="106"/>
  <c r="B6742" i="106"/>
  <c r="D6742" i="106"/>
  <c r="B6743" i="106"/>
  <c r="D6743" i="106" s="1"/>
  <c r="B6744" i="106"/>
  <c r="D6744" i="106" s="1"/>
  <c r="B6745" i="106"/>
  <c r="D6745" i="106" s="1"/>
  <c r="B6746" i="106"/>
  <c r="D6746" i="106"/>
  <c r="B6747" i="106"/>
  <c r="D6747" i="106" s="1"/>
  <c r="B6748" i="106"/>
  <c r="D6748" i="106" s="1"/>
  <c r="B6749" i="106"/>
  <c r="D6749" i="106"/>
  <c r="B6750" i="106"/>
  <c r="D6750" i="106" s="1"/>
  <c r="B6751" i="106"/>
  <c r="D6751" i="106" s="1"/>
  <c r="B6752" i="106"/>
  <c r="D6752" i="106" s="1"/>
  <c r="B6753" i="106"/>
  <c r="D6753" i="106"/>
  <c r="B6754" i="106"/>
  <c r="D6754" i="106"/>
  <c r="B6755" i="106"/>
  <c r="D6755" i="106" s="1"/>
  <c r="B6756" i="106"/>
  <c r="D6756" i="106" s="1"/>
  <c r="B6757" i="106"/>
  <c r="D6757" i="106"/>
  <c r="B6758" i="106"/>
  <c r="D6758" i="106"/>
  <c r="B6759" i="106"/>
  <c r="D6759" i="106" s="1"/>
  <c r="B6760" i="106"/>
  <c r="D6760" i="106" s="1"/>
  <c r="B6761" i="106"/>
  <c r="D6761" i="106" s="1"/>
  <c r="B6762" i="106"/>
  <c r="D6762" i="106"/>
  <c r="B6763" i="106"/>
  <c r="D6763" i="106" s="1"/>
  <c r="B6764" i="106"/>
  <c r="D6764" i="106" s="1"/>
  <c r="B6765" i="106"/>
  <c r="D6765" i="106"/>
  <c r="B6766" i="106"/>
  <c r="D6766" i="106" s="1"/>
  <c r="B6767" i="106"/>
  <c r="D6767" i="106" s="1"/>
  <c r="B6768" i="106"/>
  <c r="D6768" i="106" s="1"/>
  <c r="B6769" i="106"/>
  <c r="D6769" i="106"/>
  <c r="B6770" i="106"/>
  <c r="D6770" i="106"/>
  <c r="B6771" i="106"/>
  <c r="D6771" i="106" s="1"/>
  <c r="B6772" i="106"/>
  <c r="D6772" i="106" s="1"/>
  <c r="B6773" i="106"/>
  <c r="D6773" i="106"/>
  <c r="B6774" i="106"/>
  <c r="D6774" i="106"/>
  <c r="B6775" i="106"/>
  <c r="D6775" i="106" s="1"/>
  <c r="B6776" i="106"/>
  <c r="D6776" i="106" s="1"/>
  <c r="B6777" i="106"/>
  <c r="D6777" i="106" s="1"/>
  <c r="B6778" i="106"/>
  <c r="D6778" i="106"/>
  <c r="B6779" i="106"/>
  <c r="D6779" i="106" s="1"/>
  <c r="B6780" i="106"/>
  <c r="D6780" i="106" s="1"/>
  <c r="B6781" i="106"/>
  <c r="D6781" i="106"/>
  <c r="B6782" i="106"/>
  <c r="D6782" i="106" s="1"/>
  <c r="B6783" i="106"/>
  <c r="D6783" i="106" s="1"/>
  <c r="B6784" i="106"/>
  <c r="D6784" i="106" s="1"/>
  <c r="B6785" i="106"/>
  <c r="D6785" i="106"/>
  <c r="B6786" i="106"/>
  <c r="D6786" i="106"/>
  <c r="B6787" i="106"/>
  <c r="D6787" i="106" s="1"/>
  <c r="B6788" i="106"/>
  <c r="D6788" i="106" s="1"/>
  <c r="B6789" i="106"/>
  <c r="D6789" i="106"/>
  <c r="B6790" i="106"/>
  <c r="D6790" i="106"/>
  <c r="B6791" i="106"/>
  <c r="D6791" i="106" s="1"/>
  <c r="B6792" i="106"/>
  <c r="D6792" i="106" s="1"/>
  <c r="B6793" i="106"/>
  <c r="D6793" i="106" s="1"/>
  <c r="B6794" i="106"/>
  <c r="D6794" i="106"/>
  <c r="B6795" i="106"/>
  <c r="D6795" i="106" s="1"/>
  <c r="B6796" i="106"/>
  <c r="D6796" i="106" s="1"/>
  <c r="B6797" i="106"/>
  <c r="D6797" i="106"/>
  <c r="B6798" i="106"/>
  <c r="D6798" i="106" s="1"/>
  <c r="B6799" i="106"/>
  <c r="D6799" i="106" s="1"/>
  <c r="B6800" i="106"/>
  <c r="D6800" i="106" s="1"/>
  <c r="B6801" i="106"/>
  <c r="D6801" i="106"/>
  <c r="B6802" i="106"/>
  <c r="D6802" i="106"/>
  <c r="B6803" i="106"/>
  <c r="D6803" i="106" s="1"/>
  <c r="B6804" i="106"/>
  <c r="D6804" i="106" s="1"/>
  <c r="B6805" i="106"/>
  <c r="D6805" i="106"/>
  <c r="B6806" i="106"/>
  <c r="D6806" i="106"/>
  <c r="B6807" i="106"/>
  <c r="D6807" i="106" s="1"/>
  <c r="B6808" i="106"/>
  <c r="D6808" i="106" s="1"/>
  <c r="B6809" i="106"/>
  <c r="D6809" i="106" s="1"/>
  <c r="B6810" i="106"/>
  <c r="D6810" i="106"/>
  <c r="B6811" i="106"/>
  <c r="D6811" i="106" s="1"/>
  <c r="B6812" i="106"/>
  <c r="D6812" i="106" s="1"/>
  <c r="B6813" i="106"/>
  <c r="D6813" i="106"/>
  <c r="B6814" i="106"/>
  <c r="D6814" i="106" s="1"/>
  <c r="B6815" i="106"/>
  <c r="D6815" i="106" s="1"/>
  <c r="B6816" i="106"/>
  <c r="D6816" i="106" s="1"/>
  <c r="B6817" i="106"/>
  <c r="D6817" i="106"/>
  <c r="B6818" i="106"/>
  <c r="D6818" i="106"/>
  <c r="B6819" i="106"/>
  <c r="D6819" i="106" s="1"/>
  <c r="B6820" i="106"/>
  <c r="D6820" i="106" s="1"/>
  <c r="B6821" i="106"/>
  <c r="D6821" i="106"/>
  <c r="B6822" i="106"/>
  <c r="D6822" i="106"/>
  <c r="B6823" i="106"/>
  <c r="D6823" i="106" s="1"/>
  <c r="B6824" i="106"/>
  <c r="D6824" i="106" s="1"/>
  <c r="B6825" i="106"/>
  <c r="D6825" i="106" s="1"/>
  <c r="B6826" i="106"/>
  <c r="D6826" i="106"/>
  <c r="B6827" i="106"/>
  <c r="D6827" i="106" s="1"/>
  <c r="B6828" i="106"/>
  <c r="D6828" i="106" s="1"/>
  <c r="B6829" i="106"/>
  <c r="D6829" i="106"/>
  <c r="B6830" i="106"/>
  <c r="D6830" i="106" s="1"/>
  <c r="B6831" i="106"/>
  <c r="D6831" i="106" s="1"/>
  <c r="B6832" i="106"/>
  <c r="D6832" i="106" s="1"/>
  <c r="B6841" i="106"/>
  <c r="D6841" i="106"/>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1" i="106"/>
  <c r="D7091"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D26" i="108"/>
  <c r="F26" i="108"/>
  <c r="G26" i="108"/>
  <c r="D27" i="108"/>
  <c r="E27" i="108"/>
  <c r="F27" i="108"/>
  <c r="G27" i="108"/>
  <c r="E28" i="108"/>
  <c r="F28" i="108"/>
  <c r="F31" i="108"/>
  <c r="F36" i="108"/>
  <c r="F37" i="108"/>
  <c r="G28" i="108"/>
  <c r="D31"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s="1"/>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s="1"/>
  <c r="D5232" i="106" s="1"/>
  <c r="D184" i="5"/>
  <c r="B5425" i="106" s="1"/>
  <c r="D5425" i="106" s="1"/>
  <c r="F184" i="5"/>
  <c r="B5658" i="106" s="1"/>
  <c r="D5658" i="106" s="1"/>
  <c r="G184" i="5"/>
  <c r="B5784" i="106" s="1"/>
  <c r="D5784" i="106" s="1"/>
  <c r="H184" i="5"/>
  <c r="B5908" i="106"/>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14" i="4"/>
  <c r="B2609" i="106" s="1"/>
  <c r="D2609" i="106" s="1"/>
  <c r="C14" i="4"/>
  <c r="B2558" i="106" s="1"/>
  <c r="D2558" i="106" s="1"/>
  <c r="D14" i="4"/>
  <c r="B2570" i="106" s="1"/>
  <c r="D2570" i="106" s="1"/>
  <c r="B2633" i="106"/>
  <c r="D2633" i="106" s="1"/>
  <c r="N22" i="3"/>
  <c r="B283" i="106" s="1"/>
  <c r="D283" i="106" s="1"/>
  <c r="D7" i="118"/>
  <c r="D8" i="118"/>
  <c r="D9" i="118"/>
  <c r="H14" i="118"/>
  <c r="H19" i="118"/>
  <c r="H24" i="118"/>
  <c r="H28" i="118"/>
  <c r="H29" i="118"/>
  <c r="K28" i="118" s="1"/>
  <c r="O27" i="118" s="1"/>
  <c r="O29" i="118" s="1"/>
  <c r="D11" i="37"/>
  <c r="J22" i="37"/>
  <c r="L22" i="37"/>
  <c r="D24" i="37"/>
  <c r="B4270" i="106" s="1"/>
  <c r="D4270" i="106" s="1"/>
  <c r="D13" i="7"/>
  <c r="B3726" i="106" s="1"/>
  <c r="D3726" i="106" s="1"/>
  <c r="D9" i="7"/>
  <c r="B1767" i="106" s="1"/>
  <c r="D1767" i="106" s="1"/>
  <c r="F111" i="34"/>
  <c r="B5847" i="106"/>
  <c r="D5847" i="106" s="1"/>
  <c r="B1746" i="106"/>
  <c r="D1746" i="106" s="1"/>
  <c r="D12" i="7"/>
  <c r="B1769" i="106" s="1"/>
  <c r="D1769" i="106" s="1"/>
  <c r="D15" i="7"/>
  <c r="B1772" i="106" s="1"/>
  <c r="D1772" i="106" s="1"/>
  <c r="D11" i="7" l="1"/>
  <c r="B1768" i="106" s="1"/>
  <c r="D1768" i="106" s="1"/>
  <c r="F128" i="34"/>
  <c r="D22" i="37"/>
  <c r="F46" i="34"/>
  <c r="H33" i="118"/>
  <c r="H109" i="5"/>
  <c r="B6025" i="106" s="1"/>
  <c r="D6025" i="106" s="1"/>
  <c r="D4" i="7"/>
  <c r="B1760" i="106" s="1"/>
  <c r="D1760" i="106" s="1"/>
  <c r="F131" i="34"/>
  <c r="E26" i="108"/>
  <c r="B1274" i="106"/>
  <c r="D1274" i="106" s="1"/>
  <c r="G15" i="145"/>
  <c r="H173" i="5"/>
  <c r="B5906" i="106" s="1"/>
  <c r="D5906" i="106" s="1"/>
  <c r="L5" i="11"/>
  <c r="B2056" i="106" s="1"/>
  <c r="D2056" i="106" s="1"/>
  <c r="I173" i="5"/>
  <c r="B4216" i="106" s="1"/>
  <c r="D4216" i="106" s="1"/>
  <c r="F106" i="34"/>
  <c r="J210" i="29"/>
  <c r="B7072" i="106" s="1"/>
  <c r="D7072" i="106" s="1"/>
  <c r="K274" i="5"/>
  <c r="F44" i="34"/>
  <c r="E174" i="29"/>
  <c r="B1309" i="106" s="1"/>
  <c r="D1309" i="106" s="1"/>
  <c r="F37" i="34"/>
  <c r="F34" i="34"/>
  <c r="J352" i="29"/>
  <c r="J129" i="29"/>
  <c r="B7038" i="106" s="1"/>
  <c r="D7038" i="106" s="1"/>
  <c r="J41" i="3"/>
  <c r="B6216" i="106" s="1"/>
  <c r="D6216" i="106" s="1"/>
  <c r="C342" i="29"/>
  <c r="B7216" i="106" s="1"/>
  <c r="D7216" i="106" s="1"/>
  <c r="F77" i="4"/>
  <c r="B3255" i="106" s="1"/>
  <c r="D3255" i="106" s="1"/>
  <c r="D109" i="5"/>
  <c r="B5356" i="106" s="1"/>
  <c r="D5356" i="106" s="1"/>
  <c r="G109" i="5"/>
  <c r="B6024" i="106" s="1"/>
  <c r="D6024" i="106" s="1"/>
  <c r="D5" i="7"/>
  <c r="B1761" i="106" s="1"/>
  <c r="D1761" i="106" s="1"/>
  <c r="L15" i="11"/>
  <c r="B3459" i="106" s="1"/>
  <c r="D3459" i="106" s="1"/>
  <c r="B7041" i="106"/>
  <c r="D7041" i="106" s="1"/>
  <c r="E109" i="5"/>
  <c r="E4" i="4" s="1"/>
  <c r="B2630" i="106" s="1"/>
  <c r="D2630" i="106" s="1"/>
  <c r="B6858" i="106"/>
  <c r="D6858" i="106" s="1"/>
  <c r="F36" i="34"/>
  <c r="B4173" i="106"/>
  <c r="D4173" i="106" s="1"/>
  <c r="D69" i="36"/>
  <c r="B1792" i="106"/>
  <c r="D1792" i="106" s="1"/>
  <c r="F19" i="7"/>
  <c r="B1807" i="106" s="1"/>
  <c r="D1807" i="106" s="1"/>
  <c r="H6" i="4"/>
  <c r="B2656" i="106" s="1"/>
  <c r="D2656" i="106" s="1"/>
  <c r="C172" i="5"/>
  <c r="F127" i="34"/>
  <c r="K173" i="5"/>
  <c r="K6" i="4" s="1"/>
  <c r="B3570" i="106" s="1"/>
  <c r="D3570" i="106" s="1"/>
  <c r="C109" i="5"/>
  <c r="B5121" i="106" s="1"/>
  <c r="D5121" i="106" s="1"/>
  <c r="B7205" i="106"/>
  <c r="D7205" i="106" s="1"/>
  <c r="I342" i="29"/>
  <c r="B7222" i="106" s="1"/>
  <c r="D7222" i="106" s="1"/>
  <c r="B6889" i="106"/>
  <c r="D6889" i="106" s="1"/>
  <c r="F45" i="34"/>
  <c r="B6881" i="106"/>
  <c r="D6881" i="106" s="1"/>
  <c r="F41" i="34"/>
  <c r="B3649" i="106"/>
  <c r="D3649" i="106" s="1"/>
  <c r="G367" i="29"/>
  <c r="B4413" i="106"/>
  <c r="D4413" i="106" s="1"/>
  <c r="L342" i="29"/>
  <c r="E29" i="108"/>
  <c r="B3565" i="106"/>
  <c r="D3565" i="106" s="1"/>
  <c r="K41" i="3"/>
  <c r="D4" i="4"/>
  <c r="B2564" i="106" s="1"/>
  <c r="D2564" i="106" s="1"/>
  <c r="B4268" i="106"/>
  <c r="D4268" i="106" s="1"/>
  <c r="K184" i="29"/>
  <c r="F13" i="4" s="1"/>
  <c r="B2596" i="106" s="1"/>
  <c r="D2596" i="106" s="1"/>
  <c r="L13" i="11"/>
  <c r="B2060" i="106" s="1"/>
  <c r="D2060" i="106" s="1"/>
  <c r="H4" i="4"/>
  <c r="B2655" i="106" s="1"/>
  <c r="D2655" i="106" s="1"/>
  <c r="F62" i="34"/>
  <c r="B6289" i="106"/>
  <c r="D6289" i="106" s="1"/>
  <c r="K350" i="29"/>
  <c r="B3621" i="106"/>
  <c r="D3621" i="106" s="1"/>
  <c r="C367" i="29"/>
  <c r="F21" i="8"/>
  <c r="B3689" i="106"/>
  <c r="D3689" i="106" s="1"/>
  <c r="B1142" i="106"/>
  <c r="D1142" i="106" s="1"/>
  <c r="E38" i="108"/>
  <c r="G38" i="108"/>
  <c r="B1130" i="106"/>
  <c r="D1130" i="106" s="1"/>
  <c r="E30" i="108"/>
  <c r="G30" i="108"/>
  <c r="B3170" i="106"/>
  <c r="D3170" i="106" s="1"/>
  <c r="H76" i="4"/>
  <c r="B3298" i="106" s="1"/>
  <c r="D3298" i="106" s="1"/>
  <c r="F130" i="34"/>
  <c r="D7" i="7"/>
  <c r="B1763" i="106" s="1"/>
  <c r="D1763" i="106" s="1"/>
  <c r="F136" i="34"/>
  <c r="G172" i="5"/>
  <c r="F172" i="5"/>
  <c r="B5644" i="106" s="1"/>
  <c r="D5644" i="106" s="1"/>
  <c r="B1129" i="106"/>
  <c r="D1129" i="106" s="1"/>
  <c r="G29" i="108"/>
  <c r="B1053" i="106"/>
  <c r="D1053" i="106" s="1"/>
  <c r="H112" i="29"/>
  <c r="B7018" i="106" s="1"/>
  <c r="D7018" i="106" s="1"/>
  <c r="G39" i="108"/>
  <c r="B2836" i="106"/>
  <c r="D2836" i="106" s="1"/>
  <c r="G5" i="4"/>
  <c r="B3409" i="106" s="1"/>
  <c r="D3409" i="106" s="1"/>
  <c r="D17" i="7"/>
  <c r="B4104" i="106" s="1"/>
  <c r="D4104" i="106" s="1"/>
  <c r="K76" i="4"/>
  <c r="B3586" i="106" s="1"/>
  <c r="D3586" i="106" s="1"/>
  <c r="I24" i="12"/>
  <c r="K285" i="29"/>
  <c r="B1329" i="106"/>
  <c r="D1329" i="106" s="1"/>
  <c r="F61" i="34"/>
  <c r="L367" i="29"/>
  <c r="B2724" i="106"/>
  <c r="D2724" i="106" s="1"/>
  <c r="G210" i="29"/>
  <c r="D54" i="36"/>
  <c r="H342" i="29"/>
  <c r="L312" i="29"/>
  <c r="B1410" i="106"/>
  <c r="D1410"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H8" i="4"/>
  <c r="B3447" i="106"/>
  <c r="D3447" i="106" s="1"/>
  <c r="B7270" i="106"/>
  <c r="J367" i="29" l="1"/>
  <c r="B7245" i="106" s="1"/>
  <c r="D7245" i="106" s="1"/>
  <c r="B7235" i="106"/>
  <c r="D7235" i="106" s="1"/>
  <c r="D51" i="36"/>
  <c r="B5527" i="106"/>
  <c r="D5527" i="106" s="1"/>
  <c r="J151" i="29"/>
  <c r="B7052" i="106" s="1"/>
  <c r="D7052" i="106" s="1"/>
  <c r="F173" i="5"/>
  <c r="F275" i="5" s="1"/>
  <c r="B5720" i="106" s="1"/>
  <c r="D5720" i="106" s="1"/>
  <c r="B1317" i="106"/>
  <c r="D1317" i="106" s="1"/>
  <c r="C114" i="29"/>
  <c r="B757" i="106" s="1"/>
  <c r="D757" i="106" s="1"/>
  <c r="G4" i="4"/>
  <c r="B2603" i="106" s="1"/>
  <c r="D2603" i="106" s="1"/>
  <c r="C4" i="4"/>
  <c r="B2551" i="106" s="1"/>
  <c r="D2551" i="106" s="1"/>
  <c r="L114" i="29"/>
  <c r="L16" i="11"/>
  <c r="B2061" i="106" s="1"/>
  <c r="D2061" i="106" s="1"/>
  <c r="K342" i="29"/>
  <c r="F13" i="34" s="1"/>
  <c r="I26" i="12"/>
  <c r="B7741" i="106" s="1"/>
  <c r="D7741" i="106" s="1"/>
  <c r="B1996" i="106"/>
  <c r="D1996" i="106" s="1"/>
  <c r="F73" i="34"/>
  <c r="G15" i="4"/>
  <c r="B6032" i="106" s="1"/>
  <c r="D6032" i="106" s="1"/>
  <c r="B1879" i="106"/>
  <c r="D1879" i="106" s="1"/>
  <c r="H22" i="37"/>
  <c r="B1365" i="106"/>
  <c r="D1365" i="106" s="1"/>
  <c r="F65" i="34"/>
  <c r="H367" i="29"/>
  <c r="B3660" i="106" s="1"/>
  <c r="D3660" i="106" s="1"/>
  <c r="B5914" i="106"/>
  <c r="D5914" i="106" s="1"/>
  <c r="H151" i="29"/>
  <c r="B1273" i="106" s="1"/>
  <c r="D1273" i="106" s="1"/>
  <c r="D19" i="7"/>
  <c r="B1775" i="106" s="1"/>
  <c r="D1775" i="106" s="1"/>
  <c r="G173" i="5"/>
  <c r="B5770" i="106"/>
  <c r="D5770" i="106" s="1"/>
  <c r="B3670" i="106"/>
  <c r="D3670" i="106" s="1"/>
  <c r="K352" i="29"/>
  <c r="H275" i="5"/>
  <c r="K367" i="29"/>
  <c r="B3724" i="106"/>
  <c r="D3724" i="106" s="1"/>
  <c r="B3568" i="106"/>
  <c r="D3568" i="106" s="1"/>
  <c r="D52" i="36"/>
  <c r="B5214" i="106"/>
  <c r="D5214" i="106" s="1"/>
  <c r="C173" i="5"/>
  <c r="D274"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B2658" i="106"/>
  <c r="D2658" i="106" s="1"/>
  <c r="H10" i="4"/>
  <c r="B4127" i="106" s="1"/>
  <c r="D4127" i="106" s="1"/>
  <c r="D7" i="4"/>
  <c r="B5507" i="106"/>
  <c r="D5507" i="106" s="1"/>
  <c r="B7298" i="106"/>
  <c r="B7299" i="106"/>
  <c r="B7224" i="106" l="1"/>
  <c r="D7224" i="106" s="1"/>
  <c r="B5653" i="106"/>
  <c r="D5653" i="106" s="1"/>
  <c r="F6" i="4"/>
  <c r="B2593" i="106" s="1"/>
  <c r="D2593" i="106" s="1"/>
  <c r="G41" i="108"/>
  <c r="G44" i="108" s="1"/>
  <c r="G45" i="108" s="1"/>
  <c r="B5778" i="106"/>
  <c r="D5778" i="106" s="1"/>
  <c r="G6" i="4"/>
  <c r="B2604" i="106" s="1"/>
  <c r="D2604" i="106" s="1"/>
  <c r="B5223" i="106"/>
  <c r="D5223" i="106" s="1"/>
  <c r="C6" i="4"/>
  <c r="B2553" i="106" s="1"/>
  <c r="D2553" i="106" s="1"/>
  <c r="J8" i="4"/>
  <c r="E41" i="108"/>
  <c r="E44" i="108" s="1"/>
  <c r="E45" i="108" s="1"/>
  <c r="F8" i="4"/>
  <c r="D8" i="146" s="1"/>
  <c r="J17" i="4"/>
  <c r="B6227" i="106" s="1"/>
  <c r="D6227" i="106"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K17" i="4" l="1"/>
  <c r="K19" i="4" s="1"/>
  <c r="B4144" i="106" s="1"/>
  <c r="D4144" i="106" s="1"/>
  <c r="J19" i="4"/>
  <c r="B6229" i="106" s="1"/>
  <c r="D6229" i="106" s="1"/>
  <c r="J20" i="4"/>
  <c r="B6230" i="106" s="1"/>
  <c r="D6230" i="106" s="1"/>
  <c r="B6223" i="106"/>
  <c r="D6223" i="106" s="1"/>
  <c r="J10" i="4"/>
  <c r="B6225" i="106" s="1"/>
  <c r="D6225" i="106" s="1"/>
  <c r="F10" i="4"/>
  <c r="B4125" i="106" s="1"/>
  <c r="D4125" i="106" s="1"/>
  <c r="B2595" i="106"/>
  <c r="D259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B3575" i="106" l="1"/>
  <c r="D3575" i="106" s="1"/>
  <c r="J78" i="4"/>
  <c r="B6263" i="106" s="1"/>
  <c r="D6263"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78" i="4"/>
  <c r="B2574" i="106"/>
  <c r="D2574" i="106" s="1"/>
  <c r="F8" i="146"/>
  <c r="J81" i="4" l="1"/>
  <c r="D64" i="36" s="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81" i="4"/>
  <c r="B3239" i="106"/>
  <c r="D3239" i="106" s="1"/>
  <c r="B6266" i="106" l="1"/>
  <c r="D6266" i="106" s="1"/>
  <c r="J82" i="4"/>
  <c r="F181" i="34"/>
  <c r="F183" i="34" s="1"/>
  <c r="B3278" i="106"/>
  <c r="D3278" i="106" s="1"/>
  <c r="E81" i="4"/>
  <c r="B3233" i="106"/>
  <c r="D3233" i="106" s="1"/>
  <c r="C81" i="4"/>
  <c r="A7263" i="106"/>
  <c r="D7262" i="106"/>
  <c r="B1700" i="106"/>
  <c r="D1700" i="106" s="1"/>
  <c r="H82" i="4"/>
  <c r="D62" i="36"/>
  <c r="J20" i="118"/>
  <c r="O16" i="118"/>
  <c r="K20"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<sst xmlns="http://schemas.openxmlformats.org/spreadsheetml/2006/main" count="5193" uniqueCount="2240">
  <si>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</si>
  <si>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</si>
  <si>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</si>
  <si>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</si>
  <si>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</si>
  <si>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</si>
  <si>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</si>
  <si>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</si>
  <si>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</si>
  <si>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</si>
  <si>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</si>
  <si>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</si>
  <si>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</si>
  <si>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</si>
  <si>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</si>
  <si>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</si>
  <si>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</si>
  <si>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</si>
  <si>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</si>
  <si>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</si>
  <si>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</si>
  <si>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</si>
  <si>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</si>
  <si>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</si>
  <si>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</si>
  <si>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</si>
  <si>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</si>
  <si>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</si>
  <si>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</si>
  <si>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</si>
  <si>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</si>
  <si>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</si>
  <si>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</si>
  <si>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</si>
  <si>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</si>
  <si>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</si>
  <si>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</si>
  <si>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</si>
  <si>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</si>
  <si>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</si>
  <si>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</si>
  <si>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</si>
  <si>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</si>
  <si>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</si>
  <si>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</si>
  <si>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</si>
  <si>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</si>
  <si>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</si>
  <si>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</si>
  <si>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</si>
  <si>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</si>
  <si>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</si>
  <si>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</si>
  <si>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</si>
  <si>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</si>
  <si>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</si>
  <si>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</si>
  <si>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</si>
  <si>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</si>
  <si>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</si>
  <si>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</si>
  <si>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</si>
  <si>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</si>
  <si>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</si>
  <si>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</si>
  <si>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</si>
  <si>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</si>
  <si>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</si>
  <si>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</si>
  <si>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</si>
  <si>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</si>
  <si>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</si>
  <si>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</si>
  <si>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</si>
  <si>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</si>
  <si>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</si>
  <si>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</si>
  <si>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</si>
  <si>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</si>
  <si>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</si>
  <si>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</si>
  <si>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</si>
  <si>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</si>
  <si>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</si>
  <si>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</si>
  <si>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</si>
  <si>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</si>
  <si>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</si>
  <si>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</si>
  <si>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</si>
  <si>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</si>
  <si>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</si>
  <si>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</si>
  <si>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</si>
  <si>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</si>
  <si>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</si>
  <si>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</si>
  <si>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</si>
  <si>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</si>
  <si>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</si>
  <si>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</si>
  <si>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</si>
  <si>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</si>
  <si>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</si>
  <si>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</si>
  <si>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</si>
  <si>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</si>
  <si>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</si>
  <si>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</si>
  <si>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</si>
  <si>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</si>
  <si>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</si>
  <si>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</si>
  <si>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</si>
  <si>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</si>
  <si>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</si>
  <si>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</si>
  <si>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</si>
  <si>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</si>
  <si>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</si>
  <si>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</si>
  <si>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</si>
  <si>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</si>
  <si>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</si>
  <si>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</si>
  <si>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</si>
  <si>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</si>
  <si>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</si>
  <si>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</si>
  <si>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</si>
  <si>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</si>
  <si>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</si>
  <si>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</si>
  <si>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</si>
  <si>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</si>
  <si>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</si>
  <si>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</si>
  <si>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</si>
  <si>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</si>
  <si>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</si>
  <si>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</si>
  <si>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</si>
  <si>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</si>
  <si>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</si>
  <si>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</si>
  <si>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</si>
  <si>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</si>
  <si>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</si>
  <si>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</si>
  <si>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</si>
  <si>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</si>
  <si>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</si>
  <si>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</si>
  <si>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</si>
  <si>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</si>
  <si>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</si>
  <si>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</si>
  <si>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</si>
  <si>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</si>
  <si>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</si>
  <si>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</si>
  <si>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</si>
  <si>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</si>
  <si>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</si>
  <si>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</si>
  <si>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</si>
  <si>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</si>
  <si>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</si>
  <si>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</si>
  <si>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</si>
  <si>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</si>
  <si>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</si>
  <si>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</si>
  <si>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</si>
  <si>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</si>
  <si>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</si>
  <si>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</si>
  <si>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</si>
  <si>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</si>
  <si>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</si>
  <si>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</si>
  <si>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</si>
  <si>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</si>
  <si>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</si>
  <si>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</si>
  <si>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</si>
  <si>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</si>
  <si>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</si>
  <si>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</si>
  <si>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</si>
  <si>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</si>
  <si>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</si>
  <si>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</si>
  <si>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</si>
  <si>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</si>
  <si>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</si>
  <si>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</si>
  <si>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</si>
  <si>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</si>
  <si>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</si>
  <si>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</si>
  <si>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</si>
  <si>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</si>
  <si>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</si>
  <si>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</si>
  <si>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</si>
  <si>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</si>
  <si>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</si>
  <si>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</si>
  <si>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</si>
  <si>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</si>
  <si>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</si>
  <si>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</si>
  <si>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</si>
  <si>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</si>
  <si>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</si>
  <si>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</si>
  <si>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</si>
  <si>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</si>
  <si>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</si>
  <si>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</si>
  <si>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</si>
  <si>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</si>
  <si>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</si>
  <si>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</si>
  <si>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</si>
  <si>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</si>
  <si>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</si>
  <si>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</si>
  <si>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</si>
  <si>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</si>
  <si>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</si>
  <si>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</si>
  <si>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</si>
  <si>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</si>
  <si>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</si>
  <si>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</si>
  <si>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</si>
  <si>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</si>
  <si>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</si>
  <si>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</si>
  <si>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</si>
  <si>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</si>
  <si>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</si>
  <si>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</si>
  <si>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</si>
  <si>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</si>
  <si>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</si>
  <si>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</si>
  <si>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</si>
  <si>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</si>
  <si>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</si>
  <si>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</si>
  <si>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</si>
  <si>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</si>
  <si>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</si>
  <si>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</si>
  <si>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</si>
  <si>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</si>
  <si>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</si>
  <si>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</si>
  <si>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</si>
  <si>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</si>
  <si>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</si>
  <si>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</si>
  <si>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</si>
  <si>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</si>
  <si>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</si>
  <si>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</si>
  <si>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</si>
  <si>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</si>
  <si>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</si>
  <si>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</si>
  <si>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</si>
  <si>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</si>
  <si>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</si>
  <si>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</si>
  <si>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</si>
  <si>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</si>
  <si>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</si>
  <si>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</si>
  <si>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</si>
  <si>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</si>
  <si>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</si>
  <si>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</si>
  <si>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</si>
  <si>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</si>
  <si>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</si>
  <si>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</si>
  <si>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</si>
  <si>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</si>
  <si>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</si>
  <si>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</si>
  <si>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</si>
  <si>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</si>
  <si>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</si>
  <si>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</si>
  <si>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</si>
  <si>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</si>
  <si>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</si>
  <si>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</si>
  <si>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</si>
  <si>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</si>
  <si>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</si>
  <si>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</si>
  <si>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</si>
  <si>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</si>
  <si>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</si>
  <si>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</si>
  <si>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</si>
  <si>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</si>
  <si>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</si>
  <si>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</si>
  <si>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</si>
  <si>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</si>
  <si>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</si>
  <si>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</si>
  <si>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</si>
  <si>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</si>
  <si>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</si>
  <si>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</si>
  <si>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</si>
  <si>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</si>
  <si>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</si>
  <si>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</si>
  <si>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</si>
  <si>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</si>
  <si>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</si>
  <si>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</si>
  <si>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</si>
  <si>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</si>
  <si>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</si>
  <si>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</si>
  <si>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</si>
  <si>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</si>
  <si>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</si>
  <si>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</si>
  <si>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</si>
  <si>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</si>
  <si>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</si>
  <si>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</si>
  <si>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</si>
  <si>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</si>
  <si>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</si>
  <si>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</si>
  <si>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</si>
  <si>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</si>
  <si>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</si>
  <si>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</si>
  <si>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</si>
  <si>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</si>
  <si>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</si>
  <si>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</si>
  <si>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</si>
  <si>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</si>
  <si>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</si>
  <si>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</si>
  <si>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</si>
  <si>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</si>
  <si>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</si>
  <si>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</si>
  <si>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</si>
  <si>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</si>
  <si>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</si>
  <si>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</si>
  <si>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</si>
  <si>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</si>
  <si>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</si>
  <si>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</si>
  <si>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</si>
  <si>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</si>
  <si>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</si>
  <si>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</si>
  <si>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</si>
  <si>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</si>
  <si>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</si>
  <si>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</si>
  <si>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</si>
  <si>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</si>
  <si>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</si>
  <si>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</si>
  <si>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</si>
  <si>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</si>
  <si>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</si>
  <si>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</si>
  <si>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</si>
  <si>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</si>
  <si>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</si>
  <si>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</si>
  <si>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</si>
  <si>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</si>
  <si>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</si>
  <si>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</si>
  <si>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</si>
  <si>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</si>
  <si>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</si>
  <si>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</si>
  <si>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</si>
  <si>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</si>
  <si>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</si>
  <si>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</si>
  <si>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</si>
  <si>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</si>
  <si>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</si>
  <si>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</si>
  <si>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</si>
  <si>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</si>
  <si>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</si>
  <si>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</si>
  <si>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</si>
  <si>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</si>
  <si>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</si>
  <si>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</si>
  <si>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</si>
  <si>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</si>
  <si>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</si>
  <si>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</si>
  <si>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</si>
  <si>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</si>
  <si>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</si>
  <si>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</si>
  <si>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</si>
  <si>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</si>
  <si>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</si>
  <si>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</si>
  <si>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</si>
  <si>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</si>
  <si>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</si>
  <si>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</si>
  <si>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</si>
  <si>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</si>
  <si>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</si>
  <si>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</si>
  <si>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</si>
  <si>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</si>
  <si>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</si>
  <si>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</si>
  <si>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</si>
  <si>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</si>
  <si>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</si>
  <si>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</si>
  <si>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</si>
  <si>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</si>
  <si>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</si>
  <si>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</si>
  <si>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</si>
  <si>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</si>
  <si>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</si>
  <si>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</si>
  <si>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</si>
  <si>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</si>
  <si>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</si>
  <si>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</si>
  <si>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</si>
  <si>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</si>
  <si>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</si>
  <si>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</si>
  <si>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</si>
  <si>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</si>
  <si>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</si>
  <si>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</si>
  <si>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</si>
  <si>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</si>
  <si>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</si>
  <si>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</si>
  <si>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</si>
  <si>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</si>
  <si>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</si>
  <si>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</si>
  <si>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</si>
  <si>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</si>
  <si>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</si>
  <si>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</si>
  <si>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</si>
  <si>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</si>
  <si>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</si>
  <si>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</si>
  <si>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</si>
  <si>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</si>
  <si>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</si>
  <si>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</si>
  <si>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</si>
  <si>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</si>
  <si>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</si>
  <si>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</si>
  <si>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</si>
  <si>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</si>
  <si>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</si>
  <si>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</si>
  <si>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</si>
  <si>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</si>
  <si>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</si>
  <si>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</si>
  <si>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</si>
  <si>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</si>
  <si>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</si>
  <si>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</si>
  <si>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</si>
  <si>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</si>
  <si>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</si>
  <si>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</si>
  <si>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</si>
  <si>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</si>
  <si>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</si>
  <si>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</si>
  <si>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</si>
  <si>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</si>
  <si>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</si>
  <si>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</si>
  <si>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</si>
  <si>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</si>
  <si>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</si>
  <si>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</si>
  <si>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</si>
  <si>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</si>
  <si>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</si>
  <si>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</si>
  <si>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</si>
  <si>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</si>
  <si>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</si>
  <si>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</si>
  <si>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</si>
  <si>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</si>
  <si>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</si>
  <si>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</si>
  <si>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</si>
  <si>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</si>
  <si>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</si>
  <si>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</si>
  <si>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</si>
  <si>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</si>
  <si>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</si>
  <si>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</si>
  <si>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</si>
  <si>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</si>
  <si>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</si>
  <si>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</si>
  <si>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</si>
  <si>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</si>
  <si>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</si>
  <si>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</si>
  <si>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</si>
  <si>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</si>
  <si>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</si>
  <si>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</si>
  <si>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</si>
  <si>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</si>
  <si>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</si>
  <si>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</si>
  <si>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</si>
  <si>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</si>
  <si>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</si>
  <si>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</si>
  <si>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</si>
  <si>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</si>
  <si>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</si>
  <si>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</si>
  <si>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</si>
  <si>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</si>
  <si>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</si>
  <si>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</si>
  <si>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</si>
  <si>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</si>
  <si>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</si>
  <si>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</si>
  <si>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</si>
  <si>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</si>
  <si>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</si>
  <si>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</si>
  <si>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</si>
  <si>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</si>
  <si>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</si>
  <si>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</si>
  <si>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</si>
  <si>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</si>
  <si>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</si>
  <si>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</si>
  <si>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</si>
  <si>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</si>
  <si>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</si>
  <si>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</si>
  <si>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</si>
  <si>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</si>
  <si>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</si>
  <si>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</si>
  <si>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</si>
  <si>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</si>
  <si>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</si>
  <si>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</si>
  <si>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</si>
  <si>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</si>
  <si>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</si>
  <si>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</si>
  <si>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</si>
  <si>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</si>
  <si>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</si>
  <si>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</si>
  <si>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</si>
  <si>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</si>
  <si>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</si>
  <si>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</si>
  <si>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</si>
  <si>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</si>
  <si>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</si>
  <si>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</si>
  <si>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</si>
  <si>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</si>
  <si>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</si>
  <si>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</si>
  <si>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</si>
  <si>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</si>
  <si>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</si>
  <si>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</si>
  <si>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</si>
  <si>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</si>
  <si>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</si>
  <si>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</si>
  <si>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</si>
  <si>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</si>
  <si>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</si>
  <si>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</si>
  <si>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</si>
  <si>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</si>
  <si>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</si>
  <si>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</si>
  <si>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</si>
  <si>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</si>
  <si>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</si>
  <si>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</si>
  <si>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</si>
  <si>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</si>
  <si>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</si>
  <si>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</si>
  <si>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</si>
  <si>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</si>
  <si>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</si>
  <si>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</si>
  <si>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</si>
  <si>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</si>
  <si>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</si>
  <si>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</si>
  <si>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</si>
  <si>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</si>
  <si>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</si>
  <si>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</si>
  <si>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</si>
  <si>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</si>
  <si>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</si>
  <si>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</si>
  <si>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</si>
  <si>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</si>
  <si>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</si>
  <si>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</si>
  <si>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</si>
  <si>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</si>
  <si>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</si>
  <si>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</si>
  <si>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</si>
  <si>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</si>
  <si>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</si>
  <si>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</si>
  <si>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</si>
  <si>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</si>
  <si>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</si>
  <si>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</si>
  <si>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</si>
  <si>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</si>
  <si>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</si>
  <si>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</si>
  <si>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</si>
  <si>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</si>
  <si>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</si>
  <si>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</si>
  <si>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</si>
  <si>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</si>
  <si>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</si>
  <si>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</si>
  <si>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</si>
  <si>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</si>
  <si>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</si>
  <si>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</si>
  <si>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</si>
  <si>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</si>
  <si>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</si>
  <si>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</si>
  <si>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</si>
  <si>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</si>
  <si>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</si>
  <si>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</si>
  <si>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</si>
  <si>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</si>
  <si>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</si>
  <si>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</si>
  <si>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</si>
  <si>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</si>
  <si>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</si>
  <si>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</si>
  <si>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</si>
  <si>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</si>
  <si>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</si>
  <si>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</si>
  <si>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</si>
  <si>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</si>
  <si>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</si>
  <si>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</si>
  <si>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</si>
  <si>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</si>
  <si>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</si>
  <si>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</si>
  <si>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</si>
  <si>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</si>
  <si>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</si>
  <si>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</si>
  <si>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</si>
  <si>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</si>
  <si>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</si>
  <si>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</si>
  <si>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</si>
  <si>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</si>
  <si>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</si>
  <si>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</si>
  <si>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</si>
  <si>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</si>
  <si>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</si>
  <si>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</si>
  <si>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</si>
  <si>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</si>
  <si>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</si>
  <si>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</si>
  <si>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</si>
  <si>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</si>
  <si>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</si>
  <si>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</si>
  <si>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</si>
  <si>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</si>
  <si>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</si>
  <si>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</si>
  <si>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</si>
  <si>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</si>
  <si>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</si>
  <si>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</si>
  <si>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</si>
  <si>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</si>
  <si>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</si>
  <si>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</si>
  <si>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</si>
  <si>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</si>
  <si>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</si>
  <si>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</si>
  <si>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</si>
  <si>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</si>
  <si>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</si>
  <si>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</si>
  <si>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</si>
  <si>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</si>
  <si>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</si>
  <si>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</si>
  <si>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</si>
  <si>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</si>
  <si>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</si>
  <si>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</si>
  <si>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</si>
  <si>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</si>
  <si>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</si>
  <si>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</si>
  <si>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</si>
  <si>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</si>
  <si>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</si>
  <si>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</si>
  <si>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</si>
  <si>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</si>
  <si>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</si>
  <si>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</si>
  <si>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</si>
  <si>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</si>
  <si>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</si>
  <si>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</si>
  <si>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</si>
  <si>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</si>
  <si>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</si>
  <si>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</si>
  <si>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</si>
  <si>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</si>
  <si>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</si>
  <si>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</si>
  <si>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</si>
  <si>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</si>
  <si>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</si>
  <si>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</si>
  <si>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</si>
  <si>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</si>
  <si>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</si>
  <si>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</si>
  <si>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</si>
  <si>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</si>
  <si>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</si>
  <si>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</si>
  <si>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</si>
  <si>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</si>
  <si>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</si>
  <si>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</si>
  <si>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</si>
  <si>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</si>
  <si>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</si>
  <si>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</si>
  <si>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</si>
  <si>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</si>
  <si>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</si>
  <si>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</si>
  <si>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</si>
  <si>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</si>
  <si>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</si>
  <si>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</si>
  <si>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</si>
  <si>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</si>
  <si>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</si>
  <si>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</si>
  <si>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</si>
  <si>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</si>
  <si>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</si>
  <si>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</si>
  <si>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</si>
  <si>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</si>
  <si>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</si>
  <si>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</si>
  <si>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</si>
  <si>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</si>
  <si>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</si>
  <si>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</si>
  <si>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</si>
  <si>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</si>
  <si>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</si>
  <si>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</si>
  <si>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</si>
  <si>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</si>
  <si>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</si>
  <si>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</si>
  <si>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</si>
  <si>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</si>
  <si>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</si>
  <si>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</si>
  <si>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</si>
  <si>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</si>
  <si>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</si>
  <si>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</si>
  <si>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</si>
  <si>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</si>
  <si>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</si>
  <si>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</si>
  <si>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</si>
  <si>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</si>
  <si>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</si>
  <si>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</si>
  <si>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</si>
  <si>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</si>
  <si>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</si>
  <si>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</si>
  <si>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</si>
  <si>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</si>
  <si>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</si>
  <si>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</si>
  <si>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</si>
  <si>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</si>
  <si>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</si>
  <si>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</si>
  <si>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</si>
  <si>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</si>
  <si>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</si>
  <si>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</si>
  <si>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</si>
  <si>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</si>
  <si>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</si>
  <si>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</si>
  <si>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</si>
  <si>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</si>
  <si>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</si>
  <si>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</si>
  <si>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</si>
  <si>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</si>
  <si>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</si>
  <si>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</si>
  <si>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</si>
  <si>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</si>
  <si>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</si>
  <si>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</si>
  <si>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</si>
  <si>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</si>
  <si>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</si>
  <si>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</si>
  <si>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</si>
  <si>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</si>
  <si>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</si>
  <si>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</si>
  <si>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</si>
  <si>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</si>
  <si>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</si>
  <si>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</si>
  <si>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</si>
  <si>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</si>
  <si>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</si>
  <si>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</si>
  <si>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</si>
  <si>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</si>
  <si>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</si>
  <si>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</si>
  <si>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</si>
  <si>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</si>
  <si>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</si>
  <si>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</si>
  <si>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</si>
  <si>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</si>
  <si>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</si>
  <si>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</si>
  <si>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</si>
  <si>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</si>
  <si>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</si>
  <si>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</si>
  <si>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</si>
  <si>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</si>
  <si>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</si>
  <si>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</si>
  <si>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</si>
  <si>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</si>
  <si>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</si>
  <si>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</si>
  <si>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</si>
  <si>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</si>
  <si>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</si>
  <si>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</si>
  <si>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</si>
  <si>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</si>
  <si>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</si>
  <si>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</si>
  <si>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</si>
  <si>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</si>
  <si>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</si>
  <si>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</si>
  <si>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</si>
  <si>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</si>
  <si>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</si>
  <si>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</si>
  <si>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</si>
  <si>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</si>
  <si>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</si>
  <si>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</si>
  <si>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</si>
  <si>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</si>
  <si>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</si>
  <si>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</si>
  <si>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</si>
  <si>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</si>
  <si>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</si>
  <si>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</si>
  <si>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</si>
  <si>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</si>
  <si>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</si>
  <si>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</si>
  <si>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</si>
  <si>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</si>
  <si>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</si>
  <si>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</si>
  <si>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</si>
  <si>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</si>
  <si>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</si>
  <si>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</si>
  <si>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</si>
  <si>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</si>
  <si>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</si>
  <si>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</si>
  <si>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</si>
  <si>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</si>
  <si>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</si>
  <si>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</si>
  <si>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</si>
  <si>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</si>
  <si>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</si>
  <si>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</si>
  <si>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</si>
  <si>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</si>
  <si>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</si>
  <si>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</si>
  <si>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</si>
  <si>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</si>
  <si>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</si>
  <si>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</si>
  <si>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</si>
  <si>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</si>
  <si>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</si>
  <si>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</si>
  <si>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</si>
  <si>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</si>
  <si>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</si>
  <si>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</si>
  <si>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</si>
  <si>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</si>
  <si>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</si>
  <si>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</si>
  <si>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</si>
  <si>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</si>
  <si>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</si>
  <si>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</si>
  <si>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</si>
  <si>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</si>
  <si>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</si>
  <si>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</si>
  <si>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</si>
  <si>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</si>
  <si>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</si>
  <si>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</si>
  <si>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</si>
  <si>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</si>
  <si>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</si>
  <si>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</si>
  <si>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</si>
  <si>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</si>
  <si>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</si>
  <si>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</si>
  <si>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</si>
  <si>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</si>
  <si>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</si>
  <si>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</si>
  <si>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</si>
  <si>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</si>
  <si>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</si>
  <si>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</si>
  <si>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</si>
  <si>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</si>
  <si>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</si>
  <si>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</si>
  <si>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</si>
  <si>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</si>
  <si>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</si>
  <si>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</si>
  <si>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</si>
  <si>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</si>
  <si>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</si>
  <si>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</si>
  <si>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</si>
  <si>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</si>
  <si>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</si>
  <si>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</si>
  <si>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</si>
  <si>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</si>
  <si>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</si>
  <si>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</si>
  <si>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</si>
  <si>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</si>
  <si>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</si>
  <si>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</si>
  <si>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</si>
  <si>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</si>
  <si>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</si>
  <si>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</si>
  <si>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</si>
  <si>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</si>
  <si>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</si>
  <si>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</si>
  <si>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</si>
  <si>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</si>
  <si>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</si>
  <si>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</si>
  <si>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</si>
  <si>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</si>
  <si>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</si>
  <si>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</si>
  <si>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</si>
  <si>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</si>
  <si>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</si>
  <si>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</si>
  <si>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</si>
  <si>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</si>
  <si>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</si>
  <si>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</si>
  <si>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</si>
  <si>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</si>
  <si>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</si>
  <si>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</si>
  <si>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</si>
  <si>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</si>
  <si>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</si>
  <si>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</si>
  <si>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</si>
  <si>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</si>
  <si>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</si>
  <si>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</si>
  <si>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</si>
  <si>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</si>
  <si>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</si>
  <si>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</si>
  <si>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</si>
  <si>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</si>
  <si>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</si>
  <si>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</si>
  <si>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</si>
  <si>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</si>
  <si>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</si>
  <si>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</si>
  <si>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</si>
  <si>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</si>
  <si>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</si>
  <si>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</si>
  <si>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</si>
  <si>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</si>
  <si>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</si>
  <si>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</si>
  <si>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</si>
  <si>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</si>
  <si>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</si>
  <si>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</si>
  <si>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</si>
  <si>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</si>
  <si>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</si>
  <si>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</si>
  <si>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</si>
  <si>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</si>
  <si>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</si>
  <si>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</si>
  <si>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</si>
  <si>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</si>
  <si>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</si>
  <si>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</si>
  <si>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</si>
  <si>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</si>
  <si>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</si>
  <si>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</si>
  <si>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</si>
  <si>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</si>
  <si>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</si>
  <si>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</si>
  <si>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</si>
  <si>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</si>
  <si>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</si>
  <si>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</si>
  <si>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</si>
  <si>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</si>
  <si>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</si>
  <si>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</si>
  <si>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</si>
  <si>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</si>
  <si>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</si>
  <si>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</si>
  <si>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</si>
  <si>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</si>
  <si>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</si>
  <si>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</si>
  <si>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</si>
  <si>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</si>
  <si>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</si>
  <si>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</si>
  <si>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</si>
  <si>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</si>
  <si>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</si>
  <si>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</si>
  <si>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</si>
  <si>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</si>
  <si>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</si>
  <si>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</si>
  <si>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</si>
  <si>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</si>
  <si>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</si>
  <si>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</si>
  <si>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</si>
  <si>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</si>
  <si>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</si>
  <si>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</si>
  <si>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</si>
  <si>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</si>
  <si>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</si>
  <si>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</si>
  <si>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</si>
  <si>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</si>
  <si>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</si>
  <si>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</si>
  <si>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</si>
  <si>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</si>
  <si>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</si>
  <si>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</si>
  <si>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</si>
  <si>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</si>
  <si>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</si>
  <si>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</si>
  <si>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</si>
  <si>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</si>
  <si>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</si>
  <si>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</si>
  <si>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</si>
  <si>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</si>
  <si>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</si>
  <si>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</si>
  <si>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</si>
  <si>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</si>
  <si>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</si>
  <si>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</si>
  <si>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</si>
  <si>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</si>
  <si>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</si>
  <si>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</si>
  <si>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</si>
  <si>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</si>
  <si>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</si>
  <si>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</si>
  <si>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</si>
  <si>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</si>
  <si>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</si>
  <si>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</si>
  <si>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</si>
  <si>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</si>
  <si>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</si>
  <si>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</si>
  <si>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</si>
  <si>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</si>
  <si>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</si>
  <si>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</si>
  <si>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</si>
  <si>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</si>
  <si>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</si>
  <si>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</si>
  <si>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</si>
  <si>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</si>
  <si>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</si>
  <si>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</si>
  <si>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</si>
  <si>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</si>
  <si>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</si>
  <si>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</si>
  <si>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</si>
  <si>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</si>
  <si>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</si>
  <si>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</si>
  <si>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</si>
  <si>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</si>
  <si>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</si>
  <si>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</si>
  <si>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</si>
  <si>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</si>
  <si>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</si>
  <si>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</si>
  <si>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</si>
  <si>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</si>
  <si>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</si>
  <si>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</si>
  <si>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</si>
  <si>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</si>
  <si>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</si>
  <si>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</si>
  <si>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</si>
  <si>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</si>
  <si>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</si>
  <si>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</si>
  <si>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</si>
  <si>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</si>
  <si>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</si>
  <si>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</si>
  <si>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</si>
  <si>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</si>
  <si>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</si>
  <si>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</si>
  <si>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</si>
  <si>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</si>
  <si>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</si>
  <si>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</si>
  <si>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</si>
  <si>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</si>
  <si>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</si>
  <si>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</si>
  <si>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</si>
  <si>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</si>
  <si>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</si>
  <si>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</si>
  <si>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</si>
  <si>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</si>
  <si>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</si>
  <si>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</si>
  <si>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</si>
  <si>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</si>
  <si>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</si>
  <si>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</si>
  <si>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</si>
  <si>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</si>
  <si>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</si>
  <si>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</si>
  <si>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</si>
  <si>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</si>
  <si>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</si>
  <si>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</si>
  <si>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</si>
  <si>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</si>
  <si>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</si>
  <si>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</si>
  <si>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</si>
  <si>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</si>
  <si>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</si>
  <si>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</si>
  <si>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</si>
  <si>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</si>
  <si>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</si>
  <si>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</si>
  <si>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</si>
  <si>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</si>
  <si>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</si>
  <si>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</si>
  <si>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</si>
  <si>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</si>
  <si>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</si>
  <si>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</si>
  <si>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</si>
  <si>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</si>
  <si>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</si>
  <si>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</si>
  <si>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</si>
  <si>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</si>
  <si>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</si>
  <si>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</si>
  <si>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</si>
  <si>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</si>
  <si>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</si>
  <si>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</si>
  <si>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</si>
  <si>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</si>
  <si>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</si>
  <si>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</si>
  <si>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</si>
  <si>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</si>
  <si>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</si>
  <si>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</si>
  <si>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</si>
  <si>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</si>
  <si>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</si>
  <si>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</si>
  <si>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</si>
  <si>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</si>
  <si>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</si>
  <si>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</si>
  <si>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</si>
  <si>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</si>
  <si>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</si>
  <si>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</si>
  <si>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</si>
  <si>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</si>
  <si>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</si>
  <si>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</si>
  <si>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</si>
  <si>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</si>
  <si>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</si>
  <si>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</si>
  <si>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</si>
  <si>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</si>
  <si>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</si>
  <si>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</si>
  <si>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</si>
  <si>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</si>
  <si>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</si>
  <si>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</si>
  <si>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</si>
  <si>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</si>
  <si>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</si>
  <si>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</si>
  <si>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</si>
  <si>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</si>
  <si>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</si>
  <si>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</si>
  <si>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</si>
  <si>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</si>
  <si>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</si>
  <si>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</si>
  <si>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</si>
  <si>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</si>
  <si>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</si>
  <si>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</si>
  <si>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</si>
  <si>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</si>
  <si>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</si>
  <si>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</si>
  <si>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</si>
  <si>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</si>
  <si>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</si>
  <si>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</si>
  <si>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</si>
  <si>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</si>
  <si>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</si>
  <si>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</si>
  <si>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</si>
  <si>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</si>
  <si>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</si>
  <si>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</si>
  <si>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</si>
  <si>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</si>
  <si>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</si>
  <si>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</si>
  <si>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</si>
  <si>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</si>
  <si>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</si>
  <si>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</si>
  <si>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</si>
  <si>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</si>
  <si>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</si>
  <si>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</si>
  <si>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</si>
  <si>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</si>
  <si>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</si>
  <si>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</si>
  <si>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</si>
  <si>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</si>
  <si>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</si>
  <si>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</si>
  <si>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</si>
  <si>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</si>
  <si>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</si>
  <si>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</si>
  <si>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</si>
  <si>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</si>
  <si>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</si>
  <si>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</si>
  <si>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</si>
  <si>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</si>
  <si>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</si>
  <si>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</si>
  <si>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</si>
  <si>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</si>
  <si>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</si>
  <si>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</si>
  <si>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</si>
  <si>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</si>
  <si>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</si>
  <si>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</si>
  <si>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</si>
  <si>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</si>
  <si>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</si>
  <si>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</si>
  <si>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</si>
  <si>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</si>
  <si>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</si>
  <si>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</si>
  <si>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</si>
  <si>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</si>
  <si>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</si>
  <si>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</si>
  <si>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</si>
  <si>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</si>
  <si>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</si>
  <si>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</si>
  <si>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</si>
  <si>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</si>
  <si>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</si>
  <si>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</si>
  <si>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</si>
  <si>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</si>
  <si>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</si>
  <si>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</si>
  <si>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</si>
  <si>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</si>
  <si>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</si>
  <si>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</si>
  <si>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</si>
  <si>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</si>
  <si>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</si>
  <si>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</si>
  <si>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</si>
  <si>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</si>
  <si>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</si>
  <si>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</si>
  <si>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</si>
  <si>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</si>
  <si>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</si>
  <si>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</si>
  <si>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</si>
  <si>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</si>
  <si>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</si>
  <si>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</si>
  <si>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</si>
  <si>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</si>
  <si>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</si>
  <si>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</si>
  <si>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</si>
  <si>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</si>
  <si>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</si>
  <si>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</si>
  <si>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</si>
  <si>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</si>
  <si>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</si>
  <si>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</si>
  <si>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</si>
  <si>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</si>
  <si>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</si>
  <si>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</si>
  <si>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</si>
  <si>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</si>
  <si>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</si>
  <si>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</si>
  <si>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</si>
  <si>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</si>
  <si>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</si>
  <si>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</si>
  <si>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</si>
  <si>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</si>
  <si>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</si>
  <si>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</si>
  <si>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</si>
  <si>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</si>
  <si>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</si>
  <si>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</si>
  <si>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</si>
  <si>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</si>
  <si>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</si>
  <si>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</si>
  <si>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</si>
  <si>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</si>
  <si>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</si>
  <si>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</si>
  <si>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</si>
  <si>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</si>
  <si>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</si>
  <si>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</si>
  <si>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</si>
  <si>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</si>
  <si>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</si>
  <si>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</si>
  <si>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</si>
  <si>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</si>
  <si>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</si>
  <si>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</si>
  <si>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</si>
  <si>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</si>
  <si>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</si>
  <si>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</si>
  <si>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</si>
  <si>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</si>
  <si>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</si>
  <si>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</si>
  <si>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</si>
  <si>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</si>
  <si>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</si>
  <si>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</si>
  <si>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</si>
  <si>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</si>
  <si>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</si>
  <si>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</si>
  <si>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</si>
  <si>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</si>
  <si>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</si>
  <si>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</si>
  <si>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</si>
  <si>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</si>
  <si>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</si>
  <si>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</si>
  <si>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</si>
  <si>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</si>
  <si>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</si>
  <si>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</si>
  <si>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</si>
  <si>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</si>
  <si>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</si>
  <si>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</si>
  <si>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</si>
  <si>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</si>
  <si>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</si>
  <si>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</si>
  <si>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</si>
  <si>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</si>
  <si>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</si>
  <si>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</si>
  <si>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</si>
  <si>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</si>
  <si>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</si>
  <si>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</si>
  <si>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</si>
  <si>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</si>
  <si>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</si>
  <si>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</si>
  <si>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</si>
  <si>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</si>
  <si>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</si>
  <si>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</si>
  <si>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</si>
  <si>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</si>
  <si>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</si>
  <si>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</si>
  <si>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</si>
  <si>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</si>
  <si>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</si>
  <si>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</si>
  <si>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</si>
  <si>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</si>
  <si>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</si>
  <si>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</si>
  <si>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</si>
  <si>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</si>
  <si>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</si>
  <si>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</si>
  <si>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</si>
  <si>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</si>
  <si>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</si>
  <si>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</si>
  <si>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</si>
  <si>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</si>
  <si>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</si>
  <si>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</si>
  <si>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</si>
  <si>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</si>
  <si>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</si>
  <si>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</si>
  <si>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</si>
  <si>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</si>
  <si>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</si>
  <si>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</si>
  <si>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</si>
  <si>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</si>
  <si>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</si>
  <si>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</si>
  <si>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</si>
  <si>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</si>
  <si>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</si>
  <si>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</si>
  <si>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</si>
  <si>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</si>
  <si>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</si>
  <si>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</si>
  <si>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</si>
  <si>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</si>
  <si>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</si>
  <si>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</si>
  <si>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</si>
  <si>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</si>
  <si>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</si>
  <si>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</si>
  <si>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</si>
  <si>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</si>
  <si>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</si>
  <si>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</si>
  <si>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</si>
  <si>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</si>
  <si>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</si>
  <si>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</si>
  <si>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</si>
  <si>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</si>
  <si>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</si>
  <si>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</si>
  <si>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</si>
  <si>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</si>
  <si>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</si>
  <si>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</si>
  <si>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</si>
  <si>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</si>
  <si>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</si>
  <si>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</si>
  <si>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</si>
  <si>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</si>
  <si>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</si>
  <si>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</si>
  <si>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</si>
  <si>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</si>
  <si>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</si>
  <si>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</si>
  <si>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</si>
  <si>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</si>
  <si>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</si>
  <si>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</si>
  <si>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</si>
  <si>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</si>
  <si>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</si>
  <si>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</si>
  <si>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</si>
  <si>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</si>
  <si>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</si>
  <si>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</si>
  <si>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</si>
  <si>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</si>
  <si>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</si>
  <si>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</si>
  <si>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</si>
  <si>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</si>
  <si>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</si>
  <si>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</si>
  <si>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</si>
  <si>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</si>
  <si>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</si>
  <si>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</si>
  <si>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</si>
  <si>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</si>
  <si>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</si>
  <si>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</si>
  <si>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</si>
  <si>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</si>
  <si>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</si>
  <si>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</si>
  <si>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</si>
  <si>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</si>
  <si>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</si>
  <si>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</si>
  <si>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</si>
  <si>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</si>
  <si>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</si>
  <si>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</si>
  <si>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</si>
  <si>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</si>
  <si>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</si>
  <si>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</si>
  <si>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</si>
  <si>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</si>
  <si>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</si>
  <si>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</si>
  <si>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</si>
  <si>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</si>
  <si>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</si>
  <si>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</si>
  <si>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</si>
  <si>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</si>
  <si>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</si>
  <si>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</si>
  <si>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</si>
  <si>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</si>
  <si>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</si>
  <si>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</si>
  <si>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</si>
  <si>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</si>
  <si>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</si>
  <si>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</si>
  <si>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</si>
  <si>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</si>
  <si>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</si>
  <si>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</si>
  <si>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</si>
  <si>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</si>
  <si>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</si>
  <si>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</si>
  <si>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</si>
  <si>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</si>
  <si>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</si>
  <si>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</si>
  <si>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</si>
  <si>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</si>
  <si>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</si>
  <si>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</si>
  <si>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</si>
  <si>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</si>
  <si>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</si>
  <si>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</si>
  <si>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</si>
  <si>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</si>
  <si>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</si>
  <si>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</si>
  <si>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</si>
  <si>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</si>
  <si>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</si>
  <si>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</si>
  <si>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</si>
  <si>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</si>
  <si>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</si>
  <si>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</si>
  <si>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</si>
  <si>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</si>
  <si>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</si>
  <si>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</si>
  <si>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</si>
  <si>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</si>
  <si>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</si>
  <si>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</si>
  <si>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</si>
  <si>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</si>
  <si>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</si>
  <si>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</si>
  <si>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</si>
  <si>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</si>
  <si>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</si>
  <si>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</si>
  <si>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</si>
  <si>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</si>
  <si>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</si>
  <si>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</si>
  <si>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</si>
  <si>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</si>
  <si>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</si>
  <si>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</si>
  <si>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</si>
  <si>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</si>
  <si>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</si>
  <si>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</si>
  <si>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</si>
  <si>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</si>
  <si>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</si>
  <si>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</si>
  <si>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</si>
  <si>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</si>
  <si>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</si>
  <si>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</si>
  <si>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</si>
  <si>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</si>
  <si>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</si>
  <si>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</si>
  <si>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</si>
  <si>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</si>
  <si>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</si>
  <si>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</si>
  <si>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</si>
  <si>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</si>
  <si>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</si>
  <si>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</si>
  <si>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</si>
  <si>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</si>
  <si>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</si>
  <si>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</si>
  <si>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</si>
  <si>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</si>
  <si>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</si>
  <si>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</si>
  <si>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</si>
  <si>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</si>
  <si>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</si>
  <si>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</si>
  <si>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</si>
  <si>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</si>
  <si>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</si>
  <si>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</si>
  <si>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</si>
  <si>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</si>
  <si>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</si>
  <si>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</si>
  <si>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</si>
  <si>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</si>
  <si>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</si>
  <si>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</si>
  <si>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</si>
  <si>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</si>
  <si>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</si>
  <si>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</si>
  <si>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</si>
  <si>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</si>
  <si>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</si>
  <si>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</si>
  <si>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</si>
  <si>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</si>
  <si>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</si>
  <si>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</si>
  <si>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</si>
  <si>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</si>
  <si>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</si>
  <si>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</si>
  <si>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</si>
  <si>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</si>
  <si>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</si>
  <si>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</si>
  <si>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</si>
  <si>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</si>
  <si>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</si>
  <si>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</si>
  <si>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</si>
  <si>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</si>
  <si>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</si>
  <si>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</si>
  <si>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</si>
  <si>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</si>
  <si>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</si>
  <si>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</si>
  <si>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</si>
  <si>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</si>
  <si>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</si>
  <si>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</si>
  <si>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</si>
  <si>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</si>
  <si>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</si>
  <si>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</si>
  <si>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</si>
  <si>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</si>
  <si>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</si>
  <si>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</si>
  <si>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</si>
  <si>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</si>
  <si>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</si>
  <si>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</si>
  <si>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</si>
  <si>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</si>
  <si>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</si>
  <si>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</si>
  <si>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</si>
  <si>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</si>
  <si>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</si>
  <si>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</si>
  <si>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</si>
  <si>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</si>
  <si>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</si>
  <si>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</si>
  <si>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</si>
  <si>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</si>
  <si>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</si>
  <si>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</si>
  <si>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</si>
  <si>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</si>
  <si>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</si>
  <si>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</si>
  <si>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</si>
  <si>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</si>
  <si>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</si>
  <si>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</si>
  <si>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</si>
  <si>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</si>
  <si>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</si>
  <si>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</si>
  <si>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</si>
  <si>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</si>
  <si>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</si>
  <si>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</si>
  <si>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</si>
  <si>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</si>
  <si>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</si>
  <si>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</si>
  <si>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</si>
  <si>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</si>
  <si>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</si>
  <si>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</si>
  <si>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</si>
  <si>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</si>
  <si>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</si>
  <si>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</si>
  <si>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</si>
  <si>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</si>
  <si>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</si>
  <si>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</si>
  <si>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</si>
  <si>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</si>
  <si>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</si>
  <si>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</si>
  <si>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</si>
  <si>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</si>
  <si>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</si>
  <si>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</si>
  <si>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</si>
  <si>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</si>
  <si>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</si>
  <si>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</si>
  <si>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</si>
  <si>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</si>
  <si>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</si>
  <si>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</si>
  <si>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</si>
  <si>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</si>
  <si>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</si>
  <si>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</si>
  <si>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</si>
  <si>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</si>
  <si>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</si>
  <si>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</si>
  <si>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</si>
  <si>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</si>
  <si>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</si>
  <si>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</si>
  <si>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</si>
  <si>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</si>
  <si>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</si>
  <si>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</si>
  <si>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</si>
  <si>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</si>
  <si>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</si>
  <si>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</si>
  <si>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</si>
  <si>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</si>
  <si>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</si>
  <si>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</si>
  <si>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</si>
  <si>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</si>
  <si>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</si>
  <si>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</si>
  <si>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</si>
  <si>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</si>
  <si>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</si>
  <si>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</si>
  <si>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</si>
  <si>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</si>
  <si>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</si>
  <si>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</si>
  <si>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</si>
  <si>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</si>
  <si>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</si>
  <si>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</si>
  <si>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</si>
  <si>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</si>
  <si>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</si>
  <si>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</si>
  <si>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</si>
  <si>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</si>
  <si>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</si>
  <si>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</si>
  <si>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</si>
  <si>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</si>
  <si>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</si>
  <si>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</si>
  <si>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</si>
  <si>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</si>
  <si>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</si>
  <si>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</si>
  <si>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</si>
  <si>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</si>
  <si>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</si>
  <si>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</si>
  <si>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</si>
  <si>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</si>
  <si>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</si>
  <si>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</si>
  <si>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</si>
  <si>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</si>
  <si>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</si>
  <si>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</si>
  <si>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</si>
  <si>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</si>
  <si>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</si>
  <si>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</si>
  <si>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</si>
  <si>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</si>
  <si>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</si>
  <si>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</si>
  <si>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</si>
  <si>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</si>
  <si>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</si>
  <si>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</si>
  <si>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</si>
  <si>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</si>
  <si>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</si>
  <si>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</si>
  <si>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</si>
  <si>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</si>
  <si>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</si>
  <si>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</si>
  <si>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</si>
  <si>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</si>
  <si>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</si>
  <si>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</si>
  <si>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</si>
  <si>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</si>
  <si>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</si>
  <si>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</si>
  <si>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</si>
  <si>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</si>
  <si>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</si>
  <si>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</si>
  <si>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</si>
  <si>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</si>
  <si>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</si>
  <si>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</si>
  <si>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</si>
  <si>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</si>
  <si>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</si>
  <si>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</si>
  <si>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</si>
  <si>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</si>
  <si>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</si>
  <si>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</si>
  <si>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</si>
  <si>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</si>
  <si>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</si>
  <si>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</si>
  <si>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</si>
  <si>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</si>
  <si>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</si>
  <si>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</si>
  <si>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</si>
  <si>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</si>
  <si>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</si>
  <si>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</si>
  <si>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</si>
  <si>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</si>
  <si>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</si>
  <si>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</si>
  <si>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</si>
  <si>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</si>
  <si>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</si>
  <si>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</si>
  <si>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</si>
  <si>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</si>
  <si>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</si>
  <si>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</si>
  <si>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</si>
  <si>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</si>
  <si>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</si>
  <si>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</si>
  <si>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</si>
  <si>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</si>
  <si>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</si>
  <si>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</si>
  <si>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</si>
  <si>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Sangamon</t>
  </si>
  <si>
    <t>Tri-City CUSD 1</t>
  </si>
  <si>
    <t>PO Box 290</t>
  </si>
  <si>
    <t>Buffalo</t>
  </si>
  <si>
    <t>LMHN, Ltd.</t>
  </si>
  <si>
    <t>M. Adam Mathias</t>
  </si>
  <si>
    <t>900 N Webster St - PO Box 87</t>
  </si>
  <si>
    <t>Taylorville</t>
  </si>
  <si>
    <t>IL</t>
  </si>
  <si>
    <t>217-824-9661</t>
  </si>
  <si>
    <t>217-824-2415</t>
  </si>
  <si>
    <t>adam_cpa@yahoo.com</t>
  </si>
  <si>
    <t>Jill Larson</t>
  </si>
  <si>
    <t>217-364-4811</t>
  </si>
  <si>
    <t>217-364-4896</t>
  </si>
  <si>
    <t>jlarson@tricityschools.org</t>
  </si>
  <si>
    <t>066-003847</t>
  </si>
  <si>
    <t>09/04/08</t>
  </si>
  <si>
    <t>07/07/15</t>
  </si>
  <si>
    <t>4,1</t>
  </si>
  <si>
    <t>Prairie State Insurance Cooperative</t>
  </si>
  <si>
    <t>Sangamon Area Special Education District</t>
  </si>
  <si>
    <t>Capital Area Career Center</t>
  </si>
  <si>
    <t>Sports with Sangamon Valley</t>
  </si>
  <si>
    <t>n/a</t>
  </si>
  <si>
    <t>Pages</t>
  </si>
  <si>
    <t>Independent Auditor's Report</t>
  </si>
  <si>
    <t>1-3</t>
  </si>
  <si>
    <t>Independent Auditor's Report on Internal Control Over Financial Reporting and on</t>
  </si>
  <si>
    <t xml:space="preserve">   Compliance and Other Matters Based on an Audit of Financial Statements</t>
  </si>
  <si>
    <r>
      <t xml:space="preserve">   Performed in Accordance with </t>
    </r>
    <r>
      <rPr>
        <u/>
        <sz val="13"/>
        <rFont val="Times New Roman"/>
        <family val="1"/>
      </rPr>
      <t>Government Auditing Standards</t>
    </r>
  </si>
  <si>
    <t>Basic Financial Statements:</t>
  </si>
  <si>
    <t>Statement of Assets and Liabilities Arising from Cash Transactions / Statement</t>
  </si>
  <si>
    <t xml:space="preserve">   of Position (All Funds)</t>
  </si>
  <si>
    <t>Statement of Revenues Received / Revenues, Expenditures Disbursed / Expenditures,</t>
  </si>
  <si>
    <t xml:space="preserve">  Other Sources (Uses) and Changes in Fund Balance (All Funds)</t>
  </si>
  <si>
    <t>Statement of Revenues Received / Revenues (All Funds)</t>
  </si>
  <si>
    <t>Statement of Expenditures Disbursed / Expenditures, Budget to Actual (All Funds)</t>
  </si>
  <si>
    <t>Notes to Financial Statements</t>
  </si>
  <si>
    <t>50</t>
  </si>
  <si>
    <t>Supplementary Schedules:</t>
  </si>
  <si>
    <t>Schedule of Ad Valorem Tax Receipts</t>
  </si>
  <si>
    <t>Schedule of Short Term Debt and Long Term Debt</t>
  </si>
  <si>
    <t>Schedule of Restricted Local Tax Levies and Tort Immunity Expenditures</t>
  </si>
  <si>
    <t>Estimated Indirect Cost Data</t>
  </si>
  <si>
    <t>TABLE OF CONTENTS (CONTINUED)</t>
  </si>
  <si>
    <t>Statistical Section:</t>
  </si>
  <si>
    <t>Schedule of Capital Outlay and Depreciation</t>
  </si>
  <si>
    <t>Estimated Operating Expenditures Per Pupil and Per Capita Tuition Charge</t>
  </si>
  <si>
    <t>Other Schedules and Itemizations:</t>
  </si>
  <si>
    <t>Itemization Schedule</t>
  </si>
  <si>
    <t>Reference Page</t>
  </si>
  <si>
    <t>Auditor's Questionnaire</t>
  </si>
  <si>
    <t>Financial Profile Information</t>
  </si>
  <si>
    <t>Schedule of Cash Receipts and Disbursements - Activity Funds</t>
  </si>
  <si>
    <t>Limitation of Administrative Costs Worksheet</t>
  </si>
  <si>
    <t>Report on Shared Services or Outsourcing</t>
  </si>
  <si>
    <r>
      <t>Note…</t>
    </r>
    <r>
      <rPr>
        <sz val="11"/>
        <rFont val="Times New Roman"/>
        <family val="1"/>
      </rPr>
      <t>The page numbers referred to above are the sequential page numbers that were assigned to each</t>
    </r>
  </si>
  <si>
    <t xml:space="preserve">   page by LMHN, Ltd. and are located at the bottom center of each page.  These page numbers do not</t>
  </si>
  <si>
    <t xml:space="preserve">   correlate to the page numbering system that ISBE utilizes on their AFR.  Occasionally, the AFR will</t>
  </si>
  <si>
    <t xml:space="preserve">   cross reference an item to another page number within the AFR.  These page numbers are located on</t>
  </si>
  <si>
    <t xml:space="preserve">   the top left or top right hand corner of each AFR page.</t>
  </si>
  <si>
    <t>TRI-CITY COMMUNITY UNIT SCHOOL DISTRICT NO. 1</t>
  </si>
  <si>
    <t>FISCAL YEAR ENDED JUNE 30, 2018</t>
  </si>
  <si>
    <t>4-6</t>
  </si>
  <si>
    <t>7-8</t>
  </si>
  <si>
    <t>9-10</t>
  </si>
  <si>
    <t>11-16</t>
  </si>
  <si>
    <t>17-24</t>
  </si>
  <si>
    <t>43</t>
  </si>
  <si>
    <t>44</t>
  </si>
  <si>
    <t>45</t>
  </si>
  <si>
    <t>46</t>
  </si>
  <si>
    <t>56</t>
  </si>
  <si>
    <t>57</t>
  </si>
  <si>
    <t>Current Year Payment on Contracts for Indirect Cost Rate Computation</t>
  </si>
  <si>
    <t>58</t>
  </si>
  <si>
    <t>Limited School Bonds</t>
  </si>
  <si>
    <t>General Obligation Limited School Bonds</t>
  </si>
  <si>
    <t xml:space="preserve">   Computation 2017-2018</t>
  </si>
  <si>
    <t>Note… The page numbers referred to above correlate to the page numbering system that ISBE utilizes on their AFR, located on the top</t>
  </si>
  <si>
    <t xml:space="preserve">   left or top right hand corner of each AFR page.</t>
  </si>
  <si>
    <t>Page 11, Account 1999, Educational Fund - $29,057 represents miscellaneous revenues, refunds and reimbursements.</t>
  </si>
  <si>
    <t>Page 11, Account 1999, Operations and Maintenance Fund - $13,022 represents miscellaneous revenues, refunds and reimbursements.</t>
  </si>
  <si>
    <t>Page 11, Account 1999, Transportation Fund - $484 represents miscellaneous revenues, refunds and reimbursements.</t>
  </si>
  <si>
    <t>Page 11, Account 3299, Educational Fund - $573 represents agriculture fair premiums received.</t>
  </si>
  <si>
    <t>Page 15, Account 2190, Salaries - $183,045 represents special needs teacher aide salaries.</t>
  </si>
  <si>
    <t>Page 15, Account 2190, Employee Benefits - $24,784 represents special needs teacher aide benefits.</t>
  </si>
  <si>
    <t>Page 18, Account 5400, Other Objects - $802 represents bond agent fees.</t>
  </si>
  <si>
    <t>Page 20, Account 2190, Employee Benefits - $31,772 represents special needs teacher aide benefits.</t>
  </si>
  <si>
    <t>SCHEDULE OF CASH RECEIPTS AND DISBURSEMENTS</t>
  </si>
  <si>
    <t>ACTIVITY FUNDS</t>
  </si>
  <si>
    <t>Balance</t>
  </si>
  <si>
    <t>Receipts</t>
  </si>
  <si>
    <t>Disbursements</t>
  </si>
  <si>
    <t>ASSETS</t>
  </si>
  <si>
    <t>Cash</t>
  </si>
  <si>
    <t>LIABILITIES</t>
  </si>
  <si>
    <t>Amounts Due to Organizations:</t>
  </si>
  <si>
    <t xml:space="preserve">   Student Council</t>
  </si>
  <si>
    <t xml:space="preserve">   Art</t>
  </si>
  <si>
    <t>TOTAL LIABILITIES</t>
  </si>
  <si>
    <t>FOR THE FISCAL YEAR ENDED JUNE 30, 2018</t>
  </si>
  <si>
    <t>July 1, 2017</t>
  </si>
  <si>
    <t>June 30, 2018</t>
  </si>
  <si>
    <t xml:space="preserve">   AD Fund</t>
  </si>
  <si>
    <t xml:space="preserve">   Band/Choir</t>
  </si>
  <si>
    <t xml:space="preserve">   Bass Fishing</t>
  </si>
  <si>
    <t xml:space="preserve">   Credit Recovery</t>
  </si>
  <si>
    <t xml:space="preserve">   Drama</t>
  </si>
  <si>
    <t xml:space="preserve">   FFA</t>
  </si>
  <si>
    <t xml:space="preserve">   Field Trip</t>
  </si>
  <si>
    <t xml:space="preserve">   Freshman</t>
  </si>
  <si>
    <t xml:space="preserve">   Sophomores</t>
  </si>
  <si>
    <t xml:space="preserve">   Interest</t>
  </si>
  <si>
    <t xml:space="preserve">   Library</t>
  </si>
  <si>
    <t xml:space="preserve">   Seniors</t>
  </si>
  <si>
    <t xml:space="preserve">   Madrigals</t>
  </si>
  <si>
    <t xml:space="preserve">   Musical</t>
  </si>
  <si>
    <t xml:space="preserve">   PE</t>
  </si>
  <si>
    <t xml:space="preserve">   Scholastic Bowl</t>
  </si>
  <si>
    <t xml:space="preserve">   Siders Scholarship</t>
  </si>
  <si>
    <t xml:space="preserve">   Juniors</t>
  </si>
  <si>
    <t xml:space="preserve">   Seniors (Previous Year)</t>
  </si>
  <si>
    <t xml:space="preserve">   SEMA</t>
  </si>
  <si>
    <t xml:space="preserve">   Spanish</t>
  </si>
  <si>
    <t xml:space="preserve">   Student Donations</t>
  </si>
  <si>
    <t xml:space="preserve">   TCPVG</t>
  </si>
  <si>
    <t xml:space="preserve">   Bookfair Snacks</t>
  </si>
  <si>
    <t>TOTAL ASSETS</t>
  </si>
  <si>
    <t xml:space="preserve">   Elementary Bookfair</t>
  </si>
  <si>
    <t xml:space="preserve">   Elementary Fund</t>
  </si>
  <si>
    <t xml:space="preserve">   Elementary Pepsi</t>
  </si>
  <si>
    <t xml:space="preserve">   Elementary Student Council</t>
  </si>
  <si>
    <t xml:space="preserve">   Elementary Supply</t>
  </si>
  <si>
    <t xml:space="preserve">   Elementary Yearbook</t>
  </si>
  <si>
    <t xml:space="preserve">   General Elementary</t>
  </si>
  <si>
    <t xml:space="preserve">   General Junior High / High School</t>
  </si>
  <si>
    <t xml:space="preserve">   High School Cheer</t>
  </si>
  <si>
    <t xml:space="preserve">   High School Girls Basketball</t>
  </si>
  <si>
    <t xml:space="preserve">   High School Yearbook</t>
  </si>
  <si>
    <t xml:space="preserve">   High School Baseball</t>
  </si>
  <si>
    <t xml:space="preserve">   High School Boys Basketball</t>
  </si>
  <si>
    <t xml:space="preserve">   High School Volleyball</t>
  </si>
  <si>
    <t xml:space="preserve">   High School Softball</t>
  </si>
  <si>
    <t xml:space="preserve">   Junior High Cheer</t>
  </si>
  <si>
    <t xml:space="preserve">   Junior High Girls Basketball</t>
  </si>
  <si>
    <t xml:space="preserve">   Junior High Student Council</t>
  </si>
  <si>
    <t xml:space="preserve">   Junior High Track</t>
  </si>
  <si>
    <t xml:space="preserve">   Junior High Baseball</t>
  </si>
  <si>
    <t xml:space="preserve">   Junior High Boys Basketball</t>
  </si>
  <si>
    <t xml:space="preserve">   Junior High Volleyball</t>
  </si>
  <si>
    <t xml:space="preserve">   Junior High/High School Pepsi</t>
  </si>
  <si>
    <t xml:space="preserve">   Junior High Softball</t>
  </si>
  <si>
    <t xml:space="preserve">   National Honors Society</t>
  </si>
  <si>
    <t>25-42</t>
  </si>
  <si>
    <t>47</t>
  </si>
  <si>
    <t>48-49</t>
  </si>
  <si>
    <t>51</t>
  </si>
  <si>
    <t>52-53</t>
  </si>
  <si>
    <t>54-55</t>
  </si>
  <si>
    <t>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</si>
</sst>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sz val="12"/>
      <name val="Times New Roman"/>
      <family val="1"/>
    </font>
    <font>
      <b/>
      <u/>
      <sz val="12"/>
      <name val="Times New Roman"/>
      <family val="1"/>
    </font>
    <font>
      <b/>
      <sz val="13"/>
      <name val="Times New Roman"/>
      <family val="1"/>
    </font>
    <font>
      <u/>
      <sz val="13"/>
      <name val="Times New Roman"/>
      <family val="1"/>
    </font>
    <font>
      <sz val="13"/>
      <name val="Times New Roman"/>
      <family val="1"/>
    </font>
    <font>
      <sz val="12"/>
      <name val="Times New Roman"/>
      <family val="1"/>
    </font>
    <font>
      <sz val="11"/>
      <name val="Times New Roman"/>
      <family val="1"/>
    </font>
    <font>
      <b/>
      <sz val="11"/>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xf numFmtId="44" fontId="8" fillId="0" borderId="0" applyFont="0" applyFill="0" applyBorder="0" applyAlignment="0" applyProtection="0"/>
  </cellStyleXfs>
  <cellXfs count="254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77" fontId="60" fillId="0" borderId="2" xfId="9" quotePrefix="1" applyNumberFormat="1" applyFont="1" applyFill="1" applyBorder="1" applyAlignment="1" applyProtection="1">
      <alignment horizontal="right"/>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43" fillId="0" borderId="0" xfId="3" applyFont="1"/>
    <xf numFmtId="0" fontId="138" fillId="0" borderId="0" xfId="3" applyFont="1" applyAlignment="1">
      <alignment horizontal="center"/>
    </xf>
    <xf numFmtId="0" fontId="137" fillId="0" borderId="0" xfId="3" applyFont="1" applyAlignment="1">
      <alignment horizontal="center"/>
    </xf>
    <xf numFmtId="0" fontId="139" fillId="0" borderId="0" xfId="3" applyFont="1" applyAlignment="1">
      <alignment horizontal="center"/>
    </xf>
    <xf numFmtId="16" fontId="140" fillId="0" borderId="0" xfId="3" applyNumberFormat="1" applyFont="1" applyAlignment="1">
      <alignment horizontal="center"/>
    </xf>
    <xf numFmtId="0" fontId="141" fillId="0" borderId="0" xfId="3" applyFont="1" applyBorder="1" applyAlignment="1">
      <alignment horizontal="left"/>
    </xf>
    <xf numFmtId="0" fontId="139" fillId="0" borderId="0" xfId="3" applyFont="1" applyBorder="1" applyAlignment="1">
      <alignment horizontal="center"/>
    </xf>
    <xf numFmtId="16" fontId="141" fillId="0" borderId="0" xfId="3" quotePrefix="1" applyNumberFormat="1" applyFont="1" applyAlignment="1">
      <alignment horizontal="center"/>
    </xf>
    <xf numFmtId="0" fontId="141" fillId="0" borderId="0" xfId="3" applyFont="1" applyBorder="1"/>
    <xf numFmtId="0" fontId="140" fillId="0" borderId="0" xfId="3" applyFont="1" applyBorder="1" applyAlignment="1">
      <alignment horizontal="left"/>
    </xf>
    <xf numFmtId="0" fontId="141" fillId="0" borderId="0" xfId="3" applyFont="1"/>
    <xf numFmtId="0" fontId="141" fillId="0" borderId="0" xfId="3" quotePrefix="1" applyFont="1"/>
    <xf numFmtId="0" fontId="141" fillId="0" borderId="0" xfId="3" applyFont="1" applyAlignment="1">
      <alignment horizontal="center"/>
    </xf>
    <xf numFmtId="0" fontId="141" fillId="0" borderId="0" xfId="3" quotePrefix="1" applyFont="1" applyAlignment="1">
      <alignment horizontal="center"/>
    </xf>
    <xf numFmtId="0" fontId="142" fillId="0" borderId="0" xfId="3" applyFont="1"/>
    <xf numFmtId="0" fontId="142" fillId="0" borderId="0" xfId="3" applyFont="1" applyAlignment="1">
      <alignment horizontal="center"/>
    </xf>
    <xf numFmtId="0" fontId="143" fillId="0" borderId="0" xfId="3" applyFont="1"/>
    <xf numFmtId="0" fontId="143" fillId="0" borderId="0" xfId="3" applyFont="1" applyAlignment="1">
      <alignment horizontal="center"/>
    </xf>
    <xf numFmtId="0" fontId="144" fillId="0" borderId="0" xfId="3" applyFont="1"/>
    <xf numFmtId="0" fontId="43" fillId="0" borderId="0" xfId="3" applyFont="1" applyAlignment="1">
      <alignment horizontal="center"/>
    </xf>
    <xf numFmtId="0" fontId="11" fillId="0" borderId="0" xfId="0" applyFont="1"/>
    <xf numFmtId="164" fontId="9" fillId="0" borderId="0" xfId="0" applyNumberFormat="1" applyFont="1"/>
    <xf numFmtId="164" fontId="0" fillId="0" borderId="0" xfId="0" applyNumberFormat="1"/>
    <xf numFmtId="0" fontId="9" fillId="0" borderId="0" xfId="0" applyFont="1" applyAlignment="1">
      <alignment horizontal="left"/>
    </xf>
    <xf numFmtId="166" fontId="9" fillId="0" borderId="0" xfId="0" applyNumberFormat="1" applyFont="1" applyAlignment="1">
      <alignment horizontal="left"/>
    </xf>
    <xf numFmtId="0" fontId="43" fillId="0" borderId="0" xfId="0" applyFont="1"/>
    <xf numFmtId="0" fontId="43" fillId="0" borderId="0" xfId="0" applyFont="1" applyAlignment="1">
      <alignment horizontal="center"/>
    </xf>
    <xf numFmtId="15" fontId="43" fillId="0" borderId="78" xfId="0" quotePrefix="1" applyNumberFormat="1" applyFont="1" applyBorder="1" applyAlignment="1">
      <alignment horizontal="center"/>
    </xf>
    <xf numFmtId="0" fontId="43" fillId="0" borderId="78" xfId="0" applyFont="1" applyBorder="1" applyAlignment="1">
      <alignment horizontal="center"/>
    </xf>
    <xf numFmtId="181" fontId="43" fillId="0" borderId="166" xfId="20" applyNumberFormat="1" applyFont="1" applyBorder="1" applyAlignment="1">
      <alignment horizontal="right"/>
    </xf>
    <xf numFmtId="0" fontId="43" fillId="0" borderId="0" xfId="0" applyFont="1" applyAlignment="1">
      <alignment horizontal="right"/>
    </xf>
    <xf numFmtId="181" fontId="43" fillId="0" borderId="0" xfId="20" applyNumberFormat="1" applyFont="1" applyAlignment="1">
      <alignment horizontal="right"/>
    </xf>
    <xf numFmtId="181" fontId="43" fillId="0" borderId="0" xfId="20" applyNumberFormat="1" applyFont="1" applyBorder="1" applyAlignment="1">
      <alignment horizontal="right"/>
    </xf>
    <xf numFmtId="182" fontId="43" fillId="0" borderId="0" xfId="1" applyNumberFormat="1" applyFont="1" applyAlignment="1">
      <alignment horizontal="right"/>
    </xf>
    <xf numFmtId="182" fontId="43" fillId="0" borderId="0" xfId="1" applyNumberFormat="1" applyFont="1" applyBorder="1" applyAlignment="1">
      <alignment horizontal="right"/>
    </xf>
    <xf numFmtId="182" fontId="43" fillId="0" borderId="78" xfId="1" applyNumberFormat="1" applyFont="1" applyBorder="1" applyAlignment="1">
      <alignment horizontal="right"/>
    </xf>
    <xf numFmtId="181" fontId="43" fillId="0" borderId="0" xfId="0" applyNumberFormat="1" applyFont="1"/>
    <xf numFmtId="181" fontId="43" fillId="0" borderId="166" xfId="19" applyNumberFormat="1" applyFont="1" applyBorder="1" applyAlignment="1">
      <alignment horizontal="right"/>
    </xf>
    <xf numFmtId="181" fontId="43" fillId="0" borderId="0" xfId="19" applyNumberFormat="1" applyFont="1" applyAlignment="1">
      <alignment horizontal="right"/>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138" fillId="0" borderId="0" xfId="3" applyFont="1" applyAlignment="1">
      <alignment horizontal="center"/>
    </xf>
    <xf numFmtId="0" fontId="137" fillId="0" borderId="0" xfId="3" applyFont="1" applyAlignment="1">
      <alignment horizontal="center"/>
    </xf>
    <xf numFmtId="0" fontId="81" fillId="0" borderId="0" xfId="0" applyFont="1" applyAlignment="1">
      <alignment vertical="top" wrapText="1"/>
    </xf>
    <xf numFmtId="0" fontId="43" fillId="0" borderId="0" xfId="0" applyFont="1" applyAlignment="1">
      <alignment horizontal="center"/>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1">
    <cellStyle name="Comma" xfId="1" builtinId="3"/>
    <cellStyle name="Currency" xfId="19" builtinId="4"/>
    <cellStyle name="Currency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9C7D294-6BA7-4B5D-91C0-C00EAFF738C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4</xdr:row>
          <xdr:rowOff>161925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7B228EA1-5C57-4075-8CE9-AC65829F4C9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4</xdr:row>
          <xdr:rowOff>161925</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5ABBCAD3-2275-4315-BE90-C1DDAE04C1D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3.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2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0.bin"/><Relationship Id="rId4" Type="http://schemas.openxmlformats.org/officeDocument/2006/relationships/hyperlink" Target="https://www.isbe.net/Pages/School-Nutrition-Programs-Food-Distribution.aspx"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72" t="s">
        <v>425</v>
      </c>
      <c r="J1" s="2073"/>
      <c r="K1" s="2073"/>
      <c r="L1" s="2073"/>
      <c r="M1" s="2073"/>
      <c r="N1" s="2073"/>
      <c r="O1" s="2073"/>
      <c r="P1" s="2073"/>
      <c r="Q1" s="2073"/>
      <c r="R1" s="2073"/>
      <c r="S1" s="2073"/>
    </row>
    <row r="2" spans="1:28" ht="12" customHeight="1" x14ac:dyDescent="0.2">
      <c r="A2" s="47" t="s">
        <v>1684</v>
      </c>
      <c r="D2" s="48"/>
      <c r="I2" s="2074" t="s">
        <v>1036</v>
      </c>
      <c r="J2" s="2073"/>
      <c r="K2" s="2073"/>
      <c r="L2" s="2073"/>
      <c r="M2" s="2073"/>
      <c r="N2" s="2073"/>
      <c r="O2" s="2073"/>
      <c r="P2" s="2073"/>
      <c r="Q2" s="2073"/>
      <c r="R2" s="2073"/>
      <c r="S2" s="2073"/>
    </row>
    <row r="3" spans="1:28" ht="12" customHeight="1" x14ac:dyDescent="0.2">
      <c r="A3" s="155" t="s">
        <v>1685</v>
      </c>
      <c r="B3" s="156"/>
      <c r="C3" s="156"/>
      <c r="D3" s="157"/>
      <c r="I3" s="2074" t="s">
        <v>54</v>
      </c>
      <c r="J3" s="2073"/>
      <c r="K3" s="2073"/>
      <c r="L3" s="2073"/>
      <c r="M3" s="2073"/>
      <c r="N3" s="2073"/>
      <c r="O3" s="2073"/>
      <c r="P3" s="2073"/>
      <c r="Q3" s="2073"/>
      <c r="R3" s="2073"/>
      <c r="S3" s="2073"/>
    </row>
    <row r="4" spans="1:28" ht="12" customHeight="1" x14ac:dyDescent="0.2">
      <c r="A4" s="37"/>
      <c r="I4" s="2074" t="s">
        <v>545</v>
      </c>
      <c r="J4" s="2073"/>
      <c r="K4" s="2073"/>
      <c r="L4" s="2073"/>
      <c r="M4" s="2073"/>
      <c r="N4" s="2073"/>
      <c r="O4" s="2073"/>
      <c r="P4" s="2073"/>
      <c r="Q4" s="2073"/>
      <c r="R4" s="2073"/>
      <c r="S4" s="2073"/>
    </row>
    <row r="5" spans="1:28" ht="14.1" customHeight="1" x14ac:dyDescent="0.2">
      <c r="B5" s="104" t="s">
        <v>2077</v>
      </c>
      <c r="C5" s="26" t="s">
        <v>966</v>
      </c>
      <c r="D5" s="84"/>
      <c r="E5" s="84"/>
      <c r="H5" s="38"/>
      <c r="I5" s="2081" t="s">
        <v>701</v>
      </c>
      <c r="J5" s="2026"/>
      <c r="K5" s="2026"/>
      <c r="L5" s="2026"/>
      <c r="M5" s="2026"/>
      <c r="N5" s="2026"/>
      <c r="O5" s="2026"/>
      <c r="P5" s="2026"/>
      <c r="Q5" s="2026"/>
      <c r="R5" s="2026"/>
      <c r="S5" s="2026"/>
    </row>
    <row r="6" spans="1:28" ht="14.1" customHeight="1" x14ac:dyDescent="0.2">
      <c r="B6" s="104"/>
      <c r="C6" s="26" t="s">
        <v>967</v>
      </c>
      <c r="D6" s="84"/>
      <c r="E6" s="84"/>
      <c r="I6" s="2080" t="s">
        <v>938</v>
      </c>
      <c r="J6" s="2026"/>
      <c r="K6" s="2026"/>
      <c r="L6" s="2026"/>
      <c r="M6" s="2026"/>
      <c r="N6" s="2026"/>
      <c r="O6" s="2026"/>
      <c r="P6" s="2026"/>
      <c r="Q6" s="2026"/>
      <c r="R6" s="2026"/>
      <c r="S6" s="2026"/>
    </row>
    <row r="7" spans="1:28" ht="12.2" customHeight="1" x14ac:dyDescent="0.2">
      <c r="I7" s="2075">
        <v>43281</v>
      </c>
      <c r="J7" s="2076"/>
      <c r="K7" s="2076"/>
      <c r="L7" s="2076"/>
      <c r="M7" s="2076"/>
      <c r="N7" s="2076"/>
      <c r="O7" s="2076"/>
      <c r="P7" s="2076"/>
      <c r="Q7" s="2076"/>
      <c r="R7" s="2076"/>
      <c r="S7" s="207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7" t="s">
        <v>695</v>
      </c>
      <c r="J9" s="2078"/>
      <c r="K9" s="2078"/>
      <c r="L9" s="2078"/>
      <c r="M9" s="2078"/>
      <c r="N9" s="2078"/>
      <c r="O9" s="2078"/>
      <c r="P9" s="2078"/>
      <c r="Q9" s="2078"/>
      <c r="R9" s="2078"/>
      <c r="S9" s="2079"/>
      <c r="T9" s="2022" t="s">
        <v>554</v>
      </c>
      <c r="U9" s="2023"/>
      <c r="V9" s="2023"/>
      <c r="W9" s="2023"/>
      <c r="X9" s="2023"/>
      <c r="Y9" s="2023"/>
      <c r="Z9" s="2023"/>
      <c r="AA9" s="2024"/>
    </row>
    <row r="10" spans="1:28" ht="13.5" customHeight="1" x14ac:dyDescent="0.2">
      <c r="A10" s="2031" t="s">
        <v>696</v>
      </c>
      <c r="B10" s="2032"/>
      <c r="C10" s="2032"/>
      <c r="D10" s="2032"/>
      <c r="E10" s="2032"/>
      <c r="F10" s="2032"/>
      <c r="G10" s="2032"/>
      <c r="H10" s="2033"/>
      <c r="I10" s="29"/>
      <c r="J10" s="30"/>
      <c r="K10" s="28"/>
      <c r="R10" s="30"/>
      <c r="S10" s="30"/>
      <c r="T10" s="2025"/>
      <c r="U10" s="2026"/>
      <c r="V10" s="2026"/>
      <c r="W10" s="2026"/>
      <c r="X10" s="2026"/>
      <c r="Y10" s="2026"/>
      <c r="Z10" s="2026"/>
      <c r="AA10" s="2027"/>
    </row>
    <row r="11" spans="1:28" ht="14.25" customHeight="1" x14ac:dyDescent="0.2">
      <c r="A11" s="2034" t="s">
        <v>1012</v>
      </c>
      <c r="B11" s="2035"/>
      <c r="C11" s="2035"/>
      <c r="D11" s="2035"/>
      <c r="E11" s="2035"/>
      <c r="F11" s="2035"/>
      <c r="G11" s="2035"/>
      <c r="H11" s="2036"/>
      <c r="I11" s="27"/>
      <c r="J11" s="74"/>
      <c r="K11" s="27"/>
      <c r="O11" s="148" t="s">
        <v>2077</v>
      </c>
      <c r="P11" s="100" t="s">
        <v>210</v>
      </c>
      <c r="Q11" s="30"/>
      <c r="R11" s="28"/>
      <c r="S11" s="27"/>
      <c r="T11" s="2028"/>
      <c r="U11" s="2029"/>
      <c r="V11" s="2029"/>
      <c r="W11" s="2029"/>
      <c r="X11" s="2029"/>
      <c r="Y11" s="2029"/>
      <c r="Z11" s="2029"/>
      <c r="AA11" s="203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2">
        <v>51084001026</v>
      </c>
      <c r="B13" s="2043"/>
      <c r="C13" s="2043"/>
      <c r="D13" s="2043"/>
      <c r="E13" s="2043"/>
      <c r="F13" s="2043"/>
      <c r="G13" s="2043"/>
      <c r="H13" s="2044"/>
      <c r="I13" s="31"/>
      <c r="J13" s="30"/>
      <c r="K13" s="28"/>
      <c r="L13" s="30"/>
      <c r="M13" s="30"/>
      <c r="N13" s="30"/>
      <c r="O13" s="30"/>
      <c r="P13" s="30"/>
      <c r="Q13" s="30"/>
      <c r="R13" s="30"/>
      <c r="S13" s="30"/>
      <c r="T13" s="2047" t="s">
        <v>2082</v>
      </c>
      <c r="U13" s="2048"/>
      <c r="V13" s="2048"/>
      <c r="W13" s="2048"/>
      <c r="X13" s="2048"/>
      <c r="Y13" s="2049"/>
      <c r="Z13" s="2049"/>
      <c r="AA13" s="205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0" t="s">
        <v>2078</v>
      </c>
      <c r="B15" s="2045"/>
      <c r="C15" s="2045"/>
      <c r="D15" s="2045"/>
      <c r="E15" s="2045"/>
      <c r="F15" s="2045"/>
      <c r="G15" s="2045"/>
      <c r="H15" s="2046"/>
      <c r="T15" s="2008" t="s">
        <v>2083</v>
      </c>
      <c r="U15" s="2009"/>
      <c r="V15" s="2009"/>
      <c r="W15" s="2009"/>
      <c r="X15" s="2009"/>
      <c r="Y15" s="2051"/>
      <c r="Z15" s="2051"/>
      <c r="AA15" s="205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0" t="s">
        <v>2079</v>
      </c>
      <c r="B17" s="2070"/>
      <c r="C17" s="2070"/>
      <c r="D17" s="2070"/>
      <c r="E17" s="2070"/>
      <c r="F17" s="2070"/>
      <c r="G17" s="2070"/>
      <c r="H17" s="2071"/>
      <c r="T17" s="2057" t="s">
        <v>2084</v>
      </c>
      <c r="U17" s="2058"/>
      <c r="V17" s="2058"/>
      <c r="W17" s="2058"/>
      <c r="X17" s="2058"/>
      <c r="Y17" s="2058"/>
      <c r="Z17" s="2058"/>
      <c r="AA17" s="2059"/>
    </row>
    <row r="18" spans="1:27" ht="13.5" customHeight="1" x14ac:dyDescent="0.2">
      <c r="A18" s="85" t="s">
        <v>551</v>
      </c>
      <c r="B18" s="76"/>
      <c r="C18" s="72"/>
      <c r="D18" s="76"/>
      <c r="E18" s="76"/>
      <c r="F18" s="76"/>
      <c r="G18" s="76"/>
      <c r="H18" s="56"/>
      <c r="I18" s="2067" t="s">
        <v>697</v>
      </c>
      <c r="J18" s="2068"/>
      <c r="K18" s="2068"/>
      <c r="L18" s="2068"/>
      <c r="M18" s="2068"/>
      <c r="N18" s="2068"/>
      <c r="O18" s="2068"/>
      <c r="P18" s="2068"/>
      <c r="Q18" s="2068"/>
      <c r="R18" s="2068"/>
      <c r="S18" s="2069"/>
      <c r="T18" s="85" t="s">
        <v>735</v>
      </c>
      <c r="U18" s="51"/>
      <c r="V18" s="72"/>
      <c r="W18" s="50"/>
      <c r="X18" s="85" t="s">
        <v>284</v>
      </c>
      <c r="Y18" s="81"/>
      <c r="Z18" s="159" t="s">
        <v>698</v>
      </c>
      <c r="AA18" s="46"/>
    </row>
    <row r="19" spans="1:27" ht="13.5" customHeight="1" x14ac:dyDescent="0.2">
      <c r="A19" s="2040" t="s">
        <v>2080</v>
      </c>
      <c r="B19" s="2041"/>
      <c r="C19" s="2041"/>
      <c r="D19" s="2041"/>
      <c r="E19" s="2041"/>
      <c r="F19" s="2041"/>
      <c r="G19" s="2041"/>
      <c r="H19" s="2039"/>
      <c r="I19" s="30"/>
      <c r="J19" s="99"/>
      <c r="K19" s="40"/>
      <c r="L19" s="38"/>
      <c r="M19" s="112" t="s">
        <v>333</v>
      </c>
      <c r="P19" s="27"/>
      <c r="Q19" s="27"/>
      <c r="R19" s="27"/>
      <c r="S19" s="31"/>
      <c r="T19" s="2040" t="s">
        <v>2085</v>
      </c>
      <c r="U19" s="2038"/>
      <c r="V19" s="2038"/>
      <c r="W19" s="2039"/>
      <c r="X19" s="2055" t="s">
        <v>2086</v>
      </c>
      <c r="Y19" s="2056"/>
      <c r="Z19" s="2053">
        <v>62568</v>
      </c>
      <c r="AA19" s="205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37" t="s">
        <v>2081</v>
      </c>
      <c r="B21" s="2038"/>
      <c r="C21" s="2038"/>
      <c r="D21" s="2038"/>
      <c r="E21" s="2038"/>
      <c r="F21" s="2038"/>
      <c r="G21" s="2038"/>
      <c r="H21" s="2039"/>
      <c r="I21" s="2063" t="s">
        <v>699</v>
      </c>
      <c r="J21" s="2026"/>
      <c r="K21" s="2026"/>
      <c r="L21" s="2026"/>
      <c r="M21" s="2026"/>
      <c r="N21" s="2026"/>
      <c r="O21" s="2026"/>
      <c r="P21" s="2026"/>
      <c r="Q21" s="2026"/>
      <c r="R21" s="2026"/>
      <c r="S21" s="2027"/>
      <c r="T21" s="2005" t="s">
        <v>2087</v>
      </c>
      <c r="U21" s="2006"/>
      <c r="V21" s="2006"/>
      <c r="W21" s="2006"/>
      <c r="X21" s="2019" t="s">
        <v>2088</v>
      </c>
      <c r="Y21" s="2020"/>
      <c r="Z21" s="2020"/>
      <c r="AA21" s="2021"/>
    </row>
    <row r="22" spans="1:27" ht="13.5" customHeight="1" x14ac:dyDescent="0.2">
      <c r="A22" s="87" t="s">
        <v>552</v>
      </c>
      <c r="B22" s="59"/>
      <c r="C22" s="59"/>
      <c r="D22" s="59"/>
      <c r="E22" s="59"/>
      <c r="F22" s="59"/>
      <c r="G22" s="59"/>
      <c r="H22" s="60"/>
      <c r="I22" s="2064" t="s">
        <v>1504</v>
      </c>
      <c r="J22" s="2065"/>
      <c r="K22" s="2065"/>
      <c r="L22" s="2065"/>
      <c r="M22" s="2065"/>
      <c r="N22" s="2065"/>
      <c r="O22" s="2065"/>
      <c r="P22" s="2065"/>
      <c r="Q22" s="2065"/>
      <c r="R22" s="2065"/>
      <c r="S22" s="2066"/>
      <c r="T22" s="85" t="s">
        <v>1596</v>
      </c>
      <c r="U22" s="51"/>
      <c r="V22" s="72"/>
      <c r="W22" s="51"/>
      <c r="X22" s="160" t="s">
        <v>1385</v>
      </c>
      <c r="Z22" s="45"/>
      <c r="AA22" s="46"/>
    </row>
    <row r="23" spans="1:27" ht="13.5" customHeight="1" x14ac:dyDescent="0.2">
      <c r="A23" s="2060" t="s">
        <v>2093</v>
      </c>
      <c r="B23" s="2061"/>
      <c r="C23" s="2061"/>
      <c r="D23" s="2061"/>
      <c r="E23" s="2061"/>
      <c r="F23" s="2061"/>
      <c r="G23" s="2061"/>
      <c r="H23" s="2062"/>
      <c r="T23" s="2000" t="s">
        <v>2094</v>
      </c>
      <c r="U23" s="2001"/>
      <c r="V23" s="2001"/>
      <c r="W23" s="2001"/>
      <c r="X23" s="2016">
        <v>43434</v>
      </c>
      <c r="Y23" s="2017"/>
      <c r="Z23" s="2017"/>
      <c r="AA23" s="2018"/>
    </row>
    <row r="24" spans="1:27" ht="14.1" customHeight="1" x14ac:dyDescent="0.2">
      <c r="A24" s="88" t="s">
        <v>698</v>
      </c>
      <c r="B24" s="49"/>
      <c r="C24" s="49"/>
      <c r="D24" s="49"/>
      <c r="E24" s="49"/>
      <c r="F24" s="49"/>
      <c r="G24" s="49"/>
      <c r="H24" s="61"/>
      <c r="J24" s="2102">
        <f>IF(B5="x",IF(AUDITCHECK!D29="AFR form Incomplete.","",IF(AUDITCHECK!D29="Deficit reduction plan is required.","School District must complete a deficit reduction plan in the 2018-2019 Budget",)),"")</f>
        <v>0</v>
      </c>
      <c r="K24" s="2102"/>
      <c r="L24" s="2102"/>
      <c r="M24" s="2102"/>
      <c r="N24" s="2102"/>
      <c r="O24" s="2102"/>
      <c r="P24" s="2102"/>
      <c r="Q24" s="2102"/>
      <c r="R24" s="2102"/>
      <c r="S24" s="2103"/>
      <c r="T24" s="105" t="s">
        <v>552</v>
      </c>
      <c r="U24" s="106"/>
      <c r="V24" s="106"/>
      <c r="W24" s="106"/>
      <c r="X24" s="107"/>
      <c r="Y24" s="107"/>
      <c r="Z24" s="107"/>
      <c r="AA24" s="108"/>
    </row>
    <row r="25" spans="1:27" ht="14.1" customHeight="1" x14ac:dyDescent="0.2">
      <c r="A25" s="2037">
        <v>62515</v>
      </c>
      <c r="B25" s="2038"/>
      <c r="C25" s="2038"/>
      <c r="D25" s="2038"/>
      <c r="E25" s="2038"/>
      <c r="F25" s="2038"/>
      <c r="G25" s="2038"/>
      <c r="H25" s="2039"/>
      <c r="I25" s="113"/>
      <c r="J25" s="2104"/>
      <c r="K25" s="2104"/>
      <c r="L25" s="2104"/>
      <c r="M25" s="2104"/>
      <c r="N25" s="2104"/>
      <c r="O25" s="2104"/>
      <c r="P25" s="2104"/>
      <c r="Q25" s="2104"/>
      <c r="R25" s="2104"/>
      <c r="S25" s="2105"/>
      <c r="T25" s="1997" t="s">
        <v>2089</v>
      </c>
      <c r="U25" s="1998"/>
      <c r="V25" s="1998"/>
      <c r="W25" s="1998"/>
      <c r="X25" s="1998"/>
      <c r="Y25" s="1998"/>
      <c r="Z25" s="1998"/>
      <c r="AA25" s="199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95" t="s">
        <v>1591</v>
      </c>
      <c r="J27" s="2068"/>
      <c r="K27" s="2068"/>
      <c r="L27" s="2068"/>
      <c r="M27" s="2068"/>
      <c r="N27" s="2068"/>
      <c r="O27" s="2068"/>
      <c r="P27" s="2068"/>
      <c r="Q27" s="2068"/>
      <c r="R27" s="2068"/>
      <c r="S27" s="206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41"/>
      <c r="Q35" s="2038"/>
      <c r="R35" s="203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0" t="s">
        <v>2090</v>
      </c>
      <c r="B38" s="2070"/>
      <c r="C38" s="2070"/>
      <c r="D38" s="2070"/>
      <c r="E38" s="2070"/>
      <c r="F38" s="2038"/>
      <c r="G38" s="2038"/>
      <c r="H38" s="2039"/>
      <c r="I38" s="2089"/>
      <c r="J38" s="2009"/>
      <c r="K38" s="2009"/>
      <c r="L38" s="2009"/>
      <c r="M38" s="2009"/>
      <c r="N38" s="2009"/>
      <c r="O38" s="2009"/>
      <c r="P38" s="2010"/>
      <c r="Q38" s="2010"/>
      <c r="R38" s="2010"/>
      <c r="S38" s="2011"/>
      <c r="T38" s="2008"/>
      <c r="U38" s="2009"/>
      <c r="V38" s="2009"/>
      <c r="W38" s="2009"/>
      <c r="X38" s="2010"/>
      <c r="Y38" s="2010"/>
      <c r="Z38" s="2010"/>
      <c r="AA38" s="2011"/>
    </row>
    <row r="39" spans="1:27" ht="12" customHeight="1" x14ac:dyDescent="0.2">
      <c r="A39" s="2093" t="s">
        <v>552</v>
      </c>
      <c r="B39" s="2094"/>
      <c r="C39" s="72"/>
      <c r="D39" s="69"/>
      <c r="E39" s="69"/>
      <c r="F39" s="79"/>
      <c r="G39" s="69"/>
      <c r="H39" s="56"/>
      <c r="I39" s="2093" t="s">
        <v>552</v>
      </c>
      <c r="J39" s="2094"/>
      <c r="K39" s="2094"/>
      <c r="L39" s="2094"/>
      <c r="M39" s="2094"/>
      <c r="N39" s="67"/>
      <c r="O39" s="72"/>
      <c r="P39" s="72"/>
      <c r="Q39" s="78"/>
      <c r="R39" s="72"/>
      <c r="S39" s="56"/>
      <c r="T39" s="72" t="s">
        <v>552</v>
      </c>
      <c r="U39" s="51"/>
      <c r="V39" s="72"/>
      <c r="W39" s="50"/>
      <c r="X39" s="78"/>
      <c r="Y39" s="45"/>
      <c r="Z39" s="45"/>
      <c r="AA39" s="46"/>
    </row>
    <row r="40" spans="1:27" ht="13.5" customHeight="1" x14ac:dyDescent="0.2">
      <c r="A40" s="2096" t="s">
        <v>2093</v>
      </c>
      <c r="B40" s="2097"/>
      <c r="C40" s="2098"/>
      <c r="D40" s="2098"/>
      <c r="E40" s="2098"/>
      <c r="F40" s="2099"/>
      <c r="G40" s="2099"/>
      <c r="H40" s="2100"/>
      <c r="I40" s="2012"/>
      <c r="J40" s="2014"/>
      <c r="K40" s="2014"/>
      <c r="L40" s="2014"/>
      <c r="M40" s="2014"/>
      <c r="N40" s="2014"/>
      <c r="O40" s="2014"/>
      <c r="P40" s="2014"/>
      <c r="Q40" s="2014"/>
      <c r="R40" s="2014"/>
      <c r="S40" s="2015"/>
      <c r="T40" s="2012"/>
      <c r="U40" s="2013"/>
      <c r="V40" s="2014"/>
      <c r="W40" s="2014"/>
      <c r="X40" s="2014"/>
      <c r="Y40" s="2014"/>
      <c r="Z40" s="2014"/>
      <c r="AA40" s="201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86" t="s">
        <v>2091</v>
      </c>
      <c r="B42" s="2087"/>
      <c r="C42" s="2088"/>
      <c r="D42" s="2101" t="s">
        <v>2092</v>
      </c>
      <c r="E42" s="2087"/>
      <c r="F42" s="2087"/>
      <c r="G42" s="2087"/>
      <c r="H42" s="2088"/>
      <c r="I42" s="2007"/>
      <c r="J42" s="2003"/>
      <c r="K42" s="2003"/>
      <c r="L42" s="2003"/>
      <c r="M42" s="2003"/>
      <c r="N42" s="2003"/>
      <c r="O42" s="2004"/>
      <c r="P42" s="2002"/>
      <c r="Q42" s="2003"/>
      <c r="R42" s="2003"/>
      <c r="S42" s="2004"/>
      <c r="T42" s="2007"/>
      <c r="U42" s="2003"/>
      <c r="V42" s="2003"/>
      <c r="W42" s="2004"/>
      <c r="X42" s="2002"/>
      <c r="Y42" s="2003"/>
      <c r="Z42" s="2003"/>
      <c r="AA42" s="200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90"/>
      <c r="B44" s="2091"/>
      <c r="C44" s="2091"/>
      <c r="D44" s="2091"/>
      <c r="E44" s="2091"/>
      <c r="F44" s="2091"/>
      <c r="G44" s="2091"/>
      <c r="H44" s="2092"/>
      <c r="I44" s="2082"/>
      <c r="J44" s="2084"/>
      <c r="K44" s="2084"/>
      <c r="L44" s="2084"/>
      <c r="M44" s="2084"/>
      <c r="N44" s="2084"/>
      <c r="O44" s="2084"/>
      <c r="P44" s="2084"/>
      <c r="Q44" s="2084"/>
      <c r="R44" s="2084"/>
      <c r="S44" s="2085"/>
      <c r="T44" s="2082"/>
      <c r="U44" s="2083"/>
      <c r="V44" s="2083"/>
      <c r="W44" s="2083"/>
      <c r="X44" s="2083"/>
      <c r="Y44" s="2083"/>
      <c r="Z44" s="2084"/>
      <c r="AA44" s="208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rintOptions horizontalCentered="1"/>
  <pageMargins left="0.5" right="0.5" top="1.4" bottom="0.75" header="1" footer="0.5"/>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39" t="s">
        <v>1905</v>
      </c>
      <c r="B2" s="1547" t="s">
        <v>2035</v>
      </c>
      <c r="C2" s="715" t="s">
        <v>1910</v>
      </c>
      <c r="D2" s="715" t="s">
        <v>1911</v>
      </c>
      <c r="E2" s="715" t="s">
        <v>1912</v>
      </c>
      <c r="F2" s="715" t="s">
        <v>1913</v>
      </c>
    </row>
    <row r="3" spans="1:6" ht="12" customHeight="1" x14ac:dyDescent="0.2">
      <c r="A3" s="2240"/>
      <c r="B3" s="1544"/>
      <c r="C3" s="1545"/>
      <c r="D3" s="1546" t="s">
        <v>274</v>
      </c>
      <c r="E3" s="1545"/>
      <c r="F3" s="1546" t="s">
        <v>275</v>
      </c>
    </row>
    <row r="4" spans="1:6" ht="13.7" customHeight="1" x14ac:dyDescent="0.2">
      <c r="A4" s="716" t="s">
        <v>1217</v>
      </c>
      <c r="B4" s="1768">
        <f>'Revenues 9-14'!C5</f>
        <v>2425026</v>
      </c>
      <c r="C4" s="1543">
        <v>1333865</v>
      </c>
      <c r="D4" s="1771">
        <f>B4-C4</f>
        <v>1091161</v>
      </c>
      <c r="E4" s="1543">
        <v>2377577</v>
      </c>
      <c r="F4" s="1771">
        <f>E4-C4</f>
        <v>1043712</v>
      </c>
    </row>
    <row r="5" spans="1:6" ht="13.7" customHeight="1" x14ac:dyDescent="0.2">
      <c r="A5" s="716" t="s">
        <v>925</v>
      </c>
      <c r="B5" s="1769">
        <f>'Revenues 9-14'!D5</f>
        <v>312019</v>
      </c>
      <c r="C5" s="585">
        <v>171650</v>
      </c>
      <c r="D5" s="1772">
        <f t="shared" ref="D5:D18" si="0">B5-C5</f>
        <v>140369</v>
      </c>
      <c r="E5" s="585">
        <v>305962</v>
      </c>
      <c r="F5" s="1772">
        <f>E5-C5</f>
        <v>134312</v>
      </c>
    </row>
    <row r="6" spans="1:6" ht="13.7" customHeight="1" x14ac:dyDescent="0.2">
      <c r="A6" s="716" t="s">
        <v>431</v>
      </c>
      <c r="B6" s="1769">
        <f>'Revenues 9-14'!E5</f>
        <v>638265</v>
      </c>
      <c r="C6" s="585">
        <f>168133+179564</f>
        <v>347697</v>
      </c>
      <c r="D6" s="1772">
        <f t="shared" si="0"/>
        <v>290568</v>
      </c>
      <c r="E6" s="585">
        <f>299692+320068</f>
        <v>619760</v>
      </c>
      <c r="F6" s="1772">
        <f t="shared" ref="F6:F18" si="1">E6-C6</f>
        <v>272063</v>
      </c>
    </row>
    <row r="7" spans="1:6" ht="13.7" customHeight="1" x14ac:dyDescent="0.2">
      <c r="A7" s="716" t="s">
        <v>157</v>
      </c>
      <c r="B7" s="1769">
        <f>'Revenues 9-14'!F5</f>
        <v>208041</v>
      </c>
      <c r="C7" s="585">
        <v>114449</v>
      </c>
      <c r="D7" s="1772">
        <f t="shared" si="0"/>
        <v>93592</v>
      </c>
      <c r="E7" s="585">
        <v>204002</v>
      </c>
      <c r="F7" s="1772">
        <f t="shared" si="1"/>
        <v>89553</v>
      </c>
    </row>
    <row r="8" spans="1:6" ht="13.7" customHeight="1" x14ac:dyDescent="0.2">
      <c r="A8" s="716" t="s">
        <v>1241</v>
      </c>
      <c r="B8" s="1769">
        <f>'Revenues 9-14'!G5</f>
        <v>63761</v>
      </c>
      <c r="C8" s="585">
        <v>35080</v>
      </c>
      <c r="D8" s="1772">
        <f t="shared" si="0"/>
        <v>28681</v>
      </c>
      <c r="E8" s="585">
        <v>62529</v>
      </c>
      <c r="F8" s="1772">
        <f t="shared" si="1"/>
        <v>27449</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20848</v>
      </c>
      <c r="C10" s="585">
        <v>11477</v>
      </c>
      <c r="D10" s="1772">
        <f t="shared" si="0"/>
        <v>9371</v>
      </c>
      <c r="E10" s="585">
        <v>20458</v>
      </c>
      <c r="F10" s="1772">
        <f t="shared" si="1"/>
        <v>8981</v>
      </c>
    </row>
    <row r="11" spans="1:6" x14ac:dyDescent="0.2">
      <c r="A11" s="716" t="s">
        <v>429</v>
      </c>
      <c r="B11" s="1769">
        <f>'Revenues 9-14'!J5</f>
        <v>100609</v>
      </c>
      <c r="C11" s="585">
        <v>55350</v>
      </c>
      <c r="D11" s="1772">
        <f t="shared" si="0"/>
        <v>45259</v>
      </c>
      <c r="E11" s="585">
        <v>98660</v>
      </c>
      <c r="F11" s="1772">
        <f t="shared" si="1"/>
        <v>43310</v>
      </c>
    </row>
    <row r="12" spans="1:6" ht="13.7" customHeight="1" x14ac:dyDescent="0.2">
      <c r="A12" s="716" t="s">
        <v>159</v>
      </c>
      <c r="B12" s="1769">
        <f>'Revenues 9-14'!K5</f>
        <v>48686</v>
      </c>
      <c r="C12" s="585">
        <v>26796</v>
      </c>
      <c r="D12" s="1772">
        <f t="shared" si="0"/>
        <v>21890</v>
      </c>
      <c r="E12" s="585">
        <v>47763</v>
      </c>
      <c r="F12" s="1772">
        <f t="shared" si="1"/>
        <v>20967</v>
      </c>
    </row>
    <row r="13" spans="1:6" ht="13.7" customHeight="1" x14ac:dyDescent="0.2">
      <c r="A13" s="716" t="s">
        <v>993</v>
      </c>
      <c r="B13" s="1769">
        <f>SUM('Revenues 9-14'!C6:D6)</f>
        <v>0</v>
      </c>
      <c r="C13" s="585"/>
      <c r="D13" s="1772">
        <f t="shared" si="0"/>
        <v>0</v>
      </c>
      <c r="E13" s="585"/>
      <c r="F13" s="1772">
        <f t="shared" si="1"/>
        <v>0</v>
      </c>
    </row>
    <row r="14" spans="1:6" ht="13.7" customHeight="1" x14ac:dyDescent="0.2">
      <c r="A14" s="716" t="s">
        <v>430</v>
      </c>
      <c r="B14" s="1769">
        <f>SUM('Revenues 9-14'!C7:D7,'Revenues 9-14'!F7:H7)</f>
        <v>34743</v>
      </c>
      <c r="C14" s="585">
        <v>19113</v>
      </c>
      <c r="D14" s="1772">
        <f t="shared" si="0"/>
        <v>15630</v>
      </c>
      <c r="E14" s="585">
        <v>34069</v>
      </c>
      <c r="F14" s="1772">
        <f t="shared" si="1"/>
        <v>14956</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63760</v>
      </c>
      <c r="C16" s="585">
        <v>35080</v>
      </c>
      <c r="D16" s="1772">
        <f t="shared" si="0"/>
        <v>28680</v>
      </c>
      <c r="E16" s="585">
        <v>62529</v>
      </c>
      <c r="F16" s="1772">
        <f t="shared" si="1"/>
        <v>27449</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c r="F18" s="1772">
        <f t="shared" si="1"/>
        <v>0</v>
      </c>
    </row>
    <row r="19" spans="1:6" ht="13.7" customHeight="1" thickBot="1" x14ac:dyDescent="0.25">
      <c r="A19" s="1773" t="s">
        <v>1223</v>
      </c>
      <c r="B19" s="1770">
        <f>SUM(B4:B18)</f>
        <v>3915758</v>
      </c>
      <c r="C19" s="1770">
        <f>SUM(C4:C18)</f>
        <v>2150557</v>
      </c>
      <c r="D19" s="1770">
        <f>SUM(D4:D18)</f>
        <v>1765201</v>
      </c>
      <c r="E19" s="1770">
        <f>SUM(E4:E18)</f>
        <v>3833309</v>
      </c>
      <c r="F19" s="1770">
        <f>SUM(F4:F18)</f>
        <v>1682752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orizontalCentered="1" headings="1" gridLinesSet="0"/>
  <pageMargins left="0.5" right="0.5" top="1.4" bottom="0.75" header="1" footer="0.5"/>
  <pageSetup scale="97" firstPageNumber="23" orientation="landscape" useFirstPageNumber="1" r:id="rId1"/>
  <headerFooter alignWithMargins="0">
    <oddHeader>&amp;L&amp;8Page &amp;P&amp;R&amp;8Page &amp;P</oddHeader>
    <oddFooter>&amp;L&amp;8Print Date: &amp;D
&amp;F&amp;CReference should be made to accountant's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A33" sqref="A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5" t="s">
        <v>650</v>
      </c>
      <c r="B1" s="2246"/>
      <c r="C1" s="722"/>
    </row>
    <row r="2" spans="1:7" ht="33.75" x14ac:dyDescent="0.2">
      <c r="A2" s="2254" t="s">
        <v>1905</v>
      </c>
      <c r="B2" s="2255"/>
      <c r="C2" s="1906" t="s">
        <v>2036</v>
      </c>
      <c r="D2" s="724" t="s">
        <v>2043</v>
      </c>
      <c r="E2" s="724" t="s">
        <v>2044</v>
      </c>
      <c r="F2" s="1906" t="s">
        <v>2037</v>
      </c>
    </row>
    <row r="3" spans="1:7" ht="15.75" customHeight="1" x14ac:dyDescent="0.2">
      <c r="A3" s="2258" t="s">
        <v>1176</v>
      </c>
      <c r="B3" s="2259"/>
      <c r="C3" s="2247"/>
      <c r="D3" s="2248"/>
      <c r="E3" s="2248"/>
      <c r="F3" s="2249"/>
    </row>
    <row r="4" spans="1:7" ht="12.75" customHeight="1" thickBot="1" x14ac:dyDescent="0.25">
      <c r="A4" s="2256" t="s">
        <v>651</v>
      </c>
      <c r="B4" s="2257"/>
      <c r="C4" s="581"/>
      <c r="D4" s="581"/>
      <c r="E4" s="581"/>
      <c r="F4" s="1774">
        <f>SUM(C4+D4)-E4</f>
        <v>0</v>
      </c>
    </row>
    <row r="5" spans="1:7" ht="15.75" customHeight="1" thickTop="1" x14ac:dyDescent="0.2">
      <c r="A5" s="2241" t="s">
        <v>1172</v>
      </c>
      <c r="B5" s="2242"/>
      <c r="C5" s="2250"/>
      <c r="D5" s="2251"/>
      <c r="E5" s="2251"/>
      <c r="F5" s="2252"/>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43" t="s">
        <v>652</v>
      </c>
      <c r="B15" s="2244"/>
      <c r="C15" s="1774">
        <f>SUM(C6:C14)</f>
        <v>0</v>
      </c>
      <c r="D15" s="1774">
        <f>SUM(D6:D14)</f>
        <v>0</v>
      </c>
      <c r="E15" s="1774">
        <f>SUM(E6:E14)</f>
        <v>0</v>
      </c>
      <c r="F15" s="1774">
        <f>SUM(F6:F14)</f>
        <v>0</v>
      </c>
      <c r="G15" s="552"/>
    </row>
    <row r="16" spans="1:7" s="202" customFormat="1" ht="15.75" customHeight="1" thickTop="1" x14ac:dyDescent="0.2">
      <c r="A16" s="2253" t="s">
        <v>1173</v>
      </c>
      <c r="B16" s="2242"/>
      <c r="C16" s="2250"/>
      <c r="D16" s="2251"/>
      <c r="E16" s="2251"/>
      <c r="F16" s="2252"/>
    </row>
    <row r="17" spans="1:11" ht="12.75" customHeight="1" thickBot="1" x14ac:dyDescent="0.25">
      <c r="A17" s="2266" t="s">
        <v>66</v>
      </c>
      <c r="B17" s="2267"/>
      <c r="C17" s="727"/>
      <c r="D17" s="585"/>
      <c r="E17" s="727"/>
      <c r="F17" s="1774">
        <f>SUM(C17+D17)-E17</f>
        <v>0</v>
      </c>
    </row>
    <row r="18" spans="1:11" ht="12.75" customHeight="1" thickTop="1" thickBot="1" x14ac:dyDescent="0.25">
      <c r="A18" s="2266" t="s">
        <v>6</v>
      </c>
      <c r="B18" s="2267"/>
      <c r="C18" s="727"/>
      <c r="D18" s="585"/>
      <c r="E18" s="727"/>
      <c r="F18" s="1774">
        <f>SUM(C18+D18)-E18</f>
        <v>0</v>
      </c>
    </row>
    <row r="19" spans="1:11" ht="12.75" customHeight="1" thickTop="1" thickBot="1" x14ac:dyDescent="0.25">
      <c r="A19" s="2266" t="s">
        <v>406</v>
      </c>
      <c r="B19" s="2267"/>
      <c r="C19" s="727"/>
      <c r="D19" s="585"/>
      <c r="E19" s="727"/>
      <c r="F19" s="1774">
        <f>SUM(C19+D19)-E19</f>
        <v>0</v>
      </c>
    </row>
    <row r="20" spans="1:11" ht="12.75" customHeight="1" thickTop="1" thickBot="1" x14ac:dyDescent="0.25">
      <c r="A20" s="2266" t="s">
        <v>468</v>
      </c>
      <c r="B20" s="2267"/>
      <c r="C20" s="727"/>
      <c r="D20" s="585"/>
      <c r="E20" s="727"/>
      <c r="F20" s="1774">
        <f>SUM(C20+D20)-E20</f>
        <v>0</v>
      </c>
    </row>
    <row r="21" spans="1:11" ht="14.25" thickTop="1" thickBot="1" x14ac:dyDescent="0.25">
      <c r="A21" s="2243" t="s">
        <v>653</v>
      </c>
      <c r="B21" s="2244"/>
      <c r="C21" s="1774">
        <f>SUM(C17:C20)</f>
        <v>0</v>
      </c>
      <c r="D21" s="1774">
        <f>SUM(D17:D20)</f>
        <v>0</v>
      </c>
      <c r="E21" s="1774">
        <f>SUM(E17:E20)</f>
        <v>0</v>
      </c>
      <c r="F21" s="1774">
        <f>SUM(F17:F20)</f>
        <v>0</v>
      </c>
      <c r="G21" s="552"/>
    </row>
    <row r="22" spans="1:11" ht="15.75" customHeight="1" thickTop="1" x14ac:dyDescent="0.2">
      <c r="A22" s="2268" t="s">
        <v>1174</v>
      </c>
      <c r="B22" s="2242"/>
      <c r="C22" s="2250"/>
      <c r="D22" s="2251"/>
      <c r="E22" s="2251"/>
      <c r="F22" s="2252"/>
    </row>
    <row r="23" spans="1:11" ht="13.5" thickBot="1" x14ac:dyDescent="0.25">
      <c r="A23" s="2256" t="s">
        <v>654</v>
      </c>
      <c r="B23" s="2257"/>
      <c r="C23" s="581"/>
      <c r="D23" s="581"/>
      <c r="E23" s="581"/>
      <c r="F23" s="1774">
        <f>SUM(C23+D23)-E23</f>
        <v>0</v>
      </c>
      <c r="G23" s="552"/>
    </row>
    <row r="24" spans="1:11" ht="15.75" customHeight="1" thickTop="1" x14ac:dyDescent="0.2">
      <c r="A24" s="2268" t="s">
        <v>1175</v>
      </c>
      <c r="B24" s="2242"/>
      <c r="C24" s="2250"/>
      <c r="D24" s="2251"/>
      <c r="E24" s="2251"/>
      <c r="F24" s="2252"/>
    </row>
    <row r="25" spans="1:11" ht="13.5" thickBot="1" x14ac:dyDescent="0.25">
      <c r="A25" s="2256" t="s">
        <v>655</v>
      </c>
      <c r="B25" s="2257"/>
      <c r="C25" s="581"/>
      <c r="D25" s="581"/>
      <c r="E25" s="581"/>
      <c r="F25" s="1774">
        <f>SUM(C25+D25)-E25</f>
        <v>0</v>
      </c>
      <c r="G25" s="552"/>
    </row>
    <row r="26" spans="1:11" ht="15.75" customHeight="1" thickTop="1" x14ac:dyDescent="0.2">
      <c r="A26" s="2241" t="s">
        <v>678</v>
      </c>
      <c r="B26" s="2242"/>
      <c r="C26" s="728"/>
      <c r="D26" s="728"/>
      <c r="E26" s="728"/>
      <c r="F26" s="729"/>
    </row>
    <row r="27" spans="1:11" ht="13.5" thickBot="1" x14ac:dyDescent="0.25">
      <c r="A27" s="2243" t="s">
        <v>1130</v>
      </c>
      <c r="B27" s="2244"/>
      <c r="C27" s="585"/>
      <c r="D27" s="585"/>
      <c r="E27" s="585"/>
      <c r="F27" s="1774">
        <f>SUM(C27+D27)-E27</f>
        <v>0</v>
      </c>
      <c r="G27" s="552"/>
    </row>
    <row r="28" spans="1:11" ht="7.5" customHeight="1" thickTop="1" x14ac:dyDescent="0.2">
      <c r="A28" s="594"/>
    </row>
    <row r="29" spans="1:11" ht="23.25" customHeight="1" x14ac:dyDescent="0.2">
      <c r="A29" s="2269" t="s">
        <v>603</v>
      </c>
      <c r="B29" s="2246"/>
      <c r="C29" s="730"/>
      <c r="D29" s="730"/>
      <c r="E29" s="730"/>
      <c r="F29" s="730"/>
      <c r="G29" s="730"/>
      <c r="H29" s="730"/>
      <c r="I29" s="730"/>
      <c r="J29" s="730"/>
    </row>
    <row r="30" spans="1:11" ht="33.75" x14ac:dyDescent="0.2">
      <c r="A30" s="1548" t="s">
        <v>1131</v>
      </c>
      <c r="B30" s="731" t="s">
        <v>1186</v>
      </c>
      <c r="C30" s="1907" t="s">
        <v>604</v>
      </c>
      <c r="D30" s="1907" t="s">
        <v>1772</v>
      </c>
      <c r="E30" s="1907" t="s">
        <v>2038</v>
      </c>
      <c r="F30" s="1907" t="s">
        <v>2039</v>
      </c>
      <c r="G30" s="1907" t="s">
        <v>2042</v>
      </c>
      <c r="H30" s="1907" t="s">
        <v>2040</v>
      </c>
      <c r="I30" s="1907" t="s">
        <v>2041</v>
      </c>
      <c r="J30" s="1908" t="s">
        <v>2</v>
      </c>
      <c r="K30" s="732"/>
    </row>
    <row r="31" spans="1:11" ht="12" customHeight="1" x14ac:dyDescent="0.2">
      <c r="A31" s="733" t="s">
        <v>2155</v>
      </c>
      <c r="B31" s="1953" t="s">
        <v>2095</v>
      </c>
      <c r="C31" s="735">
        <v>1795000</v>
      </c>
      <c r="D31" s="736">
        <v>3</v>
      </c>
      <c r="E31" s="735">
        <v>1350000</v>
      </c>
      <c r="F31" s="735"/>
      <c r="G31" s="735"/>
      <c r="H31" s="735">
        <v>250000</v>
      </c>
      <c r="I31" s="1775">
        <f>((E31+F31)-H31)+G31</f>
        <v>1100000</v>
      </c>
      <c r="J31" s="735">
        <f>1100000-344517</f>
        <v>755483</v>
      </c>
      <c r="K31" s="737"/>
    </row>
    <row r="32" spans="1:11" ht="12" customHeight="1" x14ac:dyDescent="0.2">
      <c r="A32" s="733" t="s">
        <v>2156</v>
      </c>
      <c r="B32" s="1953" t="s">
        <v>2096</v>
      </c>
      <c r="C32" s="735">
        <v>3710000</v>
      </c>
      <c r="D32" s="736" t="s">
        <v>2097</v>
      </c>
      <c r="E32" s="735">
        <v>3660000</v>
      </c>
      <c r="F32" s="735"/>
      <c r="G32" s="735"/>
      <c r="H32" s="735">
        <v>180000</v>
      </c>
      <c r="I32" s="1775">
        <f>((E32+F32)-H32)+G32</f>
        <v>3480000</v>
      </c>
      <c r="J32" s="735">
        <v>3480000</v>
      </c>
      <c r="K32" s="737"/>
    </row>
    <row r="33" spans="1:11" ht="12" customHeight="1" x14ac:dyDescent="0.2">
      <c r="A33" s="733"/>
      <c r="B33" s="734"/>
      <c r="C33" s="735"/>
      <c r="D33" s="736"/>
      <c r="E33" s="735"/>
      <c r="F33" s="735"/>
      <c r="G33" s="735"/>
      <c r="H33" s="735"/>
      <c r="I33" s="1775">
        <f t="shared" ref="I33:I48" si="1">((E33+F33)-H33)+G33</f>
        <v>0</v>
      </c>
      <c r="J33" s="735"/>
      <c r="K33" s="737"/>
    </row>
    <row r="34" spans="1:11" ht="12" customHeight="1" x14ac:dyDescent="0.2">
      <c r="A34" s="733"/>
      <c r="B34" s="734"/>
      <c r="C34" s="735"/>
      <c r="D34" s="736"/>
      <c r="E34" s="735"/>
      <c r="F34" s="735"/>
      <c r="G34" s="735"/>
      <c r="H34" s="735"/>
      <c r="I34" s="1775">
        <f t="shared" si="1"/>
        <v>0</v>
      </c>
      <c r="J34" s="735"/>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5505000</v>
      </c>
      <c r="D49" s="746"/>
      <c r="E49" s="1775">
        <f t="shared" ref="E49:J49" si="2">SUM(E31:E48)</f>
        <v>5010000</v>
      </c>
      <c r="F49" s="1775">
        <f t="shared" si="2"/>
        <v>0</v>
      </c>
      <c r="G49" s="1775">
        <f t="shared" si="2"/>
        <v>0</v>
      </c>
      <c r="H49" s="1775">
        <f t="shared" si="2"/>
        <v>430000</v>
      </c>
      <c r="I49" s="1775">
        <f t="shared" si="2"/>
        <v>4580000</v>
      </c>
      <c r="J49" s="1775">
        <f t="shared" si="2"/>
        <v>4235483</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60" t="s">
        <v>605</v>
      </c>
      <c r="C52" s="2261"/>
      <c r="D52" s="2261"/>
      <c r="E52" s="750" t="s">
        <v>900</v>
      </c>
      <c r="F52" s="2262"/>
      <c r="G52" s="2263"/>
      <c r="H52" s="737"/>
      <c r="I52" s="737"/>
      <c r="J52" s="747"/>
    </row>
    <row r="53" spans="1:11" ht="11.25" customHeight="1" x14ac:dyDescent="0.2">
      <c r="A53" s="751" t="s">
        <v>969</v>
      </c>
      <c r="B53" s="752" t="s">
        <v>1008</v>
      </c>
      <c r="C53" s="747"/>
      <c r="D53" s="738"/>
      <c r="E53" s="750" t="s">
        <v>518</v>
      </c>
      <c r="F53" s="2264"/>
      <c r="G53" s="2265"/>
      <c r="H53" s="737"/>
      <c r="I53" s="737"/>
      <c r="J53" s="747"/>
    </row>
    <row r="54" spans="1:11" ht="11.25" customHeight="1" x14ac:dyDescent="0.2">
      <c r="A54" s="753" t="s">
        <v>970</v>
      </c>
      <c r="B54" s="748" t="s">
        <v>1009</v>
      </c>
      <c r="C54" s="747"/>
      <c r="D54" s="738"/>
      <c r="E54" s="750" t="s">
        <v>519</v>
      </c>
      <c r="F54" s="2264"/>
      <c r="G54" s="226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headings="1" gridLinesSet="0"/>
  <pageMargins left="0.5" right="0.5" top="1.4" bottom="0.75" header="1" footer="0.5"/>
  <pageSetup scale="63" firstPageNumber="24" orientation="landscape" useFirstPageNumber="1" r:id="rId1"/>
  <headerFooter alignWithMargins="0">
    <oddHeader>&amp;L&amp;8Page &amp;P&amp;R&amp;8Page &amp;P</oddHeader>
    <oddFooter>&amp;L&amp;8Print Date: &amp;D 
&amp;F&amp;CReference should be made to accountant's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4" t="s">
        <v>911</v>
      </c>
      <c r="B1" s="2295"/>
      <c r="C1" s="2295"/>
      <c r="D1" s="2295"/>
      <c r="E1" s="2295"/>
      <c r="F1" s="2295"/>
      <c r="G1" s="2296"/>
      <c r="H1" s="1549"/>
      <c r="I1" s="761"/>
      <c r="J1" s="433"/>
    </row>
    <row r="2" spans="1:11" ht="26.25" x14ac:dyDescent="0.2">
      <c r="A2" s="2273" t="s">
        <v>1776</v>
      </c>
      <c r="B2" s="2274"/>
      <c r="C2" s="2274"/>
      <c r="D2" s="2274"/>
      <c r="E2" s="2275"/>
      <c r="F2" s="762" t="s">
        <v>960</v>
      </c>
      <c r="G2" s="763" t="s">
        <v>1773</v>
      </c>
      <c r="H2" s="763" t="s">
        <v>430</v>
      </c>
      <c r="I2" s="763" t="s">
        <v>1220</v>
      </c>
      <c r="J2" s="763" t="s">
        <v>1919</v>
      </c>
      <c r="K2" s="763" t="s">
        <v>140</v>
      </c>
    </row>
    <row r="3" spans="1:11" x14ac:dyDescent="0.2">
      <c r="A3" s="2276" t="s">
        <v>1698</v>
      </c>
      <c r="B3" s="2277"/>
      <c r="C3" s="2277"/>
      <c r="D3" s="2277"/>
      <c r="E3" s="2278"/>
      <c r="F3" s="764"/>
      <c r="G3" s="765"/>
      <c r="H3" s="765"/>
      <c r="I3" s="765"/>
      <c r="J3" s="766"/>
      <c r="K3" s="766"/>
    </row>
    <row r="4" spans="1:11" x14ac:dyDescent="0.2">
      <c r="A4" s="2279" t="s">
        <v>387</v>
      </c>
      <c r="B4" s="2280"/>
      <c r="C4" s="2280"/>
      <c r="D4" s="2280"/>
      <c r="E4" s="2261"/>
      <c r="F4" s="767"/>
      <c r="G4" s="768"/>
      <c r="H4" s="769"/>
      <c r="I4" s="768"/>
      <c r="J4" s="770"/>
      <c r="K4" s="770"/>
    </row>
    <row r="5" spans="1:11" x14ac:dyDescent="0.2">
      <c r="A5" s="2297" t="s">
        <v>1129</v>
      </c>
      <c r="B5" s="2270"/>
      <c r="C5" s="2270"/>
      <c r="D5" s="2270"/>
      <c r="E5" s="2298"/>
      <c r="F5" s="771" t="s">
        <v>903</v>
      </c>
      <c r="G5" s="772"/>
      <c r="H5" s="765">
        <f>15606+19137</f>
        <v>34743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7359</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8744</v>
      </c>
    </row>
    <row r="10" spans="1:11" x14ac:dyDescent="0.2">
      <c r="A10" s="2297" t="s">
        <v>1920</v>
      </c>
      <c r="B10" s="2270"/>
      <c r="C10" s="2270"/>
      <c r="D10" s="2270"/>
      <c r="E10" s="2299"/>
      <c r="F10" s="784" t="s">
        <v>917</v>
      </c>
      <c r="G10" s="783"/>
      <c r="H10" s="785"/>
      <c r="I10" s="765"/>
      <c r="J10" s="766"/>
      <c r="K10" s="766"/>
    </row>
    <row r="11" spans="1:11" x14ac:dyDescent="0.2">
      <c r="A11" s="2297" t="s">
        <v>162</v>
      </c>
      <c r="B11" s="2270"/>
      <c r="C11" s="2270"/>
      <c r="D11" s="2270"/>
      <c r="E11" s="2298"/>
      <c r="F11" s="771" t="s">
        <v>907</v>
      </c>
      <c r="G11" s="772"/>
      <c r="H11" s="765"/>
      <c r="I11" s="765"/>
      <c r="J11" s="766"/>
      <c r="K11" s="774"/>
    </row>
    <row r="12" spans="1:11" ht="13.5" thickBot="1" x14ac:dyDescent="0.25">
      <c r="A12" s="2287" t="s">
        <v>961</v>
      </c>
      <c r="B12" s="2288"/>
      <c r="C12" s="2288"/>
      <c r="D12" s="2288"/>
      <c r="E12" s="2289"/>
      <c r="F12" s="1776"/>
      <c r="G12" s="1777">
        <f>SUM(G5:G11)</f>
        <v>0</v>
      </c>
      <c r="H12" s="1777">
        <f>SUM(H5:H11)</f>
        <v>34743</v>
      </c>
      <c r="I12" s="1777">
        <f>SUM(I5:I11)</f>
        <v>0</v>
      </c>
      <c r="J12" s="1777">
        <f>SUM(J5:J11)</f>
        <v>0</v>
      </c>
      <c r="K12" s="1777">
        <f>SUM(K5:K11)</f>
        <v>16103</v>
      </c>
    </row>
    <row r="13" spans="1:11" ht="13.5" thickTop="1" x14ac:dyDescent="0.2">
      <c r="A13" s="2281" t="s">
        <v>388</v>
      </c>
      <c r="B13" s="2282"/>
      <c r="C13" s="2282"/>
      <c r="D13" s="2282"/>
      <c r="E13" s="2283"/>
      <c r="F13" s="786"/>
      <c r="G13" s="787"/>
      <c r="H13" s="788"/>
      <c r="I13" s="789"/>
      <c r="J13" s="789"/>
      <c r="K13" s="789"/>
    </row>
    <row r="14" spans="1:11" x14ac:dyDescent="0.2">
      <c r="A14" s="2303" t="s">
        <v>476</v>
      </c>
      <c r="B14" s="2303"/>
      <c r="C14" s="2303"/>
      <c r="D14" s="2303"/>
      <c r="E14" s="2304"/>
      <c r="F14" s="790" t="s">
        <v>909</v>
      </c>
      <c r="G14" s="783"/>
      <c r="H14" s="765">
        <v>34743</v>
      </c>
      <c r="I14" s="772"/>
      <c r="J14" s="774"/>
      <c r="K14" s="766">
        <v>16103</v>
      </c>
    </row>
    <row r="15" spans="1:11" x14ac:dyDescent="0.2">
      <c r="A15" s="2270" t="s">
        <v>4</v>
      </c>
      <c r="B15" s="2270"/>
      <c r="C15" s="2270"/>
      <c r="D15" s="2270"/>
      <c r="E15" s="2298"/>
      <c r="F15" s="790" t="s">
        <v>910</v>
      </c>
      <c r="G15" s="772"/>
      <c r="H15" s="765"/>
      <c r="I15" s="765"/>
      <c r="J15" s="766"/>
      <c r="K15" s="766"/>
    </row>
    <row r="16" spans="1:11" x14ac:dyDescent="0.2">
      <c r="A16" s="2270" t="s">
        <v>316</v>
      </c>
      <c r="B16" s="2270"/>
      <c r="C16" s="2270"/>
      <c r="D16" s="2270"/>
      <c r="E16" s="2298"/>
      <c r="F16" s="790" t="s">
        <v>980</v>
      </c>
      <c r="G16" s="773"/>
      <c r="H16" s="768"/>
      <c r="I16" s="768"/>
      <c r="J16" s="770"/>
      <c r="K16" s="770"/>
    </row>
    <row r="17" spans="1:11" x14ac:dyDescent="0.2">
      <c r="A17" s="2292" t="s">
        <v>992</v>
      </c>
      <c r="B17" s="2292"/>
      <c r="C17" s="2292"/>
      <c r="D17" s="2292"/>
      <c r="E17" s="2293"/>
      <c r="F17" s="791"/>
      <c r="G17" s="792"/>
      <c r="H17" s="793"/>
      <c r="I17" s="793"/>
      <c r="J17" s="794"/>
      <c r="K17" s="795"/>
    </row>
    <row r="18" spans="1:11" x14ac:dyDescent="0.2">
      <c r="A18" s="2284" t="s">
        <v>386</v>
      </c>
      <c r="B18" s="2285"/>
      <c r="C18" s="2285"/>
      <c r="D18" s="2285"/>
      <c r="E18" s="2286"/>
      <c r="F18" s="790" t="s">
        <v>989</v>
      </c>
      <c r="G18" s="783"/>
      <c r="H18" s="783"/>
      <c r="I18" s="783"/>
      <c r="J18" s="766"/>
      <c r="K18" s="796"/>
    </row>
    <row r="19" spans="1:11" ht="21.75" customHeight="1" x14ac:dyDescent="0.2">
      <c r="A19" s="2305" t="s">
        <v>1916</v>
      </c>
      <c r="B19" s="2305"/>
      <c r="C19" s="2305"/>
      <c r="D19" s="2305"/>
      <c r="E19" s="2306"/>
      <c r="F19" s="790" t="s">
        <v>990</v>
      </c>
      <c r="G19" s="783"/>
      <c r="H19" s="783"/>
      <c r="I19" s="783"/>
      <c r="J19" s="766"/>
      <c r="K19" s="796"/>
    </row>
    <row r="20" spans="1:11" x14ac:dyDescent="0.2">
      <c r="A20" s="2284" t="s">
        <v>1921</v>
      </c>
      <c r="B20" s="2285"/>
      <c r="C20" s="2285"/>
      <c r="D20" s="2285"/>
      <c r="E20" s="2286"/>
      <c r="F20" s="790" t="s">
        <v>991</v>
      </c>
      <c r="G20" s="783"/>
      <c r="H20" s="783"/>
      <c r="I20" s="783"/>
      <c r="J20" s="766"/>
      <c r="K20" s="796"/>
    </row>
    <row r="21" spans="1:11" ht="13.5" thickBot="1" x14ac:dyDescent="0.25">
      <c r="A21" s="2290" t="s">
        <v>659</v>
      </c>
      <c r="B21" s="2290"/>
      <c r="C21" s="2290"/>
      <c r="D21" s="2290"/>
      <c r="E21" s="2290"/>
      <c r="F21" s="1778"/>
      <c r="G21" s="793"/>
      <c r="H21" s="797"/>
      <c r="I21" s="797"/>
      <c r="J21" s="1779">
        <f>SUM(J18:J20)</f>
        <v>0</v>
      </c>
      <c r="K21" s="794"/>
    </row>
    <row r="22" spans="1:11" ht="13.5" thickTop="1" x14ac:dyDescent="0.2">
      <c r="A22" s="2270" t="s">
        <v>1922</v>
      </c>
      <c r="B22" s="2270"/>
      <c r="C22" s="2270"/>
      <c r="D22" s="2270"/>
      <c r="E22" s="2298"/>
      <c r="F22" s="790" t="s">
        <v>917</v>
      </c>
      <c r="G22" s="783"/>
      <c r="H22" s="765"/>
      <c r="I22" s="765"/>
      <c r="J22" s="798"/>
      <c r="K22" s="766"/>
    </row>
    <row r="23" spans="1:11" ht="13.5" thickBot="1" x14ac:dyDescent="0.25">
      <c r="A23" s="2291" t="s">
        <v>962</v>
      </c>
      <c r="B23" s="2290"/>
      <c r="C23" s="2290"/>
      <c r="D23" s="2290"/>
      <c r="E23" s="2290"/>
      <c r="F23" s="1780"/>
      <c r="G23" s="1777">
        <f>SUM(G14:G16,G21,G22)</f>
        <v>0</v>
      </c>
      <c r="H23" s="1777">
        <f>SUM(H14:H16,H21,H22)</f>
        <v>34743</v>
      </c>
      <c r="I23" s="1777">
        <f>SUM(I14:I16,I21,I22)</f>
        <v>0</v>
      </c>
      <c r="J23" s="1777">
        <f>SUM(J14:J16,J21,J22)</f>
        <v>0</v>
      </c>
      <c r="K23" s="1777">
        <f>SUM(K14:K16,K21,K22)</f>
        <v>16103</v>
      </c>
    </row>
    <row r="24" spans="1:11" ht="14.25" thickTop="1" thickBot="1" x14ac:dyDescent="0.25">
      <c r="A24" s="2291" t="s">
        <v>2024</v>
      </c>
      <c r="B24" s="2290"/>
      <c r="C24" s="2290"/>
      <c r="D24" s="2290"/>
      <c r="E24" s="2290"/>
      <c r="F24" s="1781"/>
      <c r="G24" s="1782">
        <f>SUM(G3,G12)-G23</f>
        <v>0</v>
      </c>
      <c r="H24" s="1782">
        <f>SUM(H3,H12)-H23</f>
        <v>0</v>
      </c>
      <c r="I24" s="1782">
        <f>SUM(I3,I12)-I23</f>
        <v>0</v>
      </c>
      <c r="J24" s="1782">
        <f>SUM(J3,J12)-J23</f>
        <v>0</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2034</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300"/>
      <c r="I31" s="2301"/>
      <c r="J31" s="2301"/>
      <c r="K31" s="2301"/>
    </row>
    <row r="32" spans="1:11" x14ac:dyDescent="0.2">
      <c r="A32" s="810"/>
      <c r="B32" s="237"/>
      <c r="C32" s="237"/>
      <c r="D32" s="237"/>
      <c r="E32" s="806"/>
      <c r="F32" s="812" t="s">
        <v>561</v>
      </c>
      <c r="G32" s="765"/>
      <c r="H32" s="2302"/>
      <c r="I32" s="2301"/>
      <c r="J32" s="2301"/>
      <c r="K32" s="2301"/>
    </row>
    <row r="33" spans="1:11" ht="1.5" customHeight="1" x14ac:dyDescent="0.2">
      <c r="A33" s="813" t="s">
        <v>1231</v>
      </c>
      <c r="B33" s="364"/>
      <c r="C33" s="364"/>
      <c r="D33" s="364"/>
      <c r="E33" s="364"/>
      <c r="F33" s="364"/>
      <c r="G33" s="814"/>
      <c r="H33" s="2302"/>
      <c r="I33" s="2301"/>
      <c r="J33" s="2301"/>
      <c r="K33" s="230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70" t="s">
        <v>562</v>
      </c>
      <c r="B41" s="2271"/>
      <c r="C41" s="2271"/>
      <c r="D41" s="2271"/>
      <c r="E41" s="2271"/>
      <c r="F41" s="227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0" t="s">
        <v>1917</v>
      </c>
      <c r="B46" s="408" t="s">
        <v>1774</v>
      </c>
    </row>
    <row r="47" spans="1:11" s="824" customFormat="1" ht="12.75" customHeight="1" x14ac:dyDescent="0.2">
      <c r="A47" s="822"/>
      <c r="B47" s="823" t="s">
        <v>1775</v>
      </c>
      <c r="E47" s="823"/>
      <c r="K47" s="825"/>
    </row>
    <row r="48" spans="1:11" ht="12.75" customHeight="1" x14ac:dyDescent="0.2">
      <c r="A48" s="1551"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orizontalCentered="1" headings="1"/>
  <pageMargins left="0.5" right="0.5" top="1.4" bottom="0.75" header="1" footer="0.5"/>
  <pageSetup scale="69"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accountant's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election activeCell="K14" sqref="K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9" t="s">
        <v>2033</v>
      </c>
      <c r="B1" s="2310"/>
      <c r="C1" s="2311"/>
      <c r="D1" s="827"/>
      <c r="E1" s="828"/>
      <c r="F1" s="828"/>
      <c r="G1" s="829"/>
      <c r="H1" s="830"/>
      <c r="I1" s="831"/>
      <c r="J1" s="2307"/>
      <c r="K1" s="2308"/>
      <c r="L1" s="2308"/>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48" t="s">
        <v>948</v>
      </c>
      <c r="B3" s="1649">
        <v>210</v>
      </c>
      <c r="C3" s="836"/>
      <c r="D3" s="836"/>
      <c r="E3" s="836"/>
      <c r="F3" s="1779">
        <f>(C3+D3)-E3</f>
        <v>0</v>
      </c>
      <c r="G3" s="837"/>
      <c r="H3" s="836"/>
      <c r="I3" s="836"/>
      <c r="J3" s="836"/>
      <c r="K3" s="1788">
        <f>(H3+I3)-J3</f>
        <v>0</v>
      </c>
      <c r="L3" s="1788">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949</v>
      </c>
      <c r="B5" s="841">
        <v>221</v>
      </c>
      <c r="C5" s="842">
        <v>38176</v>
      </c>
      <c r="D5" s="842"/>
      <c r="E5" s="842"/>
      <c r="F5" s="1779">
        <f>(C5+D5)-E5</f>
        <v>38176</v>
      </c>
      <c r="G5" s="838"/>
      <c r="H5" s="843"/>
      <c r="I5" s="843"/>
      <c r="J5" s="843"/>
      <c r="K5" s="794"/>
      <c r="L5" s="1788">
        <f>F5-K5</f>
        <v>38176</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1180</v>
      </c>
      <c r="B8" s="841">
        <v>231</v>
      </c>
      <c r="C8" s="845">
        <v>9654453</v>
      </c>
      <c r="D8" s="845"/>
      <c r="E8" s="845">
        <v>1</v>
      </c>
      <c r="F8" s="1779">
        <f>(C8+D8)-E8</f>
        <v>9654452</v>
      </c>
      <c r="G8" s="844">
        <v>50</v>
      </c>
      <c r="H8" s="766">
        <v>3466135</v>
      </c>
      <c r="I8" s="766">
        <v>164843</v>
      </c>
      <c r="J8" s="766"/>
      <c r="K8" s="1788">
        <f>(H8+I8)-J8</f>
        <v>3630978</v>
      </c>
      <c r="L8" s="1788">
        <f>F8-K8</f>
        <v>6023474</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v>60781</v>
      </c>
      <c r="D10" s="847"/>
      <c r="E10" s="847"/>
      <c r="F10" s="1783">
        <f>(C10+D10)-E10</f>
        <v>60781</v>
      </c>
      <c r="G10" s="844">
        <v>20</v>
      </c>
      <c r="H10" s="848">
        <v>50923</v>
      </c>
      <c r="I10" s="848">
        <v>2873</v>
      </c>
      <c r="J10" s="848"/>
      <c r="K10" s="1788">
        <f>(H10+I10)-J10</f>
        <v>53796</v>
      </c>
      <c r="L10" s="1788">
        <f>F10-K10</f>
        <v>6985</v>
      </c>
    </row>
    <row r="11" spans="1:14" ht="13.5" thickTop="1" x14ac:dyDescent="0.2">
      <c r="A11" s="1651" t="s">
        <v>1198</v>
      </c>
      <c r="B11" s="1649">
        <v>250</v>
      </c>
      <c r="C11" s="782"/>
      <c r="D11" s="782"/>
      <c r="E11" s="782"/>
      <c r="F11" s="774"/>
      <c r="G11" s="844"/>
      <c r="H11" s="782"/>
      <c r="I11" s="782"/>
      <c r="J11" s="782"/>
      <c r="K11" s="774"/>
      <c r="L11" s="774"/>
    </row>
    <row r="12" spans="1:14" ht="13.5" thickBot="1" x14ac:dyDescent="0.25">
      <c r="A12" s="849" t="s">
        <v>1183</v>
      </c>
      <c r="B12" s="841">
        <v>251</v>
      </c>
      <c r="C12" s="845">
        <v>634674</v>
      </c>
      <c r="D12" s="845">
        <v>21512</v>
      </c>
      <c r="E12" s="845">
        <v>1</v>
      </c>
      <c r="F12" s="1779">
        <f>(C12+D12)-E12</f>
        <v>656185</v>
      </c>
      <c r="G12" s="844">
        <v>10</v>
      </c>
      <c r="H12" s="766">
        <v>446333</v>
      </c>
      <c r="I12" s="766">
        <f>51817-2000+1068+2</f>
        <v>50887</v>
      </c>
      <c r="J12" s="766"/>
      <c r="K12" s="1788">
        <f>(H12+I12)-J12</f>
        <v>497220</v>
      </c>
      <c r="L12" s="1788">
        <f>F12-K12</f>
        <v>158965</v>
      </c>
    </row>
    <row r="13" spans="1:14" ht="14.25" thickTop="1" thickBot="1" x14ac:dyDescent="0.25">
      <c r="A13" s="849" t="s">
        <v>1184</v>
      </c>
      <c r="B13" s="841">
        <v>252</v>
      </c>
      <c r="C13" s="845">
        <v>232978</v>
      </c>
      <c r="D13" s="845">
        <v>20000</v>
      </c>
      <c r="E13" s="845">
        <v>70181</v>
      </c>
      <c r="F13" s="1779">
        <f>(C13+D13)-E13</f>
        <v>182797</v>
      </c>
      <c r="G13" s="844">
        <v>5</v>
      </c>
      <c r="H13" s="766">
        <v>228208</v>
      </c>
      <c r="I13" s="766">
        <v>5180</v>
      </c>
      <c r="J13" s="766">
        <v>70181</v>
      </c>
      <c r="K13" s="1788">
        <f>(H13+I13)-J13</f>
        <v>163207</v>
      </c>
      <c r="L13" s="1788">
        <f>F13-K13</f>
        <v>19590</v>
      </c>
    </row>
    <row r="14" spans="1:14" ht="14.25" thickTop="1" thickBot="1" x14ac:dyDescent="0.25">
      <c r="A14" s="849" t="s">
        <v>1185</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0" t="s">
        <v>549</v>
      </c>
      <c r="B15" s="1649">
        <v>260</v>
      </c>
      <c r="C15" s="845"/>
      <c r="D15" s="845">
        <v>25000</v>
      </c>
      <c r="E15" s="845"/>
      <c r="F15" s="1779">
        <f>(C15+D15)-E15</f>
        <v>25000</v>
      </c>
      <c r="G15" s="850" t="s">
        <v>917</v>
      </c>
      <c r="H15" s="782"/>
      <c r="I15" s="782"/>
      <c r="J15" s="782"/>
      <c r="K15" s="782"/>
      <c r="L15" s="1788">
        <f>F15-K15</f>
        <v>25000</v>
      </c>
    </row>
    <row r="16" spans="1:14" ht="15" customHeight="1" thickTop="1" thickBot="1" x14ac:dyDescent="0.25">
      <c r="A16" s="1784" t="s">
        <v>664</v>
      </c>
      <c r="B16" s="1785">
        <v>200</v>
      </c>
      <c r="C16" s="1779">
        <f>SUM(C3,C5:C6,C8:C10,C12:C15)</f>
        <v>10621062</v>
      </c>
      <c r="D16" s="1779">
        <f>SUM(D3,D5:D6,D8:D10,D12:D15)</f>
        <v>66512</v>
      </c>
      <c r="E16" s="1779">
        <f>SUM(E3,E5:E6,E8:E10,E12:E15)</f>
        <v>70183</v>
      </c>
      <c r="F16" s="1779">
        <f>SUM(F3,F5:F6,F8:F10,F12:F15)</f>
        <v>10617391</v>
      </c>
      <c r="G16" s="844"/>
      <c r="H16" s="1779">
        <f>SUM(H3,H6,H8:H10,H12:H14,)</f>
        <v>4191599</v>
      </c>
      <c r="I16" s="1779">
        <f>SUM(I3,I6,I8:I10,I12:I14,)</f>
        <v>223783</v>
      </c>
      <c r="J16" s="1779">
        <f>SUM(J3,J6,J8:J10,J12:J14,)</f>
        <v>70181</v>
      </c>
      <c r="K16" s="1779">
        <f>(H16+I16)-J16</f>
        <v>4345201</v>
      </c>
      <c r="L16" s="1779">
        <f>F16-K16</f>
        <v>6272190</v>
      </c>
    </row>
    <row r="17" spans="1:12" ht="15" customHeight="1" thickTop="1" thickBot="1" x14ac:dyDescent="0.25">
      <c r="A17" s="1652" t="s">
        <v>309</v>
      </c>
      <c r="B17" s="1649">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706</v>
      </c>
      <c r="B18" s="1787"/>
      <c r="C18" s="772"/>
      <c r="D18" s="772"/>
      <c r="E18" s="772"/>
      <c r="F18" s="851"/>
      <c r="G18" s="852"/>
      <c r="H18" s="774"/>
      <c r="I18" s="1779">
        <f>SUM(I16,I17)</f>
        <v>223783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orizontalCentered="1" headings="1"/>
  <pageMargins left="0.5" right="0.5" top="1.4" bottom="0.75" header="1" footer="0.5"/>
  <pageSetup scale="76" firstPageNumber="26" orientation="landscape" useFirstPageNumber="1" r:id="rId1"/>
  <headerFooter alignWithMargins="0">
    <oddHeader>&amp;L&amp;8Page &amp;P&amp;C &amp;R&amp;8Page &amp;P</oddHeader>
    <oddFooter>&amp;L&amp;8Print Date: &amp;D
&amp;F&amp;CReference should be made to accountant's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19" activePane="bottomLeft" state="frozen"/>
      <selection activeCell="A47" sqref="A47"/>
      <selection pane="bottomLeft" activeCell="B166" sqref="B16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15" t="s">
        <v>1699</v>
      </c>
      <c r="B1" s="2316"/>
      <c r="C1" s="2316"/>
      <c r="D1" s="2316"/>
      <c r="E1" s="2316"/>
      <c r="F1" s="2317"/>
      <c r="G1" s="856"/>
    </row>
    <row r="2" spans="1:7" ht="15" customHeight="1" thickBot="1" x14ac:dyDescent="0.25">
      <c r="A2" s="2318" t="s">
        <v>498</v>
      </c>
      <c r="B2" s="2319"/>
      <c r="C2" s="2319"/>
      <c r="D2" s="2319"/>
      <c r="E2" s="2319"/>
      <c r="F2" s="232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21"/>
      <c r="B5" s="2322"/>
      <c r="C5" s="2322"/>
      <c r="D5" s="2322"/>
      <c r="E5" s="2322"/>
      <c r="F5" s="2322"/>
    </row>
    <row r="6" spans="1:7" ht="13.5" customHeight="1" thickBot="1" x14ac:dyDescent="0.25">
      <c r="A6" s="2312" t="s">
        <v>1166</v>
      </c>
      <c r="B6" s="2313"/>
      <c r="C6" s="2313"/>
      <c r="D6" s="2313"/>
      <c r="E6" s="2313"/>
      <c r="F6" s="231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4011138</v>
      </c>
      <c r="G8" s="866"/>
    </row>
    <row r="9" spans="1:7" x14ac:dyDescent="0.2">
      <c r="A9" s="870" t="s">
        <v>480</v>
      </c>
      <c r="B9" s="871" t="s">
        <v>1988</v>
      </c>
      <c r="C9" s="872"/>
      <c r="D9" s="870" t="s">
        <v>522</v>
      </c>
      <c r="E9" s="869"/>
      <c r="F9" s="1932">
        <f>'Expenditures 15-22'!K151</f>
        <v>465576</v>
      </c>
      <c r="G9" s="873"/>
    </row>
    <row r="10" spans="1:7" x14ac:dyDescent="0.2">
      <c r="A10" s="870" t="s">
        <v>520</v>
      </c>
      <c r="B10" s="871" t="s">
        <v>1989</v>
      </c>
      <c r="C10" s="872"/>
      <c r="D10" s="870" t="s">
        <v>522</v>
      </c>
      <c r="E10" s="869"/>
      <c r="F10" s="1932">
        <f>'Expenditures 15-22'!K174</f>
        <v>618162</v>
      </c>
      <c r="G10" s="873"/>
    </row>
    <row r="11" spans="1:7" x14ac:dyDescent="0.2">
      <c r="A11" s="870" t="s">
        <v>481</v>
      </c>
      <c r="B11" s="871" t="s">
        <v>1990</v>
      </c>
      <c r="C11" s="872"/>
      <c r="D11" s="870" t="s">
        <v>522</v>
      </c>
      <c r="E11" s="869"/>
      <c r="F11" s="1932">
        <f>'Expenditures 15-22'!K210</f>
        <v>399197</v>
      </c>
      <c r="G11" s="873"/>
    </row>
    <row r="12" spans="1:7" x14ac:dyDescent="0.2">
      <c r="A12" s="870" t="s">
        <v>482</v>
      </c>
      <c r="B12" s="871" t="s">
        <v>1991</v>
      </c>
      <c r="C12" s="872"/>
      <c r="D12" s="870" t="s">
        <v>522</v>
      </c>
      <c r="E12" s="869"/>
      <c r="F12" s="1932">
        <f>'Expenditures 15-22'!K295</f>
        <v>168140</v>
      </c>
      <c r="G12" s="873"/>
    </row>
    <row r="13" spans="1:7" x14ac:dyDescent="0.2">
      <c r="A13" s="870" t="s">
        <v>108</v>
      </c>
      <c r="B13" s="871" t="s">
        <v>1992</v>
      </c>
      <c r="C13" s="872"/>
      <c r="D13" s="870" t="s">
        <v>522</v>
      </c>
      <c r="E13" s="869"/>
      <c r="F13" s="1932">
        <f>'Expenditures 15-22'!K342</f>
        <v>81008</v>
      </c>
      <c r="G13" s="874"/>
    </row>
    <row r="14" spans="1:7" ht="12" customHeight="1" thickBot="1" x14ac:dyDescent="0.25">
      <c r="A14" s="1789"/>
      <c r="B14" s="1790"/>
      <c r="C14" s="1791"/>
      <c r="D14" s="1792" t="s">
        <v>522</v>
      </c>
      <c r="E14" s="1793" t="s">
        <v>1015</v>
      </c>
      <c r="F14" s="1794">
        <f>SUM(F8:F13)</f>
        <v>5743221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127744</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6">
        <f>'Expenditures 15-22'!K102</f>
        <v>236787</v>
      </c>
      <c r="G53" s="866"/>
    </row>
    <row r="54" spans="1:7" x14ac:dyDescent="0.2">
      <c r="A54" s="870" t="s">
        <v>479</v>
      </c>
      <c r="B54" s="870" t="s">
        <v>1552</v>
      </c>
      <c r="C54" s="890" t="s">
        <v>1039</v>
      </c>
      <c r="D54" s="886" t="s">
        <v>1157</v>
      </c>
      <c r="E54" s="869"/>
      <c r="F54" s="1936">
        <f>'Expenditures 15-22'!G114</f>
        <v>41512</v>
      </c>
      <c r="G54" s="866"/>
    </row>
    <row r="55" spans="1:7" x14ac:dyDescent="0.2">
      <c r="A55" s="870" t="s">
        <v>479</v>
      </c>
      <c r="B55" s="870" t="s">
        <v>1553</v>
      </c>
      <c r="C55" s="890" t="s">
        <v>1039</v>
      </c>
      <c r="D55" s="886" t="s">
        <v>309</v>
      </c>
      <c r="E55" s="869"/>
      <c r="F55" s="1936">
        <f>'Expenditures 15-22'!I114</f>
        <v>0</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6">
        <f>'Expenditures 15-22'!K139</f>
        <v>0</v>
      </c>
      <c r="G57" s="866"/>
    </row>
    <row r="58" spans="1:7" x14ac:dyDescent="0.2">
      <c r="A58" s="870" t="s">
        <v>480</v>
      </c>
      <c r="B58" s="870" t="s">
        <v>1994</v>
      </c>
      <c r="C58" s="887" t="s">
        <v>1039</v>
      </c>
      <c r="D58" s="886" t="s">
        <v>1157</v>
      </c>
      <c r="E58" s="869"/>
      <c r="F58" s="1938">
        <f>'Expenditures 15-22'!G151</f>
        <v>25000</v>
      </c>
      <c r="G58" s="866"/>
    </row>
    <row r="59" spans="1:7" x14ac:dyDescent="0.2">
      <c r="A59" s="894" t="s">
        <v>480</v>
      </c>
      <c r="B59" s="857" t="s">
        <v>1995</v>
      </c>
      <c r="C59" s="895" t="s">
        <v>1039</v>
      </c>
      <c r="D59" s="857" t="s">
        <v>309</v>
      </c>
      <c r="F59" s="1939">
        <f>'Expenditures 15-22'!I151</f>
        <v>0</v>
      </c>
      <c r="G59" s="866"/>
    </row>
    <row r="60" spans="1:7" x14ac:dyDescent="0.2">
      <c r="A60" s="894" t="s">
        <v>520</v>
      </c>
      <c r="B60" s="857" t="s">
        <v>1996</v>
      </c>
      <c r="C60" s="895">
        <v>4000</v>
      </c>
      <c r="D60" s="857" t="s">
        <v>330</v>
      </c>
      <c r="F60" s="1937">
        <f>'Expenditures 15-22'!K160</f>
        <v>0</v>
      </c>
      <c r="G60" s="866"/>
    </row>
    <row r="61" spans="1:7" x14ac:dyDescent="0.2">
      <c r="A61" s="896" t="s">
        <v>520</v>
      </c>
      <c r="B61" s="896" t="s">
        <v>1997</v>
      </c>
      <c r="C61" s="897" t="str">
        <f>'Expenditures 15-22'!B170</f>
        <v>5300</v>
      </c>
      <c r="D61" s="898" t="s">
        <v>329</v>
      </c>
      <c r="E61" s="880"/>
      <c r="F61" s="1936">
        <f>'Expenditures 15-22'!K170</f>
        <v>430000</v>
      </c>
      <c r="G61" s="866"/>
    </row>
    <row r="62" spans="1:7" x14ac:dyDescent="0.2">
      <c r="A62" s="870" t="s">
        <v>481</v>
      </c>
      <c r="B62" s="870" t="s">
        <v>1998</v>
      </c>
      <c r="C62" s="887">
        <f>'Expenditures 15-22'!B185</f>
        <v>3000</v>
      </c>
      <c r="D62" s="877" t="s">
        <v>469</v>
      </c>
      <c r="E62" s="869"/>
      <c r="F62" s="1936">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6">
        <f>'Expenditures 15-22'!K196</f>
        <v>0</v>
      </c>
      <c r="G63" s="866"/>
    </row>
    <row r="64" spans="1:7" x14ac:dyDescent="0.2">
      <c r="A64" s="896" t="s">
        <v>481</v>
      </c>
      <c r="B64" s="896" t="s">
        <v>2000</v>
      </c>
      <c r="C64" s="897" t="str">
        <f>'Expenditures 15-22'!B206</f>
        <v>5300</v>
      </c>
      <c r="D64" s="893" t="s">
        <v>329</v>
      </c>
      <c r="E64" s="869"/>
      <c r="F64" s="1936">
        <f>'Expenditures 15-22'!K206</f>
        <v>0</v>
      </c>
      <c r="G64" s="866"/>
    </row>
    <row r="65" spans="1:8" x14ac:dyDescent="0.2">
      <c r="A65" s="870" t="s">
        <v>481</v>
      </c>
      <c r="B65" s="870" t="s">
        <v>2001</v>
      </c>
      <c r="C65" s="887" t="s">
        <v>1039</v>
      </c>
      <c r="D65" s="886" t="s">
        <v>1157</v>
      </c>
      <c r="E65" s="869"/>
      <c r="F65" s="1936">
        <f>'Expenditures 15-22'!G210</f>
        <v>0</v>
      </c>
      <c r="G65" s="866"/>
    </row>
    <row r="66" spans="1:8" x14ac:dyDescent="0.2">
      <c r="A66" s="870" t="s">
        <v>481</v>
      </c>
      <c r="B66" s="870" t="s">
        <v>2002</v>
      </c>
      <c r="C66" s="887" t="s">
        <v>1039</v>
      </c>
      <c r="D66" s="886" t="s">
        <v>309</v>
      </c>
      <c r="E66" s="869"/>
      <c r="F66" s="1936">
        <f>'Expenditures 15-22'!I210</f>
        <v>0</v>
      </c>
      <c r="G66" s="866"/>
    </row>
    <row r="67" spans="1:8" x14ac:dyDescent="0.2">
      <c r="A67" s="870" t="s">
        <v>482</v>
      </c>
      <c r="B67" s="870" t="s">
        <v>2003</v>
      </c>
      <c r="C67" s="887" t="str">
        <f>'Expenditures 15-22'!B216</f>
        <v>1125</v>
      </c>
      <c r="D67" s="893" t="str">
        <f>'Expenditures 15-22'!A216</f>
        <v>Pre-K Programs</v>
      </c>
      <c r="E67" s="869"/>
      <c r="F67" s="1936">
        <f>'Expenditures 15-22'!K216</f>
        <v>7938</v>
      </c>
      <c r="G67" s="866"/>
    </row>
    <row r="68" spans="1:8" x14ac:dyDescent="0.2">
      <c r="A68" s="870" t="s">
        <v>482</v>
      </c>
      <c r="B68" s="870" t="s">
        <v>1555</v>
      </c>
      <c r="C68" s="887" t="str">
        <f>'Expenditures 15-22'!B218</f>
        <v>1225</v>
      </c>
      <c r="D68" s="893" t="str">
        <f>'Expenditures 15-22'!A218</f>
        <v>Special Education Programs - Pre-K</v>
      </c>
      <c r="E68" s="869"/>
      <c r="F68" s="1936">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2005</v>
      </c>
      <c r="C70" s="887">
        <f>'Expenditures 15-22'!B221</f>
        <v>1300</v>
      </c>
      <c r="D70" s="888" t="str">
        <f>'Expenditures 15-22'!A221</f>
        <v>Adult/Continuing Education Programs</v>
      </c>
      <c r="E70" s="869"/>
      <c r="F70" s="1936">
        <f>'Expenditures 15-22'!K221</f>
        <v>0</v>
      </c>
      <c r="G70" s="866"/>
    </row>
    <row r="71" spans="1:8" x14ac:dyDescent="0.2">
      <c r="A71" s="870" t="s">
        <v>482</v>
      </c>
      <c r="B71" s="870" t="s">
        <v>2006</v>
      </c>
      <c r="C71" s="887">
        <f>'Expenditures 15-22'!B224</f>
        <v>1600</v>
      </c>
      <c r="D71" s="888" t="str">
        <f>'Expenditures 15-22'!A224</f>
        <v>Summer School Programs</v>
      </c>
      <c r="E71" s="869"/>
      <c r="F71" s="1936">
        <f>'Expenditures 15-22'!K224</f>
        <v>0</v>
      </c>
      <c r="G71" s="866"/>
    </row>
    <row r="72" spans="1:8" x14ac:dyDescent="0.2">
      <c r="A72" s="870" t="s">
        <v>482</v>
      </c>
      <c r="B72" s="870" t="s">
        <v>2007</v>
      </c>
      <c r="C72" s="887">
        <f>'Expenditures 15-22'!B280</f>
        <v>3000</v>
      </c>
      <c r="D72" s="877" t="s">
        <v>469</v>
      </c>
      <c r="E72" s="869"/>
      <c r="F72" s="1936">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6">
        <f>'Expenditures 15-22'!K285</f>
        <v>0</v>
      </c>
      <c r="G73" s="866"/>
    </row>
    <row r="74" spans="1:8" x14ac:dyDescent="0.2">
      <c r="A74" s="870" t="s">
        <v>456</v>
      </c>
      <c r="B74" s="870" t="s">
        <v>2009</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2010</v>
      </c>
      <c r="E76" s="1793" t="s">
        <v>1015</v>
      </c>
      <c r="F76" s="1797">
        <f>SUM(F18:F74)</f>
        <v>868981</v>
      </c>
      <c r="G76" s="866"/>
    </row>
    <row r="77" spans="1:8" s="894" customFormat="1" ht="12" customHeight="1" thickTop="1" thickBot="1" x14ac:dyDescent="0.25">
      <c r="A77" s="1798"/>
      <c r="B77" s="1795"/>
      <c r="C77" s="1791"/>
      <c r="D77" s="1796" t="s">
        <v>2011</v>
      </c>
      <c r="E77" s="1793"/>
      <c r="F77" s="1799">
        <f>(F14-F76)</f>
        <v>4874240</v>
      </c>
      <c r="G77" s="870"/>
    </row>
    <row r="78" spans="1:8" s="894" customFormat="1" ht="12" customHeight="1" thickTop="1" x14ac:dyDescent="0.2">
      <c r="A78" s="1800"/>
      <c r="B78" s="1795"/>
      <c r="C78" s="1791"/>
      <c r="D78" s="1796" t="s">
        <v>2057</v>
      </c>
      <c r="E78" s="1793"/>
      <c r="F78" s="899">
        <v>483.31</v>
      </c>
      <c r="G78" s="900"/>
      <c r="H78" s="870"/>
    </row>
    <row r="79" spans="1:8" s="894" customFormat="1" ht="12" customHeight="1" thickBot="1" x14ac:dyDescent="0.25">
      <c r="A79" s="1801"/>
      <c r="B79" s="1795"/>
      <c r="C79" s="1791"/>
      <c r="D79" s="1796" t="s">
        <v>2012</v>
      </c>
      <c r="E79" s="1793" t="s">
        <v>1015</v>
      </c>
      <c r="F79" s="1802">
        <f>IF(F78&gt;0,F77/F78," Complete Line 78")</f>
        <v>10085.121350685895</v>
      </c>
      <c r="G79" s="870"/>
    </row>
    <row r="80" spans="1:8" s="894" customFormat="1" ht="8.25" customHeight="1" thickTop="1" x14ac:dyDescent="0.2">
      <c r="A80" s="901"/>
      <c r="B80" s="870"/>
      <c r="C80" s="872"/>
      <c r="D80" s="902"/>
      <c r="E80" s="869"/>
      <c r="F80" s="903"/>
      <c r="G80" s="870"/>
    </row>
    <row r="81" spans="1:7" s="894" customFormat="1" ht="12" thickBot="1" x14ac:dyDescent="0.25">
      <c r="A81" s="2312" t="s">
        <v>1167</v>
      </c>
      <c r="B81" s="2313"/>
      <c r="C81" s="2313"/>
      <c r="D81" s="2313"/>
      <c r="E81" s="2313"/>
      <c r="F81" s="231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58345</v>
      </c>
      <c r="G94" s="913"/>
    </row>
    <row r="95" spans="1:7" x14ac:dyDescent="0.2">
      <c r="A95" s="909" t="s">
        <v>142</v>
      </c>
      <c r="B95" s="909" t="s">
        <v>177</v>
      </c>
      <c r="C95" s="911">
        <v>1700</v>
      </c>
      <c r="D95" s="919" t="str">
        <f>'Revenues 9-14'!A82</f>
        <v>Total District/School Activity Income</v>
      </c>
      <c r="E95" s="907"/>
      <c r="F95" s="1808">
        <f>SUM('Revenues 9-14'!C82,'Revenues 9-14'!D82)</f>
        <v>55492</v>
      </c>
      <c r="G95" s="913"/>
    </row>
    <row r="96" spans="1:7" x14ac:dyDescent="0.2">
      <c r="A96" s="909" t="s">
        <v>479</v>
      </c>
      <c r="B96" s="909" t="s">
        <v>178</v>
      </c>
      <c r="C96" s="911">
        <f>'Revenues 9-14'!B84</f>
        <v>1811</v>
      </c>
      <c r="D96" s="912" t="str">
        <f>'Revenues 9-14'!A84</f>
        <v>Rentals - Regular Textbooks</v>
      </c>
      <c r="E96" s="907"/>
      <c r="F96" s="1808">
        <f>'Revenues 9-14'!C84</f>
        <v>49626</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0</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4168</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115640</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4380</v>
      </c>
      <c r="G106" s="913"/>
    </row>
    <row r="107" spans="1:7" x14ac:dyDescent="0.2">
      <c r="A107" s="922" t="s">
        <v>685</v>
      </c>
      <c r="B107" s="909" t="s">
        <v>843</v>
      </c>
      <c r="C107" s="921">
        <v>3300</v>
      </c>
      <c r="D107" s="912" t="str">
        <f>'Revenues 9-14'!A144</f>
        <v>Total Bilingual Ed</v>
      </c>
      <c r="E107" s="907"/>
      <c r="F107" s="1808">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8">
        <f>'Revenues 9-14'!C145</f>
        <v>1414</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8744</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195117</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40196</v>
      </c>
      <c r="G128" s="931"/>
    </row>
    <row r="129" spans="1:7" x14ac:dyDescent="0.2">
      <c r="A129" s="928" t="s">
        <v>685</v>
      </c>
      <c r="B129" s="928" t="s">
        <v>803</v>
      </c>
      <c r="C129" s="933">
        <v>4200</v>
      </c>
      <c r="D129" s="930" t="str">
        <f>'Revenues 9-14'!A201</f>
        <v>Total Food Service</v>
      </c>
      <c r="E129" s="907"/>
      <c r="F129" s="1808">
        <f>SUM('Revenues 9-14'!C201,'Revenues 9-14'!G201)</f>
        <v>91936</v>
      </c>
      <c r="G129" s="931"/>
    </row>
    <row r="130" spans="1:7" x14ac:dyDescent="0.2">
      <c r="A130" s="928" t="s">
        <v>689</v>
      </c>
      <c r="B130" s="928" t="s">
        <v>804</v>
      </c>
      <c r="C130" s="933">
        <v>4300</v>
      </c>
      <c r="D130" s="934" t="str">
        <f>'Revenues 9-14'!A211</f>
        <v>Total Title I</v>
      </c>
      <c r="E130" s="907"/>
      <c r="F130" s="1808">
        <f>SUM('Revenues 9-14'!C211,'Revenues 9-14'!D211,'Revenues 9-14'!F211,'Revenues 9-14'!G211)</f>
        <v>19407</v>
      </c>
      <c r="G130" s="931"/>
    </row>
    <row r="131" spans="1:7" x14ac:dyDescent="0.2">
      <c r="A131" s="928" t="s">
        <v>689</v>
      </c>
      <c r="B131" s="928" t="s">
        <v>805</v>
      </c>
      <c r="C131" s="933">
        <v>4400</v>
      </c>
      <c r="D131" s="934" t="str">
        <f>'Revenues 9-14'!A216</f>
        <v>Total Title IV</v>
      </c>
      <c r="E131" s="907"/>
      <c r="F131" s="1808">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92159</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219</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11065</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4624</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59731</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0</v>
      </c>
      <c r="G174" s="928"/>
    </row>
    <row r="175" spans="1:7" x14ac:dyDescent="0.2">
      <c r="A175" s="1941" t="s">
        <v>5</v>
      </c>
      <c r="B175" s="1942" t="s">
        <v>2056</v>
      </c>
      <c r="C175" s="1943">
        <v>3100</v>
      </c>
      <c r="D175" s="1944" t="s">
        <v>2059</v>
      </c>
      <c r="E175" s="907"/>
      <c r="F175" s="1928"/>
      <c r="G175" s="928"/>
    </row>
    <row r="176" spans="1:7" x14ac:dyDescent="0.2">
      <c r="A176" s="1941" t="s">
        <v>685</v>
      </c>
      <c r="B176" s="1942" t="s">
        <v>2056</v>
      </c>
      <c r="C176" s="1943">
        <v>3300</v>
      </c>
      <c r="D176" s="1944" t="s">
        <v>2060</v>
      </c>
      <c r="E176" s="907"/>
      <c r="F176" s="1928"/>
      <c r="G176" s="928"/>
    </row>
    <row r="177" spans="1:7" ht="6" customHeight="1" x14ac:dyDescent="0.2">
      <c r="A177" s="928"/>
      <c r="B177" s="928"/>
      <c r="C177" s="950"/>
      <c r="D177" s="928"/>
      <c r="E177" s="907"/>
      <c r="F177" s="951"/>
      <c r="G177" s="948"/>
    </row>
    <row r="178" spans="1:7" x14ac:dyDescent="0.2">
      <c r="A178" s="1789"/>
      <c r="B178" s="1803"/>
      <c r="C178" s="1804"/>
      <c r="D178" s="1805" t="s">
        <v>2013</v>
      </c>
      <c r="E178" s="1806" t="s">
        <v>1015</v>
      </c>
      <c r="F178" s="1807">
        <f>SUM(F84:F136,F161:F176)</f>
        <v>812263</v>
      </c>
    </row>
    <row r="179" spans="1:7" ht="12" customHeight="1" x14ac:dyDescent="0.2">
      <c r="A179" s="1789"/>
      <c r="B179" s="1803"/>
      <c r="C179" s="1804"/>
      <c r="D179" s="1805" t="s">
        <v>2014</v>
      </c>
      <c r="E179" s="1806"/>
      <c r="F179" s="1808">
        <f>'PCTC-OEPP 27-28'!F77-F178</f>
        <v>4061977</v>
      </c>
    </row>
    <row r="180" spans="1:7" ht="12" customHeight="1" x14ac:dyDescent="0.2">
      <c r="A180" s="1789"/>
      <c r="B180" s="1803"/>
      <c r="C180" s="1804"/>
      <c r="D180" s="1805" t="s">
        <v>1924</v>
      </c>
      <c r="E180" s="1806"/>
      <c r="F180" s="1808">
        <f>'Cap Outlay Deprec 26'!I18</f>
        <v>223783</v>
      </c>
    </row>
    <row r="181" spans="1:7" ht="12" customHeight="1" x14ac:dyDescent="0.2">
      <c r="A181" s="1789"/>
      <c r="B181" s="1803"/>
      <c r="C181" s="1804"/>
      <c r="D181" s="1805" t="s">
        <v>2015</v>
      </c>
      <c r="E181" s="1806"/>
      <c r="F181" s="1808">
        <f>F179+F180</f>
        <v>4285760</v>
      </c>
    </row>
    <row r="182" spans="1:7" ht="12" customHeight="1" x14ac:dyDescent="0.2">
      <c r="A182" s="1789"/>
      <c r="B182" s="1809"/>
      <c r="C182" s="1804"/>
      <c r="D182" s="1805" t="str">
        <f>D78</f>
        <v>9 Month ADA from District Average Daily Attendance/Prior General State Aid Inquiry 2017-2018</v>
      </c>
      <c r="E182" s="1806"/>
      <c r="F182" s="1810">
        <f>'PCTC-OEPP 27-28'!F78</f>
        <v>483.31</v>
      </c>
      <c r="G182" s="931"/>
    </row>
    <row r="183" spans="1:7" ht="12" customHeight="1" thickBot="1" x14ac:dyDescent="0.25">
      <c r="A183" s="1789"/>
      <c r="B183" s="1809"/>
      <c r="C183" s="1804"/>
      <c r="D183" s="1805" t="s">
        <v>2016</v>
      </c>
      <c r="E183" s="1806" t="s">
        <v>1626</v>
      </c>
      <c r="F183" s="1811">
        <f>F181/F182</f>
        <v>8867.517742235832</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5" customFormat="1" ht="12.2" customHeight="1" x14ac:dyDescent="0.2">
      <c r="A186" s="1945" t="s">
        <v>2063</v>
      </c>
      <c r="B186" s="1946"/>
      <c r="C186" s="1947"/>
      <c r="D186" s="1946"/>
      <c r="E186" s="1947"/>
      <c r="F186" s="1946"/>
      <c r="G186" s="1946"/>
    </row>
    <row r="187" spans="1:7" s="1945" customFormat="1" ht="12.2" customHeight="1" x14ac:dyDescent="0.2">
      <c r="A187" s="1948" t="s">
        <v>2064</v>
      </c>
      <c r="C187" s="1947"/>
      <c r="D187" s="1946"/>
      <c r="E187" s="1947"/>
      <c r="F187" s="1946"/>
      <c r="G187" s="1946"/>
    </row>
    <row r="188" spans="1:7" ht="12" customHeight="1" x14ac:dyDescent="0.2">
      <c r="C188" s="950"/>
      <c r="D188" s="931"/>
      <c r="E188" s="950"/>
      <c r="F188" s="931"/>
      <c r="G188" s="931"/>
    </row>
    <row r="189" spans="1:7" x14ac:dyDescent="0.2">
      <c r="A189" s="1949" t="s">
        <v>2062</v>
      </c>
      <c r="B189" s="1950"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headings="1"/>
  <pageMargins left="1" right="0.75" top="1.25" bottom="0.75" header="1" footer="0.25"/>
  <pageSetup scale="60" firstPageNumber="27" fitToHeight="2" orientation="portrait" useFirstPageNumber="1" r:id="rId2"/>
  <headerFooter differentOddEven="1" alignWithMargins="0">
    <oddHeader>&amp;L&amp;8Page &amp;P&amp;C &amp;R&amp;8Page &amp;P</oddHeader>
    <oddFooter>&amp;L&amp;8Print Date: &amp;D
&amp;F&amp;CReference should be made to accountant's report regarding this information.
48</oddFooter>
    <evenFooter>&amp;CReference should be made to accountant's report regarding this information.
49</even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17" sqref="D17:D18"/>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1940</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326" t="s">
        <v>1925</v>
      </c>
      <c r="B4" s="2327"/>
      <c r="C4" s="2327"/>
      <c r="D4" s="2327"/>
      <c r="E4" s="2327"/>
      <c r="F4" s="2327"/>
      <c r="G4" s="2328"/>
    </row>
    <row r="5" spans="1:7" x14ac:dyDescent="0.25">
      <c r="A5" s="2329"/>
      <c r="B5" s="2330"/>
      <c r="C5" s="2330"/>
      <c r="D5" s="2330"/>
      <c r="E5" s="2330"/>
      <c r="F5" s="2330"/>
      <c r="G5" s="2331"/>
    </row>
    <row r="6" spans="1:7" ht="18.75" x14ac:dyDescent="0.25">
      <c r="A6" s="1553" t="s">
        <v>1926</v>
      </c>
      <c r="B6" s="1554"/>
      <c r="C6" s="1554"/>
      <c r="D6" s="1554"/>
      <c r="E6" s="1554"/>
      <c r="F6" s="1554"/>
      <c r="G6" s="1555"/>
    </row>
    <row r="7" spans="1:7" ht="30.75" customHeight="1" x14ac:dyDescent="0.25">
      <c r="A7" s="2332" t="s">
        <v>2073</v>
      </c>
      <c r="B7" s="2333"/>
      <c r="C7" s="2333"/>
      <c r="D7" s="2333"/>
      <c r="E7" s="2333"/>
      <c r="F7" s="2333"/>
      <c r="G7" s="2334"/>
    </row>
    <row r="8" spans="1:7" ht="15.75" customHeight="1" x14ac:dyDescent="0.25">
      <c r="A8" s="2335" t="s">
        <v>2022</v>
      </c>
      <c r="B8" s="2336"/>
      <c r="C8" s="2336"/>
      <c r="D8" s="2336"/>
      <c r="E8" s="2336"/>
      <c r="F8" s="2336"/>
      <c r="G8" s="2337"/>
    </row>
    <row r="9" spans="1:7" ht="35.25" customHeight="1" x14ac:dyDescent="0.25">
      <c r="A9" s="2332" t="s">
        <v>2076</v>
      </c>
      <c r="B9" s="2333"/>
      <c r="C9" s="2333"/>
      <c r="D9" s="2333"/>
      <c r="E9" s="2333"/>
      <c r="F9" s="2333"/>
      <c r="G9" s="2334"/>
    </row>
    <row r="10" spans="1:7" ht="15" customHeight="1" x14ac:dyDescent="0.25">
      <c r="A10" s="1556" t="s">
        <v>1927</v>
      </c>
      <c r="B10" s="1557"/>
      <c r="C10" s="1557"/>
      <c r="D10" s="1557"/>
      <c r="E10" s="1557"/>
      <c r="F10" s="1557"/>
      <c r="G10" s="1558"/>
    </row>
    <row r="11" spans="1:7" ht="17.25" customHeight="1" x14ac:dyDescent="0.25">
      <c r="A11" s="2332" t="s">
        <v>2075</v>
      </c>
      <c r="B11" s="2333"/>
      <c r="C11" s="2333"/>
      <c r="D11" s="2333"/>
      <c r="E11" s="2333"/>
      <c r="F11" s="2333"/>
      <c r="G11" s="2334"/>
    </row>
    <row r="12" spans="1:7" ht="15" customHeight="1" x14ac:dyDescent="0.25">
      <c r="A12" s="1556" t="s">
        <v>1932</v>
      </c>
      <c r="B12" s="1557"/>
      <c r="C12" s="1557"/>
      <c r="D12" s="1557"/>
      <c r="E12" s="1557"/>
      <c r="F12" s="1557"/>
      <c r="G12" s="1558"/>
    </row>
    <row r="13" spans="1:7" ht="32.25" customHeight="1" x14ac:dyDescent="0.25">
      <c r="A13" s="2323" t="s">
        <v>1933</v>
      </c>
      <c r="B13" s="2324"/>
      <c r="C13" s="2324"/>
      <c r="D13" s="2324"/>
      <c r="E13" s="2324"/>
      <c r="F13" s="2324"/>
      <c r="G13" s="2325"/>
    </row>
    <row r="14" spans="1:7" x14ac:dyDescent="0.25">
      <c r="A14" s="1680" t="s">
        <v>1941</v>
      </c>
      <c r="B14" s="1681"/>
      <c r="C14" s="1681"/>
      <c r="D14" s="1681"/>
      <c r="E14" s="1681"/>
      <c r="F14" s="1681"/>
      <c r="G14" s="1682"/>
    </row>
    <row r="15" spans="1:7" ht="61.5" customHeight="1" x14ac:dyDescent="0.25">
      <c r="A15" s="1565" t="s">
        <v>1934</v>
      </c>
      <c r="B15" s="1565" t="s">
        <v>1935</v>
      </c>
      <c r="C15" s="1565" t="s">
        <v>1936</v>
      </c>
      <c r="D15" s="1566" t="s">
        <v>1937</v>
      </c>
      <c r="E15" s="1566" t="s">
        <v>1928</v>
      </c>
      <c r="F15" s="1566" t="s">
        <v>1938</v>
      </c>
      <c r="G15" s="1566" t="s">
        <v>1939</v>
      </c>
    </row>
    <row r="16" spans="1:7" x14ac:dyDescent="0.25">
      <c r="A16" s="1667" t="s">
        <v>1942</v>
      </c>
      <c r="B16" s="1668" t="s">
        <v>1931</v>
      </c>
      <c r="C16" s="1669" t="s">
        <v>1929</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54" t="s">
        <v>2102</v>
      </c>
      <c r="B17" s="1955"/>
      <c r="C17" s="1956"/>
      <c r="D17" s="1957"/>
      <c r="E17" s="1559">
        <f t="shared" ref="E17:E141" si="1">IF(D17&lt;=25000,D17,IF(D17&gt;25000,25000,0))</f>
        <v>0</v>
      </c>
      <c r="F17" s="1812">
        <f t="shared" si="0"/>
        <v>0</v>
      </c>
      <c r="G17" s="1813">
        <f>IF(F17=0,0,D17-F17)</f>
        <v>0</v>
      </c>
      <c r="H17" s="1666"/>
    </row>
    <row r="18" spans="1:8" x14ac:dyDescent="0.25">
      <c r="A18" s="1672"/>
      <c r="B18" s="1865"/>
      <c r="C18" s="1675"/>
      <c r="D18" s="1864"/>
      <c r="E18" s="1559">
        <f t="shared" ref="E18:E140" si="2">IF(D18&lt;=25000,D18,IF(D18&gt;25000,25000,0))</f>
        <v>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140" si="4">IF(F18=0,0,D18-F18)</f>
        <v>0</v>
      </c>
    </row>
    <row r="19" spans="1:8" x14ac:dyDescent="0.25">
      <c r="A19" s="1672"/>
      <c r="B19" s="1866"/>
      <c r="C19" s="1675"/>
      <c r="D19" s="1864"/>
      <c r="E19" s="1559">
        <f t="shared" si="2"/>
        <v>0</v>
      </c>
      <c r="F19" s="1812">
        <f t="shared" si="3"/>
        <v>0</v>
      </c>
      <c r="G19" s="1813">
        <f t="shared" si="4"/>
        <v>0</v>
      </c>
    </row>
    <row r="20" spans="1:8" x14ac:dyDescent="0.25">
      <c r="A20" s="1672"/>
      <c r="B20" s="1865"/>
      <c r="C20" s="1675"/>
      <c r="D20" s="1864"/>
      <c r="E20" s="1559">
        <f t="shared" si="2"/>
        <v>0</v>
      </c>
      <c r="F20" s="1812">
        <f t="shared" si="3"/>
        <v>0</v>
      </c>
      <c r="G20" s="1813">
        <f t="shared" si="4"/>
        <v>0</v>
      </c>
    </row>
    <row r="21" spans="1:8" x14ac:dyDescent="0.25">
      <c r="A21" s="1672"/>
      <c r="B21" s="1865"/>
      <c r="C21" s="1675"/>
      <c r="D21" s="1864"/>
      <c r="E21" s="1559">
        <f t="shared" si="2"/>
        <v>0</v>
      </c>
      <c r="F21" s="1812">
        <f t="shared" si="3"/>
        <v>0</v>
      </c>
      <c r="G21" s="1813">
        <f t="shared" si="4"/>
        <v>0</v>
      </c>
    </row>
    <row r="22" spans="1:8" x14ac:dyDescent="0.25">
      <c r="A22" s="1672"/>
      <c r="B22" s="1865"/>
      <c r="C22" s="1675"/>
      <c r="D22" s="1864"/>
      <c r="E22" s="1559">
        <f t="shared" si="2"/>
        <v>0</v>
      </c>
      <c r="F22" s="1812">
        <f t="shared" si="3"/>
        <v>0</v>
      </c>
      <c r="G22" s="1813">
        <f t="shared" si="4"/>
        <v>0</v>
      </c>
    </row>
    <row r="23" spans="1:8" x14ac:dyDescent="0.25">
      <c r="A23" s="1672"/>
      <c r="B23" s="1865"/>
      <c r="C23" s="1675"/>
      <c r="D23" s="1864"/>
      <c r="E23" s="1559">
        <f t="shared" si="2"/>
        <v>0</v>
      </c>
      <c r="F23" s="1812">
        <f t="shared" si="3"/>
        <v>0</v>
      </c>
      <c r="G23" s="1813">
        <f t="shared" si="4"/>
        <v>0</v>
      </c>
    </row>
    <row r="24" spans="1:8" x14ac:dyDescent="0.25">
      <c r="A24" s="1672"/>
      <c r="B24" s="1866"/>
      <c r="C24" s="1675"/>
      <c r="D24" s="1864"/>
      <c r="E24" s="1559">
        <f t="shared" si="2"/>
        <v>0</v>
      </c>
      <c r="F24" s="1812">
        <f t="shared" si="3"/>
        <v>0</v>
      </c>
      <c r="G24" s="1813">
        <f t="shared" si="4"/>
        <v>0</v>
      </c>
    </row>
    <row r="25" spans="1:8" x14ac:dyDescent="0.25">
      <c r="A25" s="1672"/>
      <c r="B25" s="1865"/>
      <c r="C25" s="1675"/>
      <c r="D25" s="1864"/>
      <c r="E25" s="1559">
        <f t="shared" si="2"/>
        <v>0</v>
      </c>
      <c r="F25" s="1812">
        <f t="shared" si="3"/>
        <v>0</v>
      </c>
      <c r="G25" s="1813">
        <f t="shared" si="4"/>
        <v>0</v>
      </c>
    </row>
    <row r="26" spans="1:8" x14ac:dyDescent="0.25">
      <c r="A26" s="1672"/>
      <c r="B26" s="1866"/>
      <c r="C26" s="1673"/>
      <c r="D26" s="1864"/>
      <c r="E26" s="1559">
        <f t="shared" si="2"/>
        <v>0</v>
      </c>
      <c r="F26" s="1812">
        <f t="shared" si="3"/>
        <v>0</v>
      </c>
      <c r="G26" s="1813">
        <f t="shared" si="4"/>
        <v>0</v>
      </c>
    </row>
    <row r="27" spans="1:8" x14ac:dyDescent="0.25">
      <c r="A27" s="1672"/>
      <c r="B27" s="1866"/>
      <c r="C27" s="1673"/>
      <c r="D27" s="1864"/>
      <c r="E27" s="1559">
        <f t="shared" si="2"/>
        <v>0</v>
      </c>
      <c r="F27" s="1812">
        <f t="shared" si="3"/>
        <v>0</v>
      </c>
      <c r="G27" s="1813">
        <f t="shared" si="4"/>
        <v>0</v>
      </c>
    </row>
    <row r="28" spans="1:8" x14ac:dyDescent="0.25">
      <c r="A28" s="1672"/>
      <c r="B28" s="1866"/>
      <c r="C28" s="1673"/>
      <c r="D28" s="1864"/>
      <c r="E28" s="1559">
        <f t="shared" si="2"/>
        <v>0</v>
      </c>
      <c r="F28" s="1812">
        <f t="shared" si="3"/>
        <v>0</v>
      </c>
      <c r="G28" s="1813">
        <f t="shared" si="4"/>
        <v>0</v>
      </c>
    </row>
    <row r="29" spans="1:8" x14ac:dyDescent="0.25">
      <c r="A29" s="1672"/>
      <c r="B29" s="1866"/>
      <c r="C29" s="1673"/>
      <c r="D29" s="1864"/>
      <c r="E29" s="1559">
        <f t="shared" si="2"/>
        <v>0</v>
      </c>
      <c r="F29" s="1812">
        <f t="shared" si="3"/>
        <v>0</v>
      </c>
      <c r="G29" s="1813">
        <f t="shared" si="4"/>
        <v>0</v>
      </c>
    </row>
    <row r="30" spans="1:8" x14ac:dyDescent="0.25">
      <c r="A30" s="1672"/>
      <c r="B30" s="1866"/>
      <c r="C30" s="1673"/>
      <c r="D30" s="1864"/>
      <c r="E30" s="1559">
        <f t="shared" si="2"/>
        <v>0</v>
      </c>
      <c r="F30" s="1812">
        <f t="shared" si="3"/>
        <v>0</v>
      </c>
      <c r="G30" s="1813">
        <f t="shared" si="4"/>
        <v>0</v>
      </c>
    </row>
    <row r="31" spans="1:8" x14ac:dyDescent="0.25">
      <c r="A31" s="1672"/>
      <c r="B31" s="1866"/>
      <c r="C31" s="1673"/>
      <c r="D31" s="1864"/>
      <c r="E31" s="1559">
        <f t="shared" si="2"/>
        <v>0</v>
      </c>
      <c r="F31" s="1812">
        <f t="shared" si="3"/>
        <v>0</v>
      </c>
      <c r="G31" s="1813">
        <f t="shared" si="4"/>
        <v>0</v>
      </c>
    </row>
    <row r="32" spans="1:8" x14ac:dyDescent="0.25">
      <c r="A32" s="1672"/>
      <c r="B32" s="1866"/>
      <c r="C32" s="1673"/>
      <c r="D32" s="1864"/>
      <c r="E32" s="1559">
        <f t="shared" si="2"/>
        <v>0</v>
      </c>
      <c r="F32" s="1812">
        <f t="shared" si="3"/>
        <v>0</v>
      </c>
      <c r="G32" s="1813">
        <f t="shared" si="4"/>
        <v>0</v>
      </c>
    </row>
    <row r="33" spans="1:7" x14ac:dyDescent="0.25">
      <c r="A33" s="1672"/>
      <c r="B33" s="1866"/>
      <c r="C33" s="1673"/>
      <c r="D33" s="1864"/>
      <c r="E33" s="1559">
        <f t="shared" si="2"/>
        <v>0</v>
      </c>
      <c r="F33" s="1812">
        <f t="shared" si="3"/>
        <v>0</v>
      </c>
      <c r="G33" s="1813">
        <f t="shared" si="4"/>
        <v>0</v>
      </c>
    </row>
    <row r="34" spans="1:7" x14ac:dyDescent="0.25">
      <c r="A34" s="1672"/>
      <c r="B34" s="1866"/>
      <c r="C34" s="1673"/>
      <c r="D34" s="1864"/>
      <c r="E34" s="1559">
        <f t="shared" si="2"/>
        <v>0</v>
      </c>
      <c r="F34" s="1812">
        <f t="shared" si="3"/>
        <v>0</v>
      </c>
      <c r="G34" s="1813">
        <f t="shared" si="4"/>
        <v>0</v>
      </c>
    </row>
    <row r="35" spans="1:7" x14ac:dyDescent="0.25">
      <c r="A35" s="1672"/>
      <c r="B35" s="1866"/>
      <c r="C35" s="1673"/>
      <c r="D35" s="1864"/>
      <c r="E35" s="1559">
        <f t="shared" si="2"/>
        <v>0</v>
      </c>
      <c r="F35" s="1812">
        <f t="shared" si="3"/>
        <v>0</v>
      </c>
      <c r="G35" s="1813">
        <f t="shared" si="4"/>
        <v>0</v>
      </c>
    </row>
    <row r="36" spans="1:7" x14ac:dyDescent="0.25">
      <c r="A36" s="1672"/>
      <c r="B36" s="1866"/>
      <c r="C36" s="1673"/>
      <c r="D36" s="1864"/>
      <c r="E36" s="1559">
        <f t="shared" si="2"/>
        <v>0</v>
      </c>
      <c r="F36" s="1812">
        <f t="shared" si="3"/>
        <v>0</v>
      </c>
      <c r="G36" s="1813">
        <f t="shared" si="4"/>
        <v>0</v>
      </c>
    </row>
    <row r="37" spans="1:7" x14ac:dyDescent="0.25">
      <c r="A37" s="1672"/>
      <c r="B37" s="1866"/>
      <c r="C37" s="1673"/>
      <c r="D37" s="1864"/>
      <c r="E37" s="1559">
        <f t="shared" si="2"/>
        <v>0</v>
      </c>
      <c r="F37" s="1812">
        <f t="shared" si="3"/>
        <v>0</v>
      </c>
      <c r="G37" s="1813">
        <f t="shared" si="4"/>
        <v>0</v>
      </c>
    </row>
    <row r="38" spans="1:7" x14ac:dyDescent="0.25">
      <c r="A38" s="1672"/>
      <c r="B38" s="1686"/>
      <c r="C38" s="1673"/>
      <c r="D38" s="1864"/>
      <c r="E38" s="1559">
        <f t="shared" si="2"/>
        <v>0</v>
      </c>
      <c r="F38" s="1812">
        <f t="shared" si="3"/>
        <v>0</v>
      </c>
      <c r="G38" s="1813">
        <f t="shared" si="4"/>
        <v>0</v>
      </c>
    </row>
    <row r="39" spans="1:7" x14ac:dyDescent="0.25">
      <c r="A39" s="1672"/>
      <c r="B39" s="1686"/>
      <c r="C39" s="1673"/>
      <c r="D39" s="1864"/>
      <c r="E39" s="1559">
        <f t="shared" si="2"/>
        <v>0</v>
      </c>
      <c r="F39" s="1812">
        <f t="shared" si="3"/>
        <v>0</v>
      </c>
      <c r="G39" s="1813">
        <f t="shared" si="4"/>
        <v>0</v>
      </c>
    </row>
    <row r="40" spans="1:7" x14ac:dyDescent="0.25">
      <c r="A40" s="1672"/>
      <c r="B40" s="1686"/>
      <c r="C40" s="1673"/>
      <c r="D40" s="1864"/>
      <c r="E40" s="1559">
        <f t="shared" si="2"/>
        <v>0</v>
      </c>
      <c r="F40" s="1812">
        <f t="shared" si="3"/>
        <v>0</v>
      </c>
      <c r="G40" s="1813">
        <f t="shared" si="4"/>
        <v>0</v>
      </c>
    </row>
    <row r="41" spans="1:7" x14ac:dyDescent="0.25">
      <c r="A41" s="1672"/>
      <c r="B41" s="1686"/>
      <c r="C41" s="1673"/>
      <c r="D41" s="1864"/>
      <c r="E41" s="1559">
        <f t="shared" si="2"/>
        <v>0</v>
      </c>
      <c r="F41" s="1812">
        <f t="shared" si="3"/>
        <v>0</v>
      </c>
      <c r="G41" s="1813">
        <f t="shared" si="4"/>
        <v>0</v>
      </c>
    </row>
    <row r="42" spans="1:7" x14ac:dyDescent="0.25">
      <c r="A42" s="1672"/>
      <c r="B42" s="1686"/>
      <c r="C42" s="1673"/>
      <c r="D42" s="1864"/>
      <c r="E42" s="1559">
        <f t="shared" si="2"/>
        <v>0</v>
      </c>
      <c r="F42" s="1812">
        <f t="shared" si="3"/>
        <v>0</v>
      </c>
      <c r="G42" s="1813">
        <f t="shared" si="4"/>
        <v>0</v>
      </c>
    </row>
    <row r="43" spans="1:7" x14ac:dyDescent="0.25">
      <c r="A43" s="1672"/>
      <c r="B43" s="1686"/>
      <c r="C43" s="1673"/>
      <c r="D43" s="1864"/>
      <c r="E43" s="1559">
        <f t="shared" si="2"/>
        <v>0</v>
      </c>
      <c r="F43" s="1812">
        <f t="shared" si="3"/>
        <v>0</v>
      </c>
      <c r="G43" s="1813">
        <f t="shared" si="4"/>
        <v>0</v>
      </c>
    </row>
    <row r="44" spans="1:7" x14ac:dyDescent="0.25">
      <c r="A44" s="1672"/>
      <c r="B44" s="1686"/>
      <c r="C44" s="1673"/>
      <c r="D44" s="1864"/>
      <c r="E44" s="1559">
        <f t="shared" si="2"/>
        <v>0</v>
      </c>
      <c r="F44" s="1812">
        <f t="shared" si="3"/>
        <v>0</v>
      </c>
      <c r="G44" s="1813">
        <f t="shared" si="4"/>
        <v>0</v>
      </c>
    </row>
    <row r="45" spans="1:7" x14ac:dyDescent="0.25">
      <c r="A45" s="1672"/>
      <c r="B45" s="1686"/>
      <c r="C45" s="1673"/>
      <c r="D45" s="1864"/>
      <c r="E45" s="1559">
        <f t="shared" si="2"/>
        <v>0</v>
      </c>
      <c r="F45" s="1812">
        <f t="shared" si="3"/>
        <v>0</v>
      </c>
      <c r="G45" s="1813">
        <f t="shared" si="4"/>
        <v>0</v>
      </c>
    </row>
    <row r="46" spans="1:7" x14ac:dyDescent="0.25">
      <c r="A46" s="1672"/>
      <c r="B46" s="1686"/>
      <c r="C46" s="1673"/>
      <c r="D46" s="1864"/>
      <c r="E46" s="1559">
        <f t="shared" si="2"/>
        <v>0</v>
      </c>
      <c r="F46" s="1812">
        <f t="shared" si="3"/>
        <v>0</v>
      </c>
      <c r="G46" s="1813">
        <f t="shared" si="4"/>
        <v>0</v>
      </c>
    </row>
    <row r="47" spans="1:7" x14ac:dyDescent="0.25">
      <c r="A47" s="1672"/>
      <c r="B47" s="1686"/>
      <c r="C47" s="1673"/>
      <c r="D47" s="1864"/>
      <c r="E47" s="1559">
        <f t="shared" si="2"/>
        <v>0</v>
      </c>
      <c r="F47" s="1812">
        <f t="shared" si="3"/>
        <v>0</v>
      </c>
      <c r="G47" s="1813">
        <f t="shared" si="4"/>
        <v>0</v>
      </c>
    </row>
    <row r="48" spans="1:7" x14ac:dyDescent="0.25">
      <c r="A48" s="1672"/>
      <c r="B48" s="1686"/>
      <c r="C48" s="1673"/>
      <c r="D48" s="1864"/>
      <c r="E48" s="1559">
        <f t="shared" si="2"/>
        <v>0</v>
      </c>
      <c r="F48" s="1812">
        <f t="shared" si="3"/>
        <v>0</v>
      </c>
      <c r="G48" s="1813">
        <f t="shared" si="4"/>
        <v>0</v>
      </c>
    </row>
    <row r="49" spans="1:7" x14ac:dyDescent="0.25">
      <c r="A49" s="1672"/>
      <c r="B49" s="1686"/>
      <c r="C49" s="1673"/>
      <c r="D49" s="1864"/>
      <c r="E49" s="1559">
        <f t="shared" si="2"/>
        <v>0</v>
      </c>
      <c r="F49" s="1812">
        <f t="shared" si="3"/>
        <v>0</v>
      </c>
      <c r="G49" s="1813">
        <f t="shared" si="4"/>
        <v>0</v>
      </c>
    </row>
    <row r="50" spans="1:7" x14ac:dyDescent="0.25">
      <c r="A50" s="1672"/>
      <c r="B50" s="1686"/>
      <c r="C50" s="1673"/>
      <c r="D50" s="1864"/>
      <c r="E50" s="1559">
        <f t="shared" si="2"/>
        <v>0</v>
      </c>
      <c r="F50" s="1812">
        <f t="shared" si="3"/>
        <v>0</v>
      </c>
      <c r="G50" s="1813">
        <f t="shared" si="4"/>
        <v>0</v>
      </c>
    </row>
    <row r="51" spans="1:7" x14ac:dyDescent="0.25">
      <c r="A51" s="1672"/>
      <c r="B51" s="1686"/>
      <c r="C51" s="1673"/>
      <c r="D51" s="1864"/>
      <c r="E51" s="1559">
        <f t="shared" si="2"/>
        <v>0</v>
      </c>
      <c r="F51" s="1812">
        <f t="shared" si="3"/>
        <v>0</v>
      </c>
      <c r="G51" s="1813">
        <f t="shared" si="4"/>
        <v>0</v>
      </c>
    </row>
    <row r="52" spans="1:7" x14ac:dyDescent="0.25">
      <c r="A52" s="1672"/>
      <c r="B52" s="1686"/>
      <c r="C52" s="1673"/>
      <c r="D52" s="1864"/>
      <c r="E52" s="1559">
        <f t="shared" si="2"/>
        <v>0</v>
      </c>
      <c r="F52" s="1812">
        <f t="shared" si="3"/>
        <v>0</v>
      </c>
      <c r="G52" s="1813">
        <f t="shared" si="4"/>
        <v>0</v>
      </c>
    </row>
    <row r="53" spans="1:7" x14ac:dyDescent="0.25">
      <c r="A53" s="1672"/>
      <c r="B53" s="1686"/>
      <c r="C53" s="1673"/>
      <c r="D53" s="1864"/>
      <c r="E53" s="1559">
        <f t="shared" si="2"/>
        <v>0</v>
      </c>
      <c r="F53" s="1812">
        <f t="shared" si="3"/>
        <v>0</v>
      </c>
      <c r="G53" s="1813">
        <f t="shared" si="4"/>
        <v>0</v>
      </c>
    </row>
    <row r="54" spans="1:7" x14ac:dyDescent="0.25">
      <c r="A54" s="1672"/>
      <c r="B54" s="1686"/>
      <c r="C54" s="1673"/>
      <c r="D54" s="1864"/>
      <c r="E54" s="1559">
        <f t="shared" si="2"/>
        <v>0</v>
      </c>
      <c r="F54" s="1812">
        <f t="shared" si="3"/>
        <v>0</v>
      </c>
      <c r="G54" s="1813">
        <f t="shared" si="4"/>
        <v>0</v>
      </c>
    </row>
    <row r="55" spans="1:7" x14ac:dyDescent="0.25">
      <c r="A55" s="1672"/>
      <c r="B55" s="1686"/>
      <c r="C55" s="1673"/>
      <c r="D55" s="1864"/>
      <c r="E55" s="1559">
        <f t="shared" si="2"/>
        <v>0</v>
      </c>
      <c r="F55" s="1812">
        <f t="shared" si="3"/>
        <v>0</v>
      </c>
      <c r="G55" s="1813">
        <f t="shared" si="4"/>
        <v>0</v>
      </c>
    </row>
    <row r="56" spans="1:7" x14ac:dyDescent="0.25">
      <c r="A56" s="1672"/>
      <c r="B56" s="1686"/>
      <c r="C56" s="1673"/>
      <c r="D56" s="1864"/>
      <c r="E56" s="1559">
        <f t="shared" si="2"/>
        <v>0</v>
      </c>
      <c r="F56" s="1812">
        <f t="shared" si="3"/>
        <v>0</v>
      </c>
      <c r="G56" s="1813">
        <f t="shared" si="4"/>
        <v>0</v>
      </c>
    </row>
    <row r="57" spans="1:7" x14ac:dyDescent="0.25">
      <c r="A57" s="1672"/>
      <c r="B57" s="1686"/>
      <c r="C57" s="1673"/>
      <c r="D57" s="1864"/>
      <c r="E57" s="1559">
        <f t="shared" si="2"/>
        <v>0</v>
      </c>
      <c r="F57" s="1812">
        <f t="shared" si="3"/>
        <v>0</v>
      </c>
      <c r="G57" s="1813">
        <f t="shared" si="4"/>
        <v>0</v>
      </c>
    </row>
    <row r="58" spans="1:7" x14ac:dyDescent="0.25">
      <c r="A58" s="1672"/>
      <c r="B58" s="1686"/>
      <c r="C58" s="1673"/>
      <c r="D58" s="1864"/>
      <c r="E58" s="1559">
        <f t="shared" si="2"/>
        <v>0</v>
      </c>
      <c r="F58" s="1812">
        <f t="shared" si="3"/>
        <v>0</v>
      </c>
      <c r="G58" s="1813">
        <f t="shared" si="4"/>
        <v>0</v>
      </c>
    </row>
    <row r="59" spans="1:7" x14ac:dyDescent="0.25">
      <c r="A59" s="1672"/>
      <c r="B59" s="1686"/>
      <c r="C59" s="1673"/>
      <c r="D59" s="1864"/>
      <c r="E59" s="1559">
        <f t="shared" si="2"/>
        <v>0</v>
      </c>
      <c r="F59" s="1812">
        <f t="shared" si="3"/>
        <v>0</v>
      </c>
      <c r="G59" s="1813">
        <f t="shared" si="4"/>
        <v>0</v>
      </c>
    </row>
    <row r="60" spans="1:7" x14ac:dyDescent="0.25">
      <c r="A60" s="1672"/>
      <c r="B60" s="1686"/>
      <c r="C60" s="1673"/>
      <c r="D60" s="1864"/>
      <c r="E60" s="1559">
        <f t="shared" si="2"/>
        <v>0</v>
      </c>
      <c r="F60" s="1812">
        <f t="shared" si="3"/>
        <v>0</v>
      </c>
      <c r="G60" s="1813">
        <f t="shared" si="4"/>
        <v>0</v>
      </c>
    </row>
    <row r="61" spans="1:7" x14ac:dyDescent="0.25">
      <c r="A61" s="1672"/>
      <c r="B61" s="1686"/>
      <c r="C61" s="1673"/>
      <c r="D61" s="1864"/>
      <c r="E61" s="1559">
        <f t="shared" si="2"/>
        <v>0</v>
      </c>
      <c r="F61" s="1812">
        <f t="shared" si="3"/>
        <v>0</v>
      </c>
      <c r="G61" s="1813">
        <f t="shared" si="4"/>
        <v>0</v>
      </c>
    </row>
    <row r="62" spans="1:7" x14ac:dyDescent="0.25">
      <c r="A62" s="1672"/>
      <c r="B62" s="1686"/>
      <c r="C62" s="1673"/>
      <c r="D62" s="1864"/>
      <c r="E62" s="1559">
        <f t="shared" si="2"/>
        <v>0</v>
      </c>
      <c r="F62" s="1812">
        <f t="shared" si="3"/>
        <v>0</v>
      </c>
      <c r="G62" s="1813">
        <f t="shared" si="4"/>
        <v>0</v>
      </c>
    </row>
    <row r="63" spans="1:7" x14ac:dyDescent="0.25">
      <c r="A63" s="1672"/>
      <c r="B63" s="1686"/>
      <c r="C63" s="1673"/>
      <c r="D63" s="1864"/>
      <c r="E63" s="1559">
        <f t="shared" si="2"/>
        <v>0</v>
      </c>
      <c r="F63" s="1812">
        <f t="shared" si="3"/>
        <v>0</v>
      </c>
      <c r="G63" s="1813">
        <f t="shared" si="4"/>
        <v>0</v>
      </c>
    </row>
    <row r="64" spans="1:7" x14ac:dyDescent="0.25">
      <c r="A64" s="1674"/>
      <c r="B64" s="1686"/>
      <c r="C64" s="1675"/>
      <c r="D64" s="1864"/>
      <c r="E64" s="1559">
        <f t="shared" si="2"/>
        <v>0</v>
      </c>
      <c r="F64" s="1812">
        <f t="shared" si="3"/>
        <v>0</v>
      </c>
      <c r="G64" s="1813">
        <f t="shared" si="4"/>
        <v>0</v>
      </c>
    </row>
    <row r="65" spans="1:7" x14ac:dyDescent="0.25">
      <c r="A65" s="1672"/>
      <c r="B65" s="1686"/>
      <c r="C65" s="1673"/>
      <c r="D65" s="1864"/>
      <c r="E65" s="1559">
        <f t="shared" si="2"/>
        <v>0</v>
      </c>
      <c r="F65" s="1812">
        <f t="shared" si="3"/>
        <v>0</v>
      </c>
      <c r="G65" s="1813">
        <f t="shared" si="4"/>
        <v>0</v>
      </c>
    </row>
    <row r="66" spans="1:7" x14ac:dyDescent="0.25">
      <c r="A66" s="1672"/>
      <c r="B66" s="1686"/>
      <c r="C66" s="1673"/>
      <c r="D66" s="1864"/>
      <c r="E66" s="1559">
        <f t="shared" si="2"/>
        <v>0</v>
      </c>
      <c r="F66" s="1812">
        <f t="shared" si="3"/>
        <v>0</v>
      </c>
      <c r="G66" s="1813">
        <f t="shared" si="4"/>
        <v>0</v>
      </c>
    </row>
    <row r="67" spans="1:7" x14ac:dyDescent="0.25">
      <c r="A67" s="1672"/>
      <c r="B67" s="1686"/>
      <c r="C67" s="1673"/>
      <c r="D67" s="1864"/>
      <c r="E67" s="1559">
        <f t="shared" si="2"/>
        <v>0</v>
      </c>
      <c r="F67" s="1812">
        <f t="shared" si="3"/>
        <v>0</v>
      </c>
      <c r="G67" s="1813">
        <f t="shared" si="4"/>
        <v>0</v>
      </c>
    </row>
    <row r="68" spans="1:7" x14ac:dyDescent="0.25">
      <c r="A68" s="1672"/>
      <c r="B68" s="1686"/>
      <c r="C68" s="1673"/>
      <c r="D68" s="1864"/>
      <c r="E68" s="1559">
        <f t="shared" si="2"/>
        <v>0</v>
      </c>
      <c r="F68" s="1812">
        <f t="shared" si="3"/>
        <v>0</v>
      </c>
      <c r="G68" s="1813">
        <f t="shared" si="4"/>
        <v>0</v>
      </c>
    </row>
    <row r="69" spans="1:7" x14ac:dyDescent="0.25">
      <c r="A69" s="1672"/>
      <c r="B69" s="1686"/>
      <c r="C69" s="1673"/>
      <c r="D69" s="1864"/>
      <c r="E69" s="1559">
        <f t="shared" si="2"/>
        <v>0</v>
      </c>
      <c r="F69" s="1812">
        <f t="shared" si="3"/>
        <v>0</v>
      </c>
      <c r="G69" s="1813">
        <f t="shared" si="4"/>
        <v>0</v>
      </c>
    </row>
    <row r="70" spans="1:7" x14ac:dyDescent="0.25">
      <c r="A70" s="1672"/>
      <c r="B70" s="1686"/>
      <c r="C70" s="1673"/>
      <c r="D70" s="1864"/>
      <c r="E70" s="1559">
        <f t="shared" si="2"/>
        <v>0</v>
      </c>
      <c r="F70" s="1812">
        <f t="shared" si="3"/>
        <v>0</v>
      </c>
      <c r="G70" s="1813">
        <f t="shared" si="4"/>
        <v>0</v>
      </c>
    </row>
    <row r="71" spans="1:7" x14ac:dyDescent="0.25">
      <c r="A71" s="1672"/>
      <c r="B71" s="1686"/>
      <c r="C71" s="1673"/>
      <c r="D71" s="1864"/>
      <c r="E71" s="1559">
        <f t="shared" si="2"/>
        <v>0</v>
      </c>
      <c r="F71" s="1812">
        <f t="shared" si="3"/>
        <v>0</v>
      </c>
      <c r="G71" s="1813">
        <f t="shared" si="4"/>
        <v>0</v>
      </c>
    </row>
    <row r="72" spans="1:7" x14ac:dyDescent="0.25">
      <c r="A72" s="1672"/>
      <c r="B72" s="1686"/>
      <c r="C72" s="1673"/>
      <c r="D72" s="1864"/>
      <c r="E72" s="1559">
        <f t="shared" si="2"/>
        <v>0</v>
      </c>
      <c r="F72" s="1812">
        <f t="shared" si="3"/>
        <v>0</v>
      </c>
      <c r="G72" s="1813">
        <f t="shared" si="4"/>
        <v>0</v>
      </c>
    </row>
    <row r="73" spans="1:7"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x14ac:dyDescent="0.25">
      <c r="A74" s="1672"/>
      <c r="B74" s="1686"/>
      <c r="C74" s="1673"/>
      <c r="D74" s="1864"/>
      <c r="E74" s="1559">
        <f t="shared" si="5"/>
        <v>0</v>
      </c>
      <c r="F74" s="1812">
        <f t="shared" si="6"/>
        <v>0</v>
      </c>
      <c r="G74" s="1813">
        <f t="shared" si="7"/>
        <v>0</v>
      </c>
    </row>
    <row r="75" spans="1:7" x14ac:dyDescent="0.25">
      <c r="A75" s="1672"/>
      <c r="B75" s="1686"/>
      <c r="C75" s="1673"/>
      <c r="D75" s="1864"/>
      <c r="E75" s="1559">
        <f t="shared" si="5"/>
        <v>0</v>
      </c>
      <c r="F75" s="1812">
        <f t="shared" si="6"/>
        <v>0</v>
      </c>
      <c r="G75" s="1813">
        <f t="shared" si="7"/>
        <v>0</v>
      </c>
    </row>
    <row r="76" spans="1:7" x14ac:dyDescent="0.25">
      <c r="A76" s="1672"/>
      <c r="B76" s="1686"/>
      <c r="C76" s="1673"/>
      <c r="D76" s="1864"/>
      <c r="E76" s="1559">
        <f t="shared" si="5"/>
        <v>0</v>
      </c>
      <c r="F76" s="1812">
        <f t="shared" si="6"/>
        <v>0</v>
      </c>
      <c r="G76" s="1813">
        <f t="shared" si="7"/>
        <v>0</v>
      </c>
    </row>
    <row r="77" spans="1:7" x14ac:dyDescent="0.25">
      <c r="A77" s="1672"/>
      <c r="B77" s="1686"/>
      <c r="C77" s="1673"/>
      <c r="D77" s="1864"/>
      <c r="E77" s="1559">
        <f t="shared" si="5"/>
        <v>0</v>
      </c>
      <c r="F77" s="1812">
        <f t="shared" si="6"/>
        <v>0</v>
      </c>
      <c r="G77" s="1813">
        <f t="shared" si="7"/>
        <v>0</v>
      </c>
    </row>
    <row r="78" spans="1:7" x14ac:dyDescent="0.25">
      <c r="A78" s="1672"/>
      <c r="B78" s="1686"/>
      <c r="C78" s="1673"/>
      <c r="D78" s="1864"/>
      <c r="E78" s="1559">
        <f t="shared" si="5"/>
        <v>0</v>
      </c>
      <c r="F78" s="1812">
        <f t="shared" si="6"/>
        <v>0</v>
      </c>
      <c r="G78" s="1813">
        <f t="shared" si="7"/>
        <v>0</v>
      </c>
    </row>
    <row r="79" spans="1:7" x14ac:dyDescent="0.25">
      <c r="A79" s="1672"/>
      <c r="B79" s="1686"/>
      <c r="C79" s="1673"/>
      <c r="D79" s="1864"/>
      <c r="E79" s="1559">
        <f t="shared" si="5"/>
        <v>0</v>
      </c>
      <c r="F79" s="1812">
        <f t="shared" si="6"/>
        <v>0</v>
      </c>
      <c r="G79" s="1813">
        <f t="shared" si="7"/>
        <v>0</v>
      </c>
    </row>
    <row r="80" spans="1:7" x14ac:dyDescent="0.25">
      <c r="A80" s="1672"/>
      <c r="B80" s="1686"/>
      <c r="C80" s="1673"/>
      <c r="D80" s="1864"/>
      <c r="E80" s="1559">
        <f t="shared" si="5"/>
        <v>0</v>
      </c>
      <c r="F80" s="1812">
        <f t="shared" si="6"/>
        <v>0</v>
      </c>
      <c r="G80" s="1813">
        <f t="shared" si="7"/>
        <v>0</v>
      </c>
    </row>
    <row r="81" spans="1:7" x14ac:dyDescent="0.25">
      <c r="A81" s="1672"/>
      <c r="B81" s="1686"/>
      <c r="C81" s="1673"/>
      <c r="D81" s="1864"/>
      <c r="E81" s="1559">
        <f t="shared" si="5"/>
        <v>0</v>
      </c>
      <c r="F81" s="1812">
        <f t="shared" si="6"/>
        <v>0</v>
      </c>
      <c r="G81" s="1813">
        <f t="shared" si="7"/>
        <v>0</v>
      </c>
    </row>
    <row r="82" spans="1:7" x14ac:dyDescent="0.25">
      <c r="A82" s="1672"/>
      <c r="B82" s="1686"/>
      <c r="C82" s="1673"/>
      <c r="D82" s="1864"/>
      <c r="E82" s="1559">
        <f t="shared" si="5"/>
        <v>0</v>
      </c>
      <c r="F82" s="1812">
        <f t="shared" si="6"/>
        <v>0</v>
      </c>
      <c r="G82" s="1813">
        <f t="shared" si="7"/>
        <v>0</v>
      </c>
    </row>
    <row r="83" spans="1:7" x14ac:dyDescent="0.25">
      <c r="A83" s="1672"/>
      <c r="B83" s="1686"/>
      <c r="C83" s="1673"/>
      <c r="D83" s="1864"/>
      <c r="E83" s="1559">
        <f t="shared" si="5"/>
        <v>0</v>
      </c>
      <c r="F83" s="1812">
        <f t="shared" si="6"/>
        <v>0</v>
      </c>
      <c r="G83" s="1813">
        <f t="shared" si="7"/>
        <v>0</v>
      </c>
    </row>
    <row r="84" spans="1:7" x14ac:dyDescent="0.25">
      <c r="A84" s="1672"/>
      <c r="B84" s="1686"/>
      <c r="C84" s="1673"/>
      <c r="D84" s="1864"/>
      <c r="E84" s="1559">
        <f t="shared" si="5"/>
        <v>0</v>
      </c>
      <c r="F84" s="1812">
        <f t="shared" si="6"/>
        <v>0</v>
      </c>
      <c r="G84" s="1813">
        <f t="shared" si="7"/>
        <v>0</v>
      </c>
    </row>
    <row r="85" spans="1:7" x14ac:dyDescent="0.25">
      <c r="A85" s="1672"/>
      <c r="B85" s="1686"/>
      <c r="C85" s="1673"/>
      <c r="D85" s="1864"/>
      <c r="E85" s="1559">
        <f t="shared" si="2"/>
        <v>0</v>
      </c>
      <c r="F85" s="1812">
        <f t="shared" si="3"/>
        <v>0</v>
      </c>
      <c r="G85" s="1813">
        <f t="shared" si="4"/>
        <v>0</v>
      </c>
    </row>
    <row r="86" spans="1:7" x14ac:dyDescent="0.25">
      <c r="A86" s="1672"/>
      <c r="B86" s="1686"/>
      <c r="C86" s="1673"/>
      <c r="D86" s="1864"/>
      <c r="E86" s="1559">
        <f t="shared" si="2"/>
        <v>0</v>
      </c>
      <c r="F86" s="1812">
        <f t="shared" si="3"/>
        <v>0</v>
      </c>
      <c r="G86" s="1813">
        <f t="shared" si="4"/>
        <v>0</v>
      </c>
    </row>
    <row r="87" spans="1:7" x14ac:dyDescent="0.25">
      <c r="A87" s="1672"/>
      <c r="B87" s="1686"/>
      <c r="C87" s="1673"/>
      <c r="D87" s="1864"/>
      <c r="E87" s="1559">
        <f t="shared" si="2"/>
        <v>0</v>
      </c>
      <c r="F87" s="1812">
        <f t="shared" si="3"/>
        <v>0</v>
      </c>
      <c r="G87" s="1813">
        <f t="shared" si="4"/>
        <v>0</v>
      </c>
    </row>
    <row r="88" spans="1:7" x14ac:dyDescent="0.25">
      <c r="A88" s="1672"/>
      <c r="B88" s="1686"/>
      <c r="C88" s="1673"/>
      <c r="D88" s="1864"/>
      <c r="E88" s="1559">
        <f t="shared" si="2"/>
        <v>0</v>
      </c>
      <c r="F88" s="1812">
        <f t="shared" si="3"/>
        <v>0</v>
      </c>
      <c r="G88" s="1813">
        <f t="shared" si="4"/>
        <v>0</v>
      </c>
    </row>
    <row r="89" spans="1:7" x14ac:dyDescent="0.25">
      <c r="A89" s="1672"/>
      <c r="B89" s="1686"/>
      <c r="C89" s="1673"/>
      <c r="D89" s="1864"/>
      <c r="E89" s="1559">
        <f t="shared" si="2"/>
        <v>0</v>
      </c>
      <c r="F89" s="1812">
        <f t="shared" si="3"/>
        <v>0</v>
      </c>
      <c r="G89" s="1813">
        <f t="shared" si="4"/>
        <v>0</v>
      </c>
    </row>
    <row r="90" spans="1:7" x14ac:dyDescent="0.25">
      <c r="A90" s="1672"/>
      <c r="B90" s="1686"/>
      <c r="C90" s="1673"/>
      <c r="D90" s="1864"/>
      <c r="E90" s="1559">
        <f t="shared" si="2"/>
        <v>0</v>
      </c>
      <c r="F90" s="1812">
        <f t="shared" si="3"/>
        <v>0</v>
      </c>
      <c r="G90" s="1813">
        <f t="shared" si="4"/>
        <v>0</v>
      </c>
    </row>
    <row r="91" spans="1:7" x14ac:dyDescent="0.25">
      <c r="A91" s="1672"/>
      <c r="B91" s="1686"/>
      <c r="C91" s="1673"/>
      <c r="D91" s="1864"/>
      <c r="E91" s="1559">
        <f t="shared" si="2"/>
        <v>0</v>
      </c>
      <c r="F91" s="1812">
        <f t="shared" si="3"/>
        <v>0</v>
      </c>
      <c r="G91" s="1813">
        <f t="shared" si="4"/>
        <v>0</v>
      </c>
    </row>
    <row r="92" spans="1:7" x14ac:dyDescent="0.25">
      <c r="A92" s="1672"/>
      <c r="B92" s="1686"/>
      <c r="C92" s="1673"/>
      <c r="D92" s="1864"/>
      <c r="E92" s="1559">
        <f t="shared" si="2"/>
        <v>0</v>
      </c>
      <c r="F92" s="1812">
        <f t="shared" si="3"/>
        <v>0</v>
      </c>
      <c r="G92" s="1813">
        <f t="shared" si="4"/>
        <v>0</v>
      </c>
    </row>
    <row r="93" spans="1:7"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x14ac:dyDescent="0.25">
      <c r="A94" s="1672"/>
      <c r="B94" s="1686"/>
      <c r="C94" s="1673"/>
      <c r="D94" s="1864"/>
      <c r="E94" s="1559">
        <f t="shared" si="2"/>
        <v>0</v>
      </c>
      <c r="F94" s="1812">
        <f t="shared" si="3"/>
        <v>0</v>
      </c>
      <c r="G94" s="1813">
        <f t="shared" si="4"/>
        <v>0</v>
      </c>
    </row>
    <row r="95" spans="1:7"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x14ac:dyDescent="0.25">
      <c r="A96" s="1672"/>
      <c r="B96" s="1686"/>
      <c r="C96" s="1673"/>
      <c r="D96" s="1864"/>
      <c r="E96" s="1559">
        <f t="shared" si="11"/>
        <v>0</v>
      </c>
      <c r="F96" s="1812">
        <f t="shared" si="12"/>
        <v>0</v>
      </c>
      <c r="G96" s="1813">
        <f t="shared" si="13"/>
        <v>0</v>
      </c>
    </row>
    <row r="97" spans="1:7" x14ac:dyDescent="0.25">
      <c r="A97" s="1672"/>
      <c r="B97" s="1686"/>
      <c r="C97" s="1673"/>
      <c r="D97" s="1864"/>
      <c r="E97" s="1559">
        <f t="shared" si="11"/>
        <v>0</v>
      </c>
      <c r="F97" s="1812">
        <f t="shared" si="12"/>
        <v>0</v>
      </c>
      <c r="G97" s="1813">
        <f t="shared" si="13"/>
        <v>0</v>
      </c>
    </row>
    <row r="98" spans="1:7" x14ac:dyDescent="0.25">
      <c r="A98" s="1672"/>
      <c r="B98" s="1686"/>
      <c r="C98" s="1673"/>
      <c r="D98" s="1864"/>
      <c r="E98" s="1559">
        <f t="shared" si="11"/>
        <v>0</v>
      </c>
      <c r="F98" s="1812">
        <f t="shared" si="12"/>
        <v>0</v>
      </c>
      <c r="G98" s="1813">
        <f t="shared" si="13"/>
        <v>0</v>
      </c>
    </row>
    <row r="99" spans="1:7"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x14ac:dyDescent="0.25">
      <c r="A101" s="1672"/>
      <c r="B101" s="1686"/>
      <c r="C101" s="1673"/>
      <c r="D101" s="1864"/>
      <c r="E101" s="1559">
        <f t="shared" si="17"/>
        <v>0</v>
      </c>
      <c r="F101" s="1812">
        <f t="shared" si="18"/>
        <v>0</v>
      </c>
      <c r="G101" s="1813">
        <f t="shared" si="19"/>
        <v>0</v>
      </c>
    </row>
    <row r="102" spans="1:7" x14ac:dyDescent="0.25">
      <c r="A102" s="1672"/>
      <c r="B102" s="1686"/>
      <c r="C102" s="1673"/>
      <c r="D102" s="1864"/>
      <c r="E102" s="1559">
        <f t="shared" si="17"/>
        <v>0</v>
      </c>
      <c r="F102" s="1812">
        <f t="shared" si="18"/>
        <v>0</v>
      </c>
      <c r="G102" s="1813">
        <f t="shared" si="19"/>
        <v>0</v>
      </c>
    </row>
    <row r="103" spans="1:7" x14ac:dyDescent="0.25">
      <c r="A103" s="1672"/>
      <c r="B103" s="1686"/>
      <c r="C103" s="1673"/>
      <c r="D103" s="1864"/>
      <c r="E103" s="1559">
        <f t="shared" si="17"/>
        <v>0</v>
      </c>
      <c r="F103" s="1812">
        <f t="shared" si="18"/>
        <v>0</v>
      </c>
      <c r="G103" s="1813">
        <f t="shared" si="19"/>
        <v>0</v>
      </c>
    </row>
    <row r="104" spans="1:7" x14ac:dyDescent="0.25">
      <c r="A104" s="1672"/>
      <c r="B104" s="1686"/>
      <c r="C104" s="1673"/>
      <c r="D104" s="1864"/>
      <c r="E104" s="1559">
        <f t="shared" si="17"/>
        <v>0</v>
      </c>
      <c r="F104" s="1812">
        <f t="shared" si="18"/>
        <v>0</v>
      </c>
      <c r="G104" s="1813">
        <f t="shared" si="19"/>
        <v>0</v>
      </c>
    </row>
    <row r="105" spans="1:7" x14ac:dyDescent="0.25">
      <c r="A105" s="1672"/>
      <c r="B105" s="1686"/>
      <c r="C105" s="1673"/>
      <c r="D105" s="1864"/>
      <c r="E105" s="1559">
        <f t="shared" si="17"/>
        <v>0</v>
      </c>
      <c r="F105" s="1812">
        <f t="shared" si="18"/>
        <v>0</v>
      </c>
      <c r="G105" s="1813">
        <f t="shared" si="19"/>
        <v>0</v>
      </c>
    </row>
    <row r="106" spans="1:7" x14ac:dyDescent="0.25">
      <c r="A106" s="1672"/>
      <c r="B106" s="1686"/>
      <c r="C106" s="1673"/>
      <c r="D106" s="1864"/>
      <c r="E106" s="1559">
        <f t="shared" si="17"/>
        <v>0</v>
      </c>
      <c r="F106" s="1812">
        <f t="shared" si="18"/>
        <v>0</v>
      </c>
      <c r="G106" s="1813">
        <f t="shared" si="19"/>
        <v>0</v>
      </c>
    </row>
    <row r="107" spans="1:7" x14ac:dyDescent="0.25">
      <c r="A107" s="1672"/>
      <c r="B107" s="1686"/>
      <c r="C107" s="1673"/>
      <c r="D107" s="1864"/>
      <c r="E107" s="1559">
        <f t="shared" si="17"/>
        <v>0</v>
      </c>
      <c r="F107" s="1812">
        <f t="shared" si="18"/>
        <v>0</v>
      </c>
      <c r="G107" s="1813">
        <f t="shared" si="19"/>
        <v>0</v>
      </c>
    </row>
    <row r="108" spans="1:7" x14ac:dyDescent="0.25">
      <c r="A108" s="1672"/>
      <c r="B108" s="1686"/>
      <c r="C108" s="1673"/>
      <c r="D108" s="1864"/>
      <c r="E108" s="1559">
        <f t="shared" si="17"/>
        <v>0</v>
      </c>
      <c r="F108" s="1812">
        <f t="shared" si="18"/>
        <v>0</v>
      </c>
      <c r="G108" s="1813">
        <f t="shared" si="19"/>
        <v>0</v>
      </c>
    </row>
    <row r="109" spans="1:7" x14ac:dyDescent="0.25">
      <c r="A109" s="1672"/>
      <c r="B109" s="1686"/>
      <c r="C109" s="1673"/>
      <c r="D109" s="1864"/>
      <c r="E109" s="1559">
        <f t="shared" si="17"/>
        <v>0</v>
      </c>
      <c r="F109" s="1812">
        <f t="shared" si="18"/>
        <v>0</v>
      </c>
      <c r="G109" s="1813">
        <f t="shared" si="19"/>
        <v>0</v>
      </c>
    </row>
    <row r="110" spans="1:7" x14ac:dyDescent="0.25">
      <c r="A110" s="1672"/>
      <c r="B110" s="1686"/>
      <c r="C110" s="1673"/>
      <c r="D110" s="1864"/>
      <c r="E110" s="1559">
        <f t="shared" si="17"/>
        <v>0</v>
      </c>
      <c r="F110" s="1812">
        <f t="shared" si="18"/>
        <v>0</v>
      </c>
      <c r="G110" s="1813">
        <f t="shared" si="19"/>
        <v>0</v>
      </c>
    </row>
    <row r="111" spans="1:7" x14ac:dyDescent="0.25">
      <c r="A111" s="1672"/>
      <c r="B111" s="1686"/>
      <c r="C111" s="1673"/>
      <c r="D111" s="1864"/>
      <c r="E111" s="1559">
        <f t="shared" si="17"/>
        <v>0</v>
      </c>
      <c r="F111" s="1812">
        <f t="shared" si="18"/>
        <v>0</v>
      </c>
      <c r="G111" s="1813">
        <f t="shared" si="19"/>
        <v>0</v>
      </c>
    </row>
    <row r="112" spans="1:7" x14ac:dyDescent="0.25">
      <c r="A112" s="1672"/>
      <c r="B112" s="1686"/>
      <c r="C112" s="1673"/>
      <c r="D112" s="1864"/>
      <c r="E112" s="1559">
        <f t="shared" si="17"/>
        <v>0</v>
      </c>
      <c r="F112" s="1812">
        <f t="shared" si="18"/>
        <v>0</v>
      </c>
      <c r="G112" s="1813">
        <f t="shared" si="19"/>
        <v>0</v>
      </c>
    </row>
    <row r="113" spans="1:7"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x14ac:dyDescent="0.25">
      <c r="A114" s="1672"/>
      <c r="B114" s="1686"/>
      <c r="C114" s="1673"/>
      <c r="D114" s="1864"/>
      <c r="E114" s="1559">
        <f t="shared" si="20"/>
        <v>0</v>
      </c>
      <c r="F114" s="1812">
        <f t="shared" si="21"/>
        <v>0</v>
      </c>
      <c r="G114" s="1813">
        <f t="shared" si="22"/>
        <v>0</v>
      </c>
    </row>
    <row r="115" spans="1:7" x14ac:dyDescent="0.25">
      <c r="A115" s="1672"/>
      <c r="B115" s="1686"/>
      <c r="C115" s="1673"/>
      <c r="D115" s="1864"/>
      <c r="E115" s="1559">
        <f t="shared" si="20"/>
        <v>0</v>
      </c>
      <c r="F115" s="1812">
        <f t="shared" si="21"/>
        <v>0</v>
      </c>
      <c r="G115" s="1813">
        <f t="shared" si="22"/>
        <v>0</v>
      </c>
    </row>
    <row r="116" spans="1:7" x14ac:dyDescent="0.25">
      <c r="A116" s="1672"/>
      <c r="B116" s="1686"/>
      <c r="C116" s="1673"/>
      <c r="D116" s="1864"/>
      <c r="E116" s="1559">
        <f t="shared" si="20"/>
        <v>0</v>
      </c>
      <c r="F116" s="1812">
        <f t="shared" si="21"/>
        <v>0</v>
      </c>
      <c r="G116" s="1813">
        <f t="shared" si="22"/>
        <v>0</v>
      </c>
    </row>
    <row r="117" spans="1:7" x14ac:dyDescent="0.25">
      <c r="A117" s="1672"/>
      <c r="B117" s="1686"/>
      <c r="C117" s="1673"/>
      <c r="D117" s="1864"/>
      <c r="E117" s="1559">
        <f t="shared" si="20"/>
        <v>0</v>
      </c>
      <c r="F117" s="1812">
        <f t="shared" si="21"/>
        <v>0</v>
      </c>
      <c r="G117" s="1813">
        <f t="shared" si="22"/>
        <v>0</v>
      </c>
    </row>
    <row r="118" spans="1:7" x14ac:dyDescent="0.25">
      <c r="A118" s="1672"/>
      <c r="B118" s="1686"/>
      <c r="C118" s="1673"/>
      <c r="D118" s="1864"/>
      <c r="E118" s="1559">
        <f t="shared" si="20"/>
        <v>0</v>
      </c>
      <c r="F118" s="1812">
        <f t="shared" si="21"/>
        <v>0</v>
      </c>
      <c r="G118" s="1813">
        <f t="shared" si="22"/>
        <v>0</v>
      </c>
    </row>
    <row r="119" spans="1:7" x14ac:dyDescent="0.25">
      <c r="A119" s="1672"/>
      <c r="B119" s="1686"/>
      <c r="C119" s="1673"/>
      <c r="D119" s="1864"/>
      <c r="E119" s="1559">
        <f t="shared" si="20"/>
        <v>0</v>
      </c>
      <c r="F119" s="1812">
        <f t="shared" si="21"/>
        <v>0</v>
      </c>
      <c r="G119" s="1813">
        <f t="shared" si="22"/>
        <v>0</v>
      </c>
    </row>
    <row r="120" spans="1:7" x14ac:dyDescent="0.25">
      <c r="A120" s="1672"/>
      <c r="B120" s="1686"/>
      <c r="C120" s="1673"/>
      <c r="D120" s="1864"/>
      <c r="E120" s="1559">
        <f t="shared" si="20"/>
        <v>0</v>
      </c>
      <c r="F120" s="1812">
        <f t="shared" si="21"/>
        <v>0</v>
      </c>
      <c r="G120" s="1813">
        <f t="shared" si="22"/>
        <v>0</v>
      </c>
    </row>
    <row r="121" spans="1:7" x14ac:dyDescent="0.25">
      <c r="A121" s="1672"/>
      <c r="B121" s="1686"/>
      <c r="C121" s="1673"/>
      <c r="D121" s="1864"/>
      <c r="E121" s="1559">
        <f t="shared" si="20"/>
        <v>0</v>
      </c>
      <c r="F121" s="1812">
        <f t="shared" si="21"/>
        <v>0</v>
      </c>
      <c r="G121" s="1813">
        <f t="shared" si="22"/>
        <v>0</v>
      </c>
    </row>
    <row r="122" spans="1:7" x14ac:dyDescent="0.25">
      <c r="A122" s="1672"/>
      <c r="B122" s="1686"/>
      <c r="C122" s="1673"/>
      <c r="D122" s="1864"/>
      <c r="E122" s="1559">
        <f t="shared" si="20"/>
        <v>0</v>
      </c>
      <c r="F122" s="1812">
        <f t="shared" si="21"/>
        <v>0</v>
      </c>
      <c r="G122" s="1813">
        <f t="shared" si="22"/>
        <v>0</v>
      </c>
    </row>
    <row r="123" spans="1:7" x14ac:dyDescent="0.25">
      <c r="A123" s="1672"/>
      <c r="B123" s="1686"/>
      <c r="C123" s="1673"/>
      <c r="D123" s="1864"/>
      <c r="E123" s="1559">
        <f t="shared" si="20"/>
        <v>0</v>
      </c>
      <c r="F123" s="1812">
        <f t="shared" si="21"/>
        <v>0</v>
      </c>
      <c r="G123" s="1813">
        <f t="shared" si="22"/>
        <v>0</v>
      </c>
    </row>
    <row r="124" spans="1:7" x14ac:dyDescent="0.25">
      <c r="A124" s="1672"/>
      <c r="B124" s="1686"/>
      <c r="C124" s="1673"/>
      <c r="D124" s="1864"/>
      <c r="E124" s="1559">
        <f t="shared" si="20"/>
        <v>0</v>
      </c>
      <c r="F124" s="1812">
        <f t="shared" si="21"/>
        <v>0</v>
      </c>
      <c r="G124" s="1813">
        <f t="shared" si="22"/>
        <v>0</v>
      </c>
    </row>
    <row r="125" spans="1:7" x14ac:dyDescent="0.25">
      <c r="A125" s="1672"/>
      <c r="B125" s="1686"/>
      <c r="C125" s="1673"/>
      <c r="D125" s="1864"/>
      <c r="E125" s="1559">
        <f t="shared" si="20"/>
        <v>0</v>
      </c>
      <c r="F125" s="1812">
        <f t="shared" si="21"/>
        <v>0</v>
      </c>
      <c r="G125" s="1813">
        <f t="shared" si="22"/>
        <v>0</v>
      </c>
    </row>
    <row r="126" spans="1:7"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x14ac:dyDescent="0.25">
      <c r="A127" s="1672"/>
      <c r="B127" s="1686"/>
      <c r="C127" s="1673"/>
      <c r="D127" s="1864"/>
      <c r="E127" s="1559">
        <f t="shared" si="23"/>
        <v>0</v>
      </c>
      <c r="F127" s="1812">
        <f t="shared" si="24"/>
        <v>0</v>
      </c>
      <c r="G127" s="1813">
        <f t="shared" si="25"/>
        <v>0</v>
      </c>
    </row>
    <row r="128" spans="1:7" x14ac:dyDescent="0.25">
      <c r="A128" s="1672"/>
      <c r="B128" s="1686"/>
      <c r="C128" s="1673"/>
      <c r="D128" s="1864"/>
      <c r="E128" s="1559">
        <f t="shared" si="23"/>
        <v>0</v>
      </c>
      <c r="F128" s="1812">
        <f t="shared" si="24"/>
        <v>0</v>
      </c>
      <c r="G128" s="1813">
        <f t="shared" si="25"/>
        <v>0</v>
      </c>
    </row>
    <row r="129" spans="1:7" x14ac:dyDescent="0.25">
      <c r="A129" s="1672"/>
      <c r="B129" s="1686"/>
      <c r="C129" s="1673"/>
      <c r="D129" s="1864"/>
      <c r="E129" s="1559">
        <f t="shared" si="23"/>
        <v>0</v>
      </c>
      <c r="F129" s="1812">
        <f t="shared" si="24"/>
        <v>0</v>
      </c>
      <c r="G129" s="1813">
        <f t="shared" si="25"/>
        <v>0</v>
      </c>
    </row>
    <row r="130" spans="1:7" x14ac:dyDescent="0.25">
      <c r="A130" s="1672"/>
      <c r="B130" s="1686"/>
      <c r="C130" s="1673"/>
      <c r="D130" s="1864"/>
      <c r="E130" s="1559">
        <f t="shared" si="23"/>
        <v>0</v>
      </c>
      <c r="F130" s="1812">
        <f t="shared" si="24"/>
        <v>0</v>
      </c>
      <c r="G130" s="1813">
        <f t="shared" si="25"/>
        <v>0</v>
      </c>
    </row>
    <row r="131" spans="1:7" x14ac:dyDescent="0.25">
      <c r="A131" s="1672"/>
      <c r="B131" s="1857"/>
      <c r="C131" s="1673"/>
      <c r="D131" s="1864"/>
      <c r="E131" s="1559">
        <f t="shared" si="23"/>
        <v>0</v>
      </c>
      <c r="F131" s="1812">
        <f t="shared" si="24"/>
        <v>0</v>
      </c>
      <c r="G131" s="1813">
        <f t="shared" si="25"/>
        <v>0</v>
      </c>
    </row>
    <row r="132" spans="1:7" x14ac:dyDescent="0.25">
      <c r="A132" s="1672"/>
      <c r="B132" s="1857"/>
      <c r="C132" s="1673"/>
      <c r="D132" s="1864"/>
      <c r="E132" s="1559">
        <f t="shared" si="23"/>
        <v>0</v>
      </c>
      <c r="F132" s="1812">
        <f t="shared" si="24"/>
        <v>0</v>
      </c>
      <c r="G132" s="1813">
        <f t="shared" si="25"/>
        <v>0</v>
      </c>
    </row>
    <row r="133" spans="1:7" x14ac:dyDescent="0.25">
      <c r="A133" s="1672"/>
      <c r="B133" s="1686"/>
      <c r="C133" s="1673"/>
      <c r="D133" s="1864"/>
      <c r="E133" s="1559">
        <f t="shared" si="23"/>
        <v>0</v>
      </c>
      <c r="F133" s="1812">
        <f t="shared" si="24"/>
        <v>0</v>
      </c>
      <c r="G133" s="1813">
        <f t="shared" si="25"/>
        <v>0</v>
      </c>
    </row>
    <row r="134" spans="1:7" x14ac:dyDescent="0.25">
      <c r="A134" s="1672"/>
      <c r="B134" s="1686"/>
      <c r="C134" s="1673"/>
      <c r="D134" s="1864"/>
      <c r="E134" s="1559">
        <f t="shared" si="23"/>
        <v>0</v>
      </c>
      <c r="F134" s="1812">
        <f t="shared" si="24"/>
        <v>0</v>
      </c>
      <c r="G134" s="1813">
        <f t="shared" si="25"/>
        <v>0</v>
      </c>
    </row>
    <row r="135" spans="1:7"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x14ac:dyDescent="0.25">
      <c r="A136" s="1672"/>
      <c r="B136" s="1686"/>
      <c r="C136" s="1673"/>
      <c r="D136" s="1864"/>
      <c r="E136" s="1559">
        <f t="shared" si="26"/>
        <v>0</v>
      </c>
      <c r="F136" s="1812">
        <f t="shared" si="27"/>
        <v>0</v>
      </c>
      <c r="G136" s="1813">
        <f t="shared" si="28"/>
        <v>0</v>
      </c>
    </row>
    <row r="137" spans="1:7" x14ac:dyDescent="0.25">
      <c r="A137" s="1672"/>
      <c r="B137" s="1686"/>
      <c r="C137" s="1673"/>
      <c r="D137" s="1864"/>
      <c r="E137" s="1559">
        <f t="shared" si="26"/>
        <v>0</v>
      </c>
      <c r="F137" s="1812">
        <f t="shared" si="27"/>
        <v>0</v>
      </c>
      <c r="G137" s="1813">
        <f t="shared" si="28"/>
        <v>0</v>
      </c>
    </row>
    <row r="138" spans="1:7" x14ac:dyDescent="0.25">
      <c r="A138" s="1672"/>
      <c r="B138" s="1686"/>
      <c r="C138" s="1673"/>
      <c r="D138" s="1864"/>
      <c r="E138" s="1559">
        <f t="shared" si="26"/>
        <v>0</v>
      </c>
      <c r="F138" s="1812">
        <f t="shared" si="27"/>
        <v>0</v>
      </c>
      <c r="G138" s="1813">
        <f t="shared" si="28"/>
        <v>0</v>
      </c>
    </row>
    <row r="139" spans="1:7" x14ac:dyDescent="0.25">
      <c r="A139" s="1672"/>
      <c r="B139" s="1686"/>
      <c r="C139" s="1673"/>
      <c r="D139" s="1864"/>
      <c r="E139" s="1559">
        <f t="shared" si="26"/>
        <v>0</v>
      </c>
      <c r="F139" s="1812">
        <f t="shared" si="27"/>
        <v>0</v>
      </c>
      <c r="G139" s="1813">
        <f t="shared" si="28"/>
        <v>0</v>
      </c>
    </row>
    <row r="140" spans="1:7"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0</v>
      </c>
      <c r="E141" s="1560">
        <f t="shared" si="1"/>
        <v>0</v>
      </c>
      <c r="F141" s="1814">
        <f>SUM(F17:F140)</f>
        <v>0</v>
      </c>
      <c r="G141" s="1815">
        <f>SUM(G17:G140)</f>
        <v>0</v>
      </c>
    </row>
  </sheetData>
  <sheetProtection sheet="1" selectLockedCells="1"/>
  <mergeCells count="6">
    <mergeCell ref="A13:G13"/>
    <mergeCell ref="A4:G5"/>
    <mergeCell ref="A11:G11"/>
    <mergeCell ref="A7:G7"/>
    <mergeCell ref="A8:G8"/>
    <mergeCell ref="A9:G9"/>
  </mergeCells>
  <printOptions horizontalCentered="1"/>
  <pageMargins left="0.5" right="0.5" top="1.4" bottom="0.75" header="1" footer="0.5"/>
  <pageSetup scale="78" firstPageNumber="30" fitToHeight="0" orientation="landscape" r:id="rId1"/>
  <headerFooter>
    <oddFooter>&amp;CReference should be made to accountant's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38" t="s">
        <v>1778</v>
      </c>
      <c r="B5" s="2339"/>
      <c r="C5" s="2339"/>
      <c r="D5" s="2339"/>
      <c r="E5" s="2339"/>
      <c r="F5" s="2339"/>
      <c r="G5" s="2340"/>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130266</v>
      </c>
      <c r="F10" s="975"/>
      <c r="G10" s="976"/>
      <c r="H10" s="162"/>
      <c r="I10" s="162"/>
    </row>
    <row r="11" spans="1:9" s="669" customFormat="1" ht="22.5" customHeight="1" x14ac:dyDescent="0.2">
      <c r="A11" s="2343" t="s">
        <v>1944</v>
      </c>
      <c r="B11" s="2344"/>
      <c r="C11" s="2344"/>
      <c r="D11" s="2345"/>
      <c r="E11" s="978">
        <v>15660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7" t="s">
        <v>553</v>
      </c>
      <c r="E17" s="1658"/>
      <c r="F17" s="1657" t="s">
        <v>453</v>
      </c>
      <c r="G17" s="1659"/>
      <c r="H17" s="162"/>
      <c r="I17" s="162"/>
    </row>
    <row r="18" spans="1:9" s="259" customFormat="1" ht="11.25" x14ac:dyDescent="0.2">
      <c r="A18" s="989"/>
      <c r="C18" s="990" t="s">
        <v>454</v>
      </c>
      <c r="D18" s="1660" t="s">
        <v>455</v>
      </c>
      <c r="E18" s="1660" t="s">
        <v>55</v>
      </c>
      <c r="F18" s="1660" t="s">
        <v>455</v>
      </c>
      <c r="G18" s="1660"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2729405</v>
      </c>
      <c r="F19" s="1819"/>
      <c r="G19" s="1821">
        <f>'Expenditures 15-22'!K33-SUM('Expenditures 15-22'!G33,'Expenditures 15-22'!I33)+'Expenditures 15-22'!D229</f>
        <v>2729405</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360970</v>
      </c>
      <c r="F21" s="1822"/>
      <c r="G21" s="1825">
        <f>'Expenditures 15-22'!K42-SUM('Expenditures 15-22'!G42,'Expenditures 15-22'!I42)+'Expenditures 15-22'!K120-SUM('Expenditures 15-22'!G120,'Expenditures 15-22'!I120)+'Expenditures 15-22'!K180-SUM('Expenditures 15-22'!G180,'Expenditures 15-22'!I180)+'Expenditures 15-22'!D238</f>
        <v>360970</v>
      </c>
      <c r="H21" s="988"/>
      <c r="I21" s="162"/>
    </row>
    <row r="22" spans="1:9" s="669" customFormat="1" ht="12" customHeight="1" x14ac:dyDescent="0.2">
      <c r="A22" s="995" t="s">
        <v>585</v>
      </c>
      <c r="B22" s="996"/>
      <c r="C22" s="994">
        <v>2200</v>
      </c>
      <c r="D22" s="1822"/>
      <c r="E22" s="1824">
        <f>'Expenditures 15-22'!K47-SUM('Expenditures 15-22'!G47,'Expenditures 15-22'!I47)+'Expenditures 15-22'!D243</f>
        <v>63381</v>
      </c>
      <c r="F22" s="1822"/>
      <c r="G22" s="1825">
        <f>'Expenditures 15-22'!K47-SUM('Expenditures 15-22'!G47,'Expenditures 15-22'!I47)+'Expenditures 15-22'!D243</f>
        <v>63381</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291674</v>
      </c>
      <c r="F23" s="1822"/>
      <c r="G23" s="1824">
        <f>'Expenditures 15-22'!K53-SUM('Expenditures 15-22'!G53,'Expenditures 15-22'!I53)+'Expenditures 15-22'!D257+'Expenditures 15-22'!K330-SUM('Expenditures 15-22'!G330,'Expenditures 15-22'!I330)</f>
        <v>291674</v>
      </c>
      <c r="H23" s="988"/>
      <c r="I23" s="162"/>
    </row>
    <row r="24" spans="1:9" s="669" customFormat="1" ht="12" customHeight="1" x14ac:dyDescent="0.2">
      <c r="A24" s="995" t="s">
        <v>587</v>
      </c>
      <c r="B24" s="996"/>
      <c r="C24" s="994">
        <v>2400</v>
      </c>
      <c r="D24" s="1822"/>
      <c r="E24" s="1824">
        <f>'Expenditures 15-22'!K57-SUM('Expenditures 15-22'!G57,'Expenditures 15-22'!I57)+'Expenditures 15-22'!D261</f>
        <v>262704</v>
      </c>
      <c r="F24" s="1822"/>
      <c r="G24" s="1825">
        <f>'Expenditures 15-22'!K57-SUM('Expenditures 15-22'!G57,'Expenditures 15-22'!I57)+'Expenditures 15-22'!D261</f>
        <v>262704</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77042</v>
      </c>
      <c r="E27" s="1824">
        <f>E8</f>
        <v>0</v>
      </c>
      <c r="F27" s="1824">
        <f>'Expenditures 15-22'!K60-SUM('Expenditures 15-22'!G60,'Expenditures 15-22'!I60)+'Expenditures 15-22'!D264-E8</f>
        <v>77042</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473775</v>
      </c>
      <c r="F28" s="1826">
        <f>'Expenditures 15-22'!K61-SUM('Expenditures 15-22'!G61,'Expenditures 15-22'!I61)+'Expenditures 15-22'!K124-SUM('Expenditures 15-22'!G124,'Expenditures 15-22'!I124)+'Expenditures 15-22'!D266-E9</f>
        <v>473775</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424144</v>
      </c>
      <c r="F29" s="1822"/>
      <c r="G29" s="1825">
        <f>'Expenditures 15-22'!K62-SUM('Expenditures 15-22'!G62,'Expenditures 15-22'!I62)+'Expenditures 15-22'!K125-SUM('Expenditures 15-22'!G125,'Expenditures 15-22'!I125)+'Expenditures 15-22'!K182-SUM('Expenditures 15-22'!G182,'Expenditures 15-22'!I182)+'Expenditures 15-22'!D267</f>
        <v>424144</v>
      </c>
      <c r="H29" s="986"/>
    </row>
    <row r="30" spans="1:9" ht="12" customHeight="1" x14ac:dyDescent="0.2">
      <c r="A30" s="995" t="s">
        <v>102</v>
      </c>
      <c r="B30" s="998"/>
      <c r="C30" s="994">
        <v>2560</v>
      </c>
      <c r="D30" s="1822"/>
      <c r="E30" s="1824">
        <f>'Expenditures 15-22'!K63-SUM('Expenditures 15-22'!G63,'Expenditures 15-22'!I63)+'Expenditures 15-22'!D268-E10</f>
        <v>8399</v>
      </c>
      <c r="F30" s="1822"/>
      <c r="G30" s="1824">
        <f>'Expenditures 15-22'!K63-SUM('Expenditures 15-22'!G63,'Expenditures 15-22'!I63)+'Expenditures 15-22'!D268-E10</f>
        <v>8399</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2"/>
      <c r="E40" s="1826">
        <f>-'Contracts Paid in CY 29'!G141</f>
        <v>0</v>
      </c>
      <c r="F40" s="1822"/>
      <c r="G40" s="1826">
        <f>-'Contracts Paid in CY 29'!G141</f>
        <v>0</v>
      </c>
    </row>
    <row r="41" spans="1:7" ht="12" customHeight="1" x14ac:dyDescent="0.2">
      <c r="A41" s="999" t="s">
        <v>158</v>
      </c>
      <c r="B41" s="1000"/>
      <c r="C41" s="1001"/>
      <c r="D41" s="1826">
        <f>SUM(D19:D39)</f>
        <v>77042</v>
      </c>
      <c r="E41" s="1826">
        <f>SUM(E19:E40)</f>
        <v>4614452</v>
      </c>
      <c r="F41" s="1826">
        <f>SUM(F19:F39)</f>
        <v>550817</v>
      </c>
      <c r="G41" s="1826">
        <f>SUM(G19:G40)</f>
        <v>4140677</v>
      </c>
    </row>
    <row r="42" spans="1:7" x14ac:dyDescent="0.2">
      <c r="A42" s="988"/>
      <c r="B42" s="162"/>
      <c r="C42" s="1002"/>
      <c r="D42" s="2341" t="s">
        <v>543</v>
      </c>
      <c r="E42" s="2342"/>
      <c r="F42" s="1003" t="s">
        <v>544</v>
      </c>
      <c r="G42" s="1004"/>
    </row>
    <row r="43" spans="1:7" ht="12" customHeight="1" x14ac:dyDescent="0.2">
      <c r="A43" s="988"/>
      <c r="B43" s="162"/>
      <c r="C43" s="1002"/>
      <c r="D43" s="1827" t="s">
        <v>493</v>
      </c>
      <c r="E43" s="1828">
        <f>D41</f>
        <v>77042</v>
      </c>
      <c r="F43" s="1827" t="s">
        <v>495</v>
      </c>
      <c r="G43" s="1828">
        <f>F41</f>
        <v>550817</v>
      </c>
    </row>
    <row r="44" spans="1:7" ht="12" customHeight="1" x14ac:dyDescent="0.2">
      <c r="A44" s="988"/>
      <c r="B44" s="162"/>
      <c r="C44" s="1002"/>
      <c r="D44" s="1827" t="s">
        <v>494</v>
      </c>
      <c r="E44" s="1828">
        <f>E41</f>
        <v>4614452</v>
      </c>
      <c r="F44" s="1827" t="s">
        <v>494</v>
      </c>
      <c r="G44" s="1828">
        <f>G41</f>
        <v>4140677</v>
      </c>
    </row>
    <row r="45" spans="1:7" ht="12" customHeight="1" x14ac:dyDescent="0.2">
      <c r="A45" s="988"/>
      <c r="B45" s="162"/>
      <c r="C45" s="162"/>
      <c r="D45" s="1829" t="s">
        <v>1063</v>
      </c>
      <c r="E45" s="1830">
        <f>(E43/E44)</f>
        <v>1.6695806999401014E-2</v>
      </c>
      <c r="F45" s="1829" t="s">
        <v>1063</v>
      </c>
      <c r="G45" s="1830">
        <f>(G43/G44)</f>
        <v>0.13302583128314524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headings="1"/>
  <pageMargins left="0.5" right="0.5" top="1.4" bottom="0.75" header="1" footer="0.5"/>
  <pageSetup scale="75" firstPageNumber="30" orientation="landscape" useFirstPageNumber="1" r:id="rId1"/>
  <headerFooter alignWithMargins="0">
    <oddHeader>&amp;L&amp;8Page &amp;P&amp;C&amp;"Arial,Bold"
ESTIMATED INDIRECT COST DATA&amp;R&amp;8Page &amp;P</oddHeader>
    <oddFooter>&amp;L&amp;8Print Date:  &amp;D
&amp;F&amp;CReference should be made to accountant's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D20" sqref="D20"/>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49" t="s">
        <v>1446</v>
      </c>
      <c r="B1" s="2349"/>
      <c r="C1" s="2349"/>
      <c r="D1" s="2349"/>
      <c r="E1" s="2349"/>
      <c r="F1" s="2349"/>
    </row>
    <row r="2" spans="1:10" x14ac:dyDescent="0.2">
      <c r="A2" s="1909" t="s">
        <v>2046</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50" t="s">
        <v>1627</v>
      </c>
      <c r="B5" s="2351"/>
      <c r="C5" s="2352"/>
      <c r="D5" s="2352"/>
      <c r="E5" s="2352"/>
      <c r="F5" s="2352"/>
    </row>
    <row r="6" spans="1:10" ht="12" customHeight="1" x14ac:dyDescent="0.25">
      <c r="A6" s="1872"/>
      <c r="B6" s="1873"/>
      <c r="C6" s="2353" t="str">
        <f>COVER!A17</f>
        <v>Tri-City CUSD 1</v>
      </c>
      <c r="D6" s="2353"/>
      <c r="E6" s="2353"/>
      <c r="F6" s="1874"/>
    </row>
    <row r="7" spans="1:10" ht="11.25" customHeight="1" thickBot="1" x14ac:dyDescent="0.3">
      <c r="A7" s="1872"/>
      <c r="B7" s="1873"/>
      <c r="C7" s="2354">
        <f>COVER!A13</f>
        <v>51084001026</v>
      </c>
      <c r="D7" s="2354"/>
      <c r="E7" s="2354"/>
      <c r="F7" s="1874"/>
    </row>
    <row r="8" spans="1:10" ht="25.5" customHeight="1" thickBot="1" x14ac:dyDescent="0.25">
      <c r="A8" s="1915" t="s">
        <v>2023</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t="s">
        <v>2077</v>
      </c>
      <c r="D19" s="1887" t="s">
        <v>2077</v>
      </c>
      <c r="E19" s="1890" t="s">
        <v>2077</v>
      </c>
      <c r="F19" s="1889" t="s">
        <v>2098</v>
      </c>
      <c r="H19" s="1900">
        <f t="shared" si="0"/>
        <v>5</v>
      </c>
      <c r="I19" s="1900">
        <f t="shared" si="1"/>
        <v>5</v>
      </c>
      <c r="J19" s="1900">
        <f t="shared" si="2"/>
        <v>5</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2077</v>
      </c>
      <c r="D26" s="1887" t="s">
        <v>2077</v>
      </c>
      <c r="E26" s="1890" t="s">
        <v>2077</v>
      </c>
      <c r="F26" s="1889" t="s">
        <v>2099</v>
      </c>
      <c r="H26" s="1900">
        <f t="shared" si="0"/>
        <v>5</v>
      </c>
      <c r="I26" s="1900">
        <f t="shared" si="1"/>
        <v>5</v>
      </c>
      <c r="J26" s="1900">
        <f t="shared" si="2"/>
        <v>5</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t="s">
        <v>2077</v>
      </c>
      <c r="D31" s="1887" t="s">
        <v>2077</v>
      </c>
      <c r="E31" s="1890" t="s">
        <v>2077</v>
      </c>
      <c r="F31" s="1889" t="s">
        <v>2100</v>
      </c>
      <c r="H31" s="1900">
        <f t="shared" si="0"/>
        <v>5</v>
      </c>
      <c r="I31" s="1900">
        <f t="shared" si="1"/>
        <v>5</v>
      </c>
      <c r="J31" s="1900">
        <f t="shared" si="2"/>
        <v>5</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t="s">
        <v>2077</v>
      </c>
      <c r="D33" s="1887" t="s">
        <v>2077</v>
      </c>
      <c r="E33" s="1890" t="s">
        <v>2077</v>
      </c>
      <c r="F33" s="1889" t="s">
        <v>2101</v>
      </c>
      <c r="H33" s="1900">
        <f t="shared" si="0"/>
        <v>5</v>
      </c>
      <c r="I33" s="1900">
        <f t="shared" si="1"/>
        <v>5</v>
      </c>
      <c r="J33" s="1900">
        <f t="shared" si="2"/>
        <v>5</v>
      </c>
    </row>
    <row r="34" spans="1:11" ht="12" customHeight="1" x14ac:dyDescent="0.25">
      <c r="A34" s="1892"/>
      <c r="B34" s="1892"/>
      <c r="C34" s="1892"/>
      <c r="D34" s="1892"/>
      <c r="E34" s="1892"/>
      <c r="F34" s="1892"/>
      <c r="H34" s="1900">
        <f>SUM(H11:H32)</f>
        <v>15</v>
      </c>
      <c r="I34" s="1900">
        <f>SUM(I11:I32)</f>
        <v>15</v>
      </c>
      <c r="J34" s="1900">
        <f>SUM(J11:J32)</f>
        <v>15</v>
      </c>
      <c r="K34" s="1900">
        <f>SUM(H34:J34)</f>
        <v>45</v>
      </c>
    </row>
    <row r="35" spans="1:11" ht="12" customHeight="1" x14ac:dyDescent="0.2">
      <c r="A35" s="1893" t="s">
        <v>1459</v>
      </c>
      <c r="B35" s="1894"/>
      <c r="C35" s="2355"/>
      <c r="D35" s="2355"/>
      <c r="E35" s="2355"/>
      <c r="F35" s="2356"/>
    </row>
    <row r="36" spans="1:11" ht="12" customHeight="1" x14ac:dyDescent="0.2">
      <c r="A36" s="2346"/>
      <c r="B36" s="2347"/>
      <c r="C36" s="2347"/>
      <c r="D36" s="2347"/>
      <c r="E36" s="2347"/>
      <c r="F36" s="2348"/>
    </row>
    <row r="37" spans="1:11" ht="12" customHeight="1" x14ac:dyDescent="0.2">
      <c r="A37" s="2346"/>
      <c r="B37" s="2347"/>
      <c r="C37" s="2347"/>
      <c r="D37" s="2347"/>
      <c r="E37" s="2347"/>
      <c r="F37" s="2348"/>
    </row>
    <row r="38" spans="1:11" ht="12" customHeight="1" x14ac:dyDescent="0.2">
      <c r="A38" s="2360"/>
      <c r="B38" s="2361"/>
      <c r="C38" s="2361"/>
      <c r="D38" s="2361"/>
      <c r="E38" s="2361"/>
      <c r="F38" s="2362"/>
    </row>
    <row r="39" spans="1:11" ht="4.5" hidden="1" customHeight="1" x14ac:dyDescent="0.2">
      <c r="A39" s="1895"/>
      <c r="B39" s="1895"/>
      <c r="C39" s="1895"/>
      <c r="D39" s="1895"/>
      <c r="E39" s="1895"/>
      <c r="F39" s="1895"/>
    </row>
    <row r="40" spans="1:11" s="1892" customFormat="1" ht="12" customHeight="1" x14ac:dyDescent="0.25">
      <c r="A40" s="1896" t="s">
        <v>1458</v>
      </c>
      <c r="B40" s="1897"/>
      <c r="C40" s="2363"/>
      <c r="D40" s="2363"/>
      <c r="E40" s="2363"/>
      <c r="F40" s="2364"/>
      <c r="H40" s="1901"/>
      <c r="I40" s="1901"/>
      <c r="J40" s="1901"/>
      <c r="K40" s="1901"/>
    </row>
    <row r="41" spans="1:11" s="1892" customFormat="1" ht="12" customHeight="1" x14ac:dyDescent="0.25">
      <c r="A41" s="2365"/>
      <c r="B41" s="2366"/>
      <c r="C41" s="2366"/>
      <c r="D41" s="2366"/>
      <c r="E41" s="2366"/>
      <c r="F41" s="2367"/>
      <c r="H41" s="1901"/>
      <c r="I41" s="1901"/>
      <c r="J41" s="1901"/>
      <c r="K41" s="1901"/>
    </row>
    <row r="42" spans="1:11" s="1892" customFormat="1" ht="12" customHeight="1" x14ac:dyDescent="0.25">
      <c r="A42" s="2365"/>
      <c r="B42" s="2366"/>
      <c r="C42" s="2366"/>
      <c r="D42" s="2366"/>
      <c r="E42" s="2366"/>
      <c r="F42" s="2367"/>
      <c r="H42" s="1901"/>
      <c r="I42" s="1901"/>
      <c r="J42" s="1901"/>
      <c r="K42" s="1901"/>
    </row>
    <row r="43" spans="1:11" s="1892" customFormat="1" ht="15" x14ac:dyDescent="0.25">
      <c r="A43" s="2357"/>
      <c r="B43" s="2358"/>
      <c r="C43" s="2358"/>
      <c r="D43" s="2358"/>
      <c r="E43" s="2358"/>
      <c r="F43" s="2359"/>
      <c r="H43" s="1901"/>
      <c r="I43" s="1901"/>
      <c r="J43" s="1901"/>
      <c r="K43" s="1901"/>
    </row>
    <row r="44" spans="1:11" s="1892" customFormat="1" ht="12" hidden="1" customHeight="1" x14ac:dyDescent="0.25">
      <c r="A44" s="2357"/>
      <c r="B44" s="2358"/>
      <c r="C44" s="2358"/>
      <c r="D44" s="2358"/>
      <c r="E44" s="2358"/>
      <c r="F44" s="2359"/>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5" right="0.5" top="1.4" bottom="0.75" header="1" footer="0.5"/>
  <pageSetup scale="80" orientation="landscape" r:id="rId1"/>
  <headerFooter>
    <oddFooter xml:space="preserve">&amp;L&amp;8Page 31&amp;CReference should be made to accountant's report regarding this information.&amp;8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topLeftCell="A13" colorId="8" zoomScale="110" zoomScaleNormal="110" workbookViewId="0">
      <selection activeCell="F29" sqref="F29:G2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1"/>
      <c r="C6" s="1661"/>
      <c r="D6" s="1661"/>
      <c r="E6" s="1662"/>
      <c r="F6" s="1016"/>
      <c r="G6" s="1010"/>
      <c r="H6" s="1017" t="s">
        <v>1086</v>
      </c>
      <c r="I6" s="2373" t="str">
        <f>COVER!A17</f>
        <v>Tri-City CUSD 1</v>
      </c>
      <c r="J6" s="2374"/>
      <c r="Q6" s="1683"/>
    </row>
    <row r="7" spans="1:17" x14ac:dyDescent="0.2">
      <c r="A7" s="2375" t="s">
        <v>924</v>
      </c>
      <c r="B7" s="2376"/>
      <c r="C7" s="2376"/>
      <c r="D7" s="2376"/>
      <c r="E7" s="2377"/>
      <c r="F7" s="1018"/>
      <c r="G7" s="1010"/>
      <c r="H7" s="1017" t="s">
        <v>390</v>
      </c>
      <c r="I7" s="2378">
        <f>COVER!A13</f>
        <v>51084001026</v>
      </c>
      <c r="J7" s="2378"/>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79" t="s">
        <v>502</v>
      </c>
      <c r="B11" s="2380"/>
      <c r="C11" s="238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139147</v>
      </c>
      <c r="F12" s="1040"/>
      <c r="G12" s="1831">
        <f t="shared" ref="G12:G18" si="0">SUM(E12:F12)</f>
        <v>139147</v>
      </c>
      <c r="H12" s="1041">
        <v>140000</v>
      </c>
      <c r="I12" s="1040"/>
      <c r="J12" s="1831">
        <f t="shared" ref="J12:J18" si="1">SUM(H12:I12)</f>
        <v>140000</v>
      </c>
    </row>
    <row r="13" spans="1:17" ht="15" customHeight="1" x14ac:dyDescent="0.2">
      <c r="A13" s="1036">
        <v>2</v>
      </c>
      <c r="B13" s="1037" t="s">
        <v>44</v>
      </c>
      <c r="C13" s="1038"/>
      <c r="D13" s="1039">
        <v>2330</v>
      </c>
      <c r="E13" s="1831">
        <f>'Expenditures 15-22'!K51</f>
        <v>0</v>
      </c>
      <c r="F13" s="1040"/>
      <c r="G13" s="1831">
        <f t="shared" si="0"/>
        <v>0</v>
      </c>
      <c r="H13" s="1041"/>
      <c r="I13" s="1040"/>
      <c r="J13" s="1831">
        <f t="shared" si="1"/>
        <v>0</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0</v>
      </c>
      <c r="F16" s="1040"/>
      <c r="G16" s="1831">
        <f t="shared" si="0"/>
        <v>0</v>
      </c>
      <c r="H16" s="1041"/>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c r="I17" s="1040"/>
      <c r="J17" s="1831">
        <f t="shared" si="1"/>
        <v>0</v>
      </c>
    </row>
    <row r="18" spans="1:10" ht="22.5" customHeight="1" x14ac:dyDescent="0.2">
      <c r="A18" s="1043">
        <v>7</v>
      </c>
      <c r="B18" s="2382" t="s">
        <v>7</v>
      </c>
      <c r="C18" s="2383"/>
      <c r="D18" s="2384"/>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139147</v>
      </c>
      <c r="F19" s="1833">
        <f t="shared" si="2"/>
        <v>0</v>
      </c>
      <c r="G19" s="1833">
        <f t="shared" si="2"/>
        <v>139147</v>
      </c>
      <c r="H19" s="1833">
        <f t="shared" si="2"/>
        <v>140000</v>
      </c>
      <c r="I19" s="1833">
        <f t="shared" si="2"/>
        <v>0</v>
      </c>
      <c r="J19" s="1833">
        <f t="shared" si="2"/>
        <v>140000</v>
      </c>
    </row>
    <row r="20" spans="1:10" ht="13.5" thickTop="1" x14ac:dyDescent="0.2">
      <c r="A20" s="1036">
        <v>9</v>
      </c>
      <c r="B20" s="2385" t="s">
        <v>1703</v>
      </c>
      <c r="C20" s="2385"/>
      <c r="D20" s="2386"/>
      <c r="E20" s="1047"/>
      <c r="F20" s="1047"/>
      <c r="G20" s="1047"/>
      <c r="H20" s="1047"/>
      <c r="I20" s="1047"/>
      <c r="J20" s="1834">
        <f>IF(AND(G19&gt;0,J19&gt;0),(((J19-G19)/G19)),"Enter Budget Data")</f>
        <v>6.1302076221549867E-3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91"/>
      <c r="D26" s="2391"/>
      <c r="E26" s="1051"/>
      <c r="F26" s="2390">
        <v>43370</v>
      </c>
      <c r="G26" s="2390"/>
    </row>
    <row r="27" spans="1:10" x14ac:dyDescent="0.2">
      <c r="B27" s="1048"/>
      <c r="C27" s="1052" t="s">
        <v>1093</v>
      </c>
      <c r="D27" s="1053"/>
      <c r="E27" s="1054"/>
      <c r="F27" s="2387" t="s">
        <v>1589</v>
      </c>
      <c r="G27" s="2387"/>
    </row>
    <row r="28" spans="1:10" ht="28.5" customHeight="1" x14ac:dyDescent="0.2">
      <c r="B28" s="1048"/>
      <c r="C28" s="2389" t="s">
        <v>2090</v>
      </c>
      <c r="D28" s="2389"/>
      <c r="E28" s="1055"/>
      <c r="F28" s="2389" t="s">
        <v>2091</v>
      </c>
      <c r="G28" s="2389"/>
    </row>
    <row r="29" spans="1:10" x14ac:dyDescent="0.2">
      <c r="B29" s="1048"/>
      <c r="C29" s="1056" t="s">
        <v>1642</v>
      </c>
      <c r="E29" s="1057"/>
      <c r="F29" s="2388" t="s">
        <v>1590</v>
      </c>
      <c r="G29" s="238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70" t="s">
        <v>134</v>
      </c>
      <c r="D33" s="2371"/>
      <c r="E33" s="2371"/>
      <c r="F33" s="2371"/>
      <c r="G33" s="2371"/>
      <c r="H33" s="2371"/>
      <c r="I33" s="2371"/>
    </row>
    <row r="34" spans="1:10" ht="10.35" customHeight="1" x14ac:dyDescent="0.2">
      <c r="C34" s="2371"/>
      <c r="D34" s="2371"/>
      <c r="E34" s="2371"/>
      <c r="F34" s="2371"/>
      <c r="G34" s="2371"/>
      <c r="H34" s="2371"/>
      <c r="I34" s="2371"/>
    </row>
    <row r="35" spans="1:10" ht="7.5" customHeight="1" x14ac:dyDescent="0.2">
      <c r="C35" s="1063"/>
    </row>
    <row r="36" spans="1:10" ht="13.5" customHeight="1" x14ac:dyDescent="0.2">
      <c r="B36" s="1062"/>
      <c r="C36" s="2372" t="s">
        <v>1943</v>
      </c>
      <c r="D36" s="2371"/>
      <c r="E36" s="2371"/>
      <c r="F36" s="2371"/>
      <c r="G36" s="2371"/>
      <c r="H36" s="2371"/>
      <c r="I36" s="2371"/>
      <c r="J36" s="1064"/>
    </row>
    <row r="37" spans="1:10" ht="22.5" customHeight="1" x14ac:dyDescent="0.2">
      <c r="C37" s="2371"/>
      <c r="D37" s="2371"/>
      <c r="E37" s="2371"/>
      <c r="F37" s="2371"/>
      <c r="G37" s="2371"/>
      <c r="H37" s="2371"/>
      <c r="I37" s="2371"/>
      <c r="J37" s="1064"/>
    </row>
    <row r="38" spans="1:10" ht="7.5" customHeight="1" x14ac:dyDescent="0.2">
      <c r="C38" s="1063"/>
      <c r="D38" s="1065"/>
      <c r="E38" s="1066"/>
      <c r="F38" s="1067"/>
      <c r="G38" s="1066"/>
    </row>
    <row r="39" spans="1:10" ht="13.5" customHeight="1" x14ac:dyDescent="0.2">
      <c r="B39" s="1062"/>
      <c r="C39" s="2368" t="s">
        <v>937</v>
      </c>
      <c r="D39" s="2369"/>
      <c r="E39" s="2369"/>
      <c r="F39" s="2369"/>
      <c r="G39" s="2369"/>
      <c r="H39" s="2369"/>
      <c r="I39" s="236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5" top="1.4" bottom="0.75" header="1" footer="0.5"/>
  <pageSetup scale="89" firstPageNumber="31" orientation="landscape" useFirstPageNumber="1" r:id="rId1"/>
  <headerFooter alignWithMargins="0">
    <oddHeader>&amp;L&amp;8Page 32&amp;C &amp;R&amp;8Page 32</oddHeader>
    <oddFooter>&amp;CReference should be made to accountant's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2:B65"/>
  <sheetViews>
    <sheetView showGridLines="0" zoomScale="110" zoomScaleNormal="110" workbookViewId="0">
      <selection activeCell="A21" sqref="A21"/>
    </sheetView>
  </sheetViews>
  <sheetFormatPr defaultRowHeight="12.75" x14ac:dyDescent="0.2"/>
  <cols>
    <col min="1" max="1" width="3" customWidth="1"/>
    <col min="2" max="2" width="109.140625" customWidth="1"/>
    <col min="3" max="3" width="3.140625" customWidth="1"/>
  </cols>
  <sheetData>
    <row r="2" spans="1:2" x14ac:dyDescent="0.2">
      <c r="A2" s="1978" t="s">
        <v>276</v>
      </c>
    </row>
    <row r="3" spans="1:2" x14ac:dyDescent="0.2">
      <c r="A3" t="s">
        <v>277</v>
      </c>
    </row>
    <row r="5" spans="1:2" x14ac:dyDescent="0.2">
      <c r="A5" s="1980">
        <v>1</v>
      </c>
      <c r="B5" t="s">
        <v>2160</v>
      </c>
    </row>
    <row r="6" spans="1:2" x14ac:dyDescent="0.2">
      <c r="A6" s="1979"/>
    </row>
    <row r="7" spans="1:2" x14ac:dyDescent="0.2">
      <c r="A7" s="1980">
        <v>2</v>
      </c>
      <c r="B7" t="s">
        <v>2161</v>
      </c>
    </row>
    <row r="8" spans="1:2" x14ac:dyDescent="0.2">
      <c r="A8" s="1980"/>
    </row>
    <row r="9" spans="1:2" x14ac:dyDescent="0.2">
      <c r="A9" s="1980">
        <v>3</v>
      </c>
      <c r="B9" t="s">
        <v>2162</v>
      </c>
    </row>
    <row r="10" spans="1:2" x14ac:dyDescent="0.2">
      <c r="A10" s="1980"/>
    </row>
    <row r="11" spans="1:2" x14ac:dyDescent="0.2">
      <c r="A11" s="1980">
        <v>4</v>
      </c>
      <c r="B11" t="s">
        <v>2163</v>
      </c>
    </row>
    <row r="12" spans="1:2" x14ac:dyDescent="0.2">
      <c r="A12" s="1980"/>
    </row>
    <row r="13" spans="1:2" x14ac:dyDescent="0.2">
      <c r="A13" s="1980">
        <v>5</v>
      </c>
      <c r="B13" t="s">
        <v>2164</v>
      </c>
    </row>
    <row r="14" spans="1:2" x14ac:dyDescent="0.2">
      <c r="A14" s="1980"/>
    </row>
    <row r="15" spans="1:2" x14ac:dyDescent="0.2">
      <c r="A15" s="1980">
        <v>6</v>
      </c>
      <c r="B15" t="s">
        <v>2165</v>
      </c>
    </row>
    <row r="16" spans="1:2" x14ac:dyDescent="0.2">
      <c r="A16" s="1980"/>
    </row>
    <row r="17" spans="1:2" x14ac:dyDescent="0.2">
      <c r="A17" s="1980">
        <v>7</v>
      </c>
      <c r="B17" t="s">
        <v>2166</v>
      </c>
    </row>
    <row r="18" spans="1:2" x14ac:dyDescent="0.2">
      <c r="A18" s="1980"/>
    </row>
    <row r="19" spans="1:2" x14ac:dyDescent="0.2">
      <c r="A19" s="1980">
        <v>8</v>
      </c>
      <c r="B19" t="s">
        <v>2167</v>
      </c>
    </row>
    <row r="20" spans="1:2" x14ac:dyDescent="0.2">
      <c r="A20" s="1980"/>
    </row>
    <row r="21" spans="1:2" x14ac:dyDescent="0.2">
      <c r="A21" s="1980" t="s">
        <v>2158</v>
      </c>
    </row>
    <row r="22" spans="1:2" x14ac:dyDescent="0.2">
      <c r="A22" s="1980" t="s">
        <v>2159</v>
      </c>
    </row>
    <row r="23" spans="1:2" x14ac:dyDescent="0.2">
      <c r="A23" s="1980"/>
    </row>
    <row r="24" spans="1:2" x14ac:dyDescent="0.2">
      <c r="A24" s="1980"/>
    </row>
    <row r="25" spans="1:2" x14ac:dyDescent="0.2">
      <c r="A25" s="1980"/>
    </row>
    <row r="26" spans="1:2" x14ac:dyDescent="0.2">
      <c r="A26" s="1980"/>
    </row>
    <row r="27" spans="1:2" x14ac:dyDescent="0.2">
      <c r="A27" s="1980"/>
    </row>
    <row r="28" spans="1:2" x14ac:dyDescent="0.2">
      <c r="A28" s="1980"/>
    </row>
    <row r="29" spans="1:2" x14ac:dyDescent="0.2">
      <c r="A29" s="1980"/>
    </row>
    <row r="30" spans="1:2" x14ac:dyDescent="0.2">
      <c r="A30" s="1980"/>
    </row>
    <row r="31" spans="1:2" x14ac:dyDescent="0.2">
      <c r="A31" s="1980"/>
    </row>
    <row r="32" spans="1:2" x14ac:dyDescent="0.2">
      <c r="A32" s="1980"/>
    </row>
    <row r="33" spans="1:1" x14ac:dyDescent="0.2">
      <c r="A33" s="1980"/>
    </row>
    <row r="34" spans="1:1" x14ac:dyDescent="0.2">
      <c r="A34" s="1980"/>
    </row>
    <row r="35" spans="1:1" x14ac:dyDescent="0.2">
      <c r="A35" s="1980"/>
    </row>
    <row r="36" spans="1:1" x14ac:dyDescent="0.2">
      <c r="A36" s="1980"/>
    </row>
    <row r="37" spans="1:1" x14ac:dyDescent="0.2">
      <c r="A37" s="1980"/>
    </row>
    <row r="38" spans="1:1" x14ac:dyDescent="0.2">
      <c r="A38" s="1980"/>
    </row>
    <row r="39" spans="1:1" x14ac:dyDescent="0.2">
      <c r="A39" s="1980"/>
    </row>
    <row r="40" spans="1:1" x14ac:dyDescent="0.2">
      <c r="A40" s="1980"/>
    </row>
    <row r="41" spans="1:1" x14ac:dyDescent="0.2">
      <c r="A41" s="1980"/>
    </row>
    <row r="42" spans="1:1" x14ac:dyDescent="0.2">
      <c r="A42" s="1980"/>
    </row>
    <row r="43" spans="1:1" x14ac:dyDescent="0.2">
      <c r="A43" s="1980"/>
    </row>
    <row r="44" spans="1:1" x14ac:dyDescent="0.2">
      <c r="A44" s="1980"/>
    </row>
    <row r="45" spans="1:1" x14ac:dyDescent="0.2">
      <c r="A45" s="1980"/>
    </row>
    <row r="46" spans="1:1" x14ac:dyDescent="0.2">
      <c r="A46" s="1980"/>
    </row>
    <row r="47" spans="1:1" x14ac:dyDescent="0.2">
      <c r="A47" s="1980"/>
    </row>
    <row r="48" spans="1:1" x14ac:dyDescent="0.2">
      <c r="A48" s="1980"/>
    </row>
    <row r="49" spans="1:2" x14ac:dyDescent="0.2">
      <c r="A49" s="1980"/>
    </row>
    <row r="50" spans="1:2" x14ac:dyDescent="0.2">
      <c r="A50" s="1980"/>
    </row>
    <row r="51" spans="1:2" x14ac:dyDescent="0.2">
      <c r="A51" s="1980"/>
    </row>
    <row r="52" spans="1:2" x14ac:dyDescent="0.2">
      <c r="A52" s="1980"/>
    </row>
    <row r="53" spans="1:2" x14ac:dyDescent="0.2">
      <c r="A53" s="1980"/>
    </row>
    <row r="54" spans="1:2" x14ac:dyDescent="0.2">
      <c r="A54" s="1980"/>
    </row>
    <row r="55" spans="1:2" x14ac:dyDescent="0.2">
      <c r="A55" s="1980"/>
    </row>
    <row r="56" spans="1:2" x14ac:dyDescent="0.2">
      <c r="A56" s="1980"/>
    </row>
    <row r="57" spans="1:2" x14ac:dyDescent="0.2">
      <c r="A57" s="1980"/>
    </row>
    <row r="58" spans="1:2" x14ac:dyDescent="0.2">
      <c r="A58" s="1980"/>
    </row>
    <row r="59" spans="1:2" x14ac:dyDescent="0.2">
      <c r="A59" s="1980"/>
    </row>
    <row r="60" spans="1:2" x14ac:dyDescent="0.2">
      <c r="A60" s="1980"/>
    </row>
    <row r="61" spans="1:2" x14ac:dyDescent="0.2">
      <c r="A61" s="1980"/>
    </row>
    <row r="62" spans="1:2" x14ac:dyDescent="0.2">
      <c r="A62" s="1980"/>
    </row>
    <row r="63" spans="1:2" x14ac:dyDescent="0.2">
      <c r="A63" s="1980"/>
    </row>
    <row r="64" spans="1:2" x14ac:dyDescent="0.2">
      <c r="A64" s="1980"/>
      <c r="B64" s="1981" t="str">
        <f>+COVER!A17</f>
        <v>Tri-City CUSD 1</v>
      </c>
    </row>
    <row r="65" spans="2:2" x14ac:dyDescent="0.2">
      <c r="B65" s="1982">
        <f>+COVER!A13</f>
        <v>51084001026</v>
      </c>
    </row>
  </sheetData>
  <printOptions horizontalCentered="1"/>
  <pageMargins left="1" right="0.75" top="1.25" bottom="0.5" header="1" footer="0.25"/>
  <pageSetup scale="76" firstPageNumber="32" orientation="portrait" useFirstPageNumber="1" r:id="rId1"/>
  <headerFooter alignWithMargins="0">
    <oddHeader>&amp;L&amp;8Page 33&amp;C &amp;R&amp;8Page 33</oddHeader>
    <oddFooter>&amp;CReference should be made to accountant's report regarding this information.
50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7"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6" t="s">
        <v>1709</v>
      </c>
    </row>
    <row r="23" spans="1:5" x14ac:dyDescent="0.2">
      <c r="A23" s="168"/>
      <c r="B23" s="162" t="s">
        <v>1968</v>
      </c>
      <c r="D23" s="167" t="s">
        <v>658</v>
      </c>
      <c r="E23" s="1856"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09" t="s">
        <v>1125</v>
      </c>
      <c r="B35" s="2109"/>
      <c r="C35" s="2109"/>
      <c r="D35" s="2109"/>
      <c r="E35" s="210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6" t="s">
        <v>715</v>
      </c>
      <c r="B40" s="2106"/>
      <c r="C40" s="2106"/>
      <c r="D40" s="2106"/>
      <c r="E40" s="2106"/>
    </row>
    <row r="41" spans="1:5" x14ac:dyDescent="0.2">
      <c r="A41" s="2107" t="s">
        <v>1706</v>
      </c>
      <c r="B41" s="2107"/>
      <c r="C41" s="2107"/>
      <c r="D41" s="2107"/>
      <c r="E41" s="2107"/>
    </row>
    <row r="42" spans="1:5" ht="12.75" customHeight="1" x14ac:dyDescent="0.2">
      <c r="A42" s="2108" t="s">
        <v>1080</v>
      </c>
      <c r="B42" s="2108"/>
      <c r="C42" s="2108"/>
      <c r="D42" s="2108"/>
      <c r="E42" s="2108"/>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4" t="s">
        <v>1879</v>
      </c>
    </row>
    <row r="60" spans="1:3" x14ac:dyDescent="0.2">
      <c r="A60" s="196"/>
      <c r="B60" s="1504"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6"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5"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rintOptions horizontalCentered="1"/>
  <pageMargins left="1" right="0.75" top="1.25" bottom="0.75" header="1" footer="0.25"/>
  <pageSetup scale="72" firstPageNumber="33" orientation="portrait" useFirstPageNumber="1" r:id="rId1"/>
  <headerFooter alignWithMargins="0">
    <oddHeader>&amp;L&amp;8Page 34&amp;R&amp;8Page 34</oddHeader>
    <oddFooter>&amp;CReference should be made to accountant's report regarding this information.
51</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81"/>
  <sheetViews>
    <sheetView topLeftCell="A54" zoomScaleNormal="100" workbookViewId="0">
      <selection activeCell="C77" sqref="C77"/>
    </sheetView>
  </sheetViews>
  <sheetFormatPr defaultColWidth="9.140625" defaultRowHeight="12.75" x14ac:dyDescent="0.2"/>
  <cols>
    <col min="1" max="1" width="78.42578125" style="1958" customWidth="1"/>
    <col min="2" max="2" width="7.42578125" style="1958" customWidth="1"/>
    <col min="3" max="3" width="15.28515625" style="1977" customWidth="1"/>
    <col min="4" max="244" width="9.140625" style="1958"/>
    <col min="245" max="245" width="78.42578125" style="1958" customWidth="1"/>
    <col min="246" max="246" width="7.42578125" style="1958" customWidth="1"/>
    <col min="247" max="247" width="15.28515625" style="1958" customWidth="1"/>
    <col min="248" max="500" width="9.140625" style="1958"/>
    <col min="501" max="501" width="78.42578125" style="1958" customWidth="1"/>
    <col min="502" max="502" width="7.42578125" style="1958" customWidth="1"/>
    <col min="503" max="503" width="15.28515625" style="1958" customWidth="1"/>
    <col min="504" max="756" width="9.140625" style="1958"/>
    <col min="757" max="757" width="78.42578125" style="1958" customWidth="1"/>
    <col min="758" max="758" width="7.42578125" style="1958" customWidth="1"/>
    <col min="759" max="759" width="15.28515625" style="1958" customWidth="1"/>
    <col min="760" max="1012" width="9.140625" style="1958"/>
    <col min="1013" max="1013" width="78.42578125" style="1958" customWidth="1"/>
    <col min="1014" max="1014" width="7.42578125" style="1958" customWidth="1"/>
    <col min="1015" max="1015" width="15.28515625" style="1958" customWidth="1"/>
    <col min="1016" max="1268" width="9.140625" style="1958"/>
    <col min="1269" max="1269" width="78.42578125" style="1958" customWidth="1"/>
    <col min="1270" max="1270" width="7.42578125" style="1958" customWidth="1"/>
    <col min="1271" max="1271" width="15.28515625" style="1958" customWidth="1"/>
    <col min="1272" max="1524" width="9.140625" style="1958"/>
    <col min="1525" max="1525" width="78.42578125" style="1958" customWidth="1"/>
    <col min="1526" max="1526" width="7.42578125" style="1958" customWidth="1"/>
    <col min="1527" max="1527" width="15.28515625" style="1958" customWidth="1"/>
    <col min="1528" max="1780" width="9.140625" style="1958"/>
    <col min="1781" max="1781" width="78.42578125" style="1958" customWidth="1"/>
    <col min="1782" max="1782" width="7.42578125" style="1958" customWidth="1"/>
    <col min="1783" max="1783" width="15.28515625" style="1958" customWidth="1"/>
    <col min="1784" max="2036" width="9.140625" style="1958"/>
    <col min="2037" max="2037" width="78.42578125" style="1958" customWidth="1"/>
    <col min="2038" max="2038" width="7.42578125" style="1958" customWidth="1"/>
    <col min="2039" max="2039" width="15.28515625" style="1958" customWidth="1"/>
    <col min="2040" max="2292" width="9.140625" style="1958"/>
    <col min="2293" max="2293" width="78.42578125" style="1958" customWidth="1"/>
    <col min="2294" max="2294" width="7.42578125" style="1958" customWidth="1"/>
    <col min="2295" max="2295" width="15.28515625" style="1958" customWidth="1"/>
    <col min="2296" max="2548" width="9.140625" style="1958"/>
    <col min="2549" max="2549" width="78.42578125" style="1958" customWidth="1"/>
    <col min="2550" max="2550" width="7.42578125" style="1958" customWidth="1"/>
    <col min="2551" max="2551" width="15.28515625" style="1958" customWidth="1"/>
    <col min="2552" max="2804" width="9.140625" style="1958"/>
    <col min="2805" max="2805" width="78.42578125" style="1958" customWidth="1"/>
    <col min="2806" max="2806" width="7.42578125" style="1958" customWidth="1"/>
    <col min="2807" max="2807" width="15.28515625" style="1958" customWidth="1"/>
    <col min="2808" max="3060" width="9.140625" style="1958"/>
    <col min="3061" max="3061" width="78.42578125" style="1958" customWidth="1"/>
    <col min="3062" max="3062" width="7.42578125" style="1958" customWidth="1"/>
    <col min="3063" max="3063" width="15.28515625" style="1958" customWidth="1"/>
    <col min="3064" max="3316" width="9.140625" style="1958"/>
    <col min="3317" max="3317" width="78.42578125" style="1958" customWidth="1"/>
    <col min="3318" max="3318" width="7.42578125" style="1958" customWidth="1"/>
    <col min="3319" max="3319" width="15.28515625" style="1958" customWidth="1"/>
    <col min="3320" max="3572" width="9.140625" style="1958"/>
    <col min="3573" max="3573" width="78.42578125" style="1958" customWidth="1"/>
    <col min="3574" max="3574" width="7.42578125" style="1958" customWidth="1"/>
    <col min="3575" max="3575" width="15.28515625" style="1958" customWidth="1"/>
    <col min="3576" max="3828" width="9.140625" style="1958"/>
    <col min="3829" max="3829" width="78.42578125" style="1958" customWidth="1"/>
    <col min="3830" max="3830" width="7.42578125" style="1958" customWidth="1"/>
    <col min="3831" max="3831" width="15.28515625" style="1958" customWidth="1"/>
    <col min="3832" max="4084" width="9.140625" style="1958"/>
    <col min="4085" max="4085" width="78.42578125" style="1958" customWidth="1"/>
    <col min="4086" max="4086" width="7.42578125" style="1958" customWidth="1"/>
    <col min="4087" max="4087" width="15.28515625" style="1958" customWidth="1"/>
    <col min="4088" max="4340" width="9.140625" style="1958"/>
    <col min="4341" max="4341" width="78.42578125" style="1958" customWidth="1"/>
    <col min="4342" max="4342" width="7.42578125" style="1958" customWidth="1"/>
    <col min="4343" max="4343" width="15.28515625" style="1958" customWidth="1"/>
    <col min="4344" max="4596" width="9.140625" style="1958"/>
    <col min="4597" max="4597" width="78.42578125" style="1958" customWidth="1"/>
    <col min="4598" max="4598" width="7.42578125" style="1958" customWidth="1"/>
    <col min="4599" max="4599" width="15.28515625" style="1958" customWidth="1"/>
    <col min="4600" max="4852" width="9.140625" style="1958"/>
    <col min="4853" max="4853" width="78.42578125" style="1958" customWidth="1"/>
    <col min="4854" max="4854" width="7.42578125" style="1958" customWidth="1"/>
    <col min="4855" max="4855" width="15.28515625" style="1958" customWidth="1"/>
    <col min="4856" max="5108" width="9.140625" style="1958"/>
    <col min="5109" max="5109" width="78.42578125" style="1958" customWidth="1"/>
    <col min="5110" max="5110" width="7.42578125" style="1958" customWidth="1"/>
    <col min="5111" max="5111" width="15.28515625" style="1958" customWidth="1"/>
    <col min="5112" max="5364" width="9.140625" style="1958"/>
    <col min="5365" max="5365" width="78.42578125" style="1958" customWidth="1"/>
    <col min="5366" max="5366" width="7.42578125" style="1958" customWidth="1"/>
    <col min="5367" max="5367" width="15.28515625" style="1958" customWidth="1"/>
    <col min="5368" max="5620" width="9.140625" style="1958"/>
    <col min="5621" max="5621" width="78.42578125" style="1958" customWidth="1"/>
    <col min="5622" max="5622" width="7.42578125" style="1958" customWidth="1"/>
    <col min="5623" max="5623" width="15.28515625" style="1958" customWidth="1"/>
    <col min="5624" max="5876" width="9.140625" style="1958"/>
    <col min="5877" max="5877" width="78.42578125" style="1958" customWidth="1"/>
    <col min="5878" max="5878" width="7.42578125" style="1958" customWidth="1"/>
    <col min="5879" max="5879" width="15.28515625" style="1958" customWidth="1"/>
    <col min="5880" max="6132" width="9.140625" style="1958"/>
    <col min="6133" max="6133" width="78.42578125" style="1958" customWidth="1"/>
    <col min="6134" max="6134" width="7.42578125" style="1958" customWidth="1"/>
    <col min="6135" max="6135" width="15.28515625" style="1958" customWidth="1"/>
    <col min="6136" max="6388" width="9.140625" style="1958"/>
    <col min="6389" max="6389" width="78.42578125" style="1958" customWidth="1"/>
    <col min="6390" max="6390" width="7.42578125" style="1958" customWidth="1"/>
    <col min="6391" max="6391" width="15.28515625" style="1958" customWidth="1"/>
    <col min="6392" max="6644" width="9.140625" style="1958"/>
    <col min="6645" max="6645" width="78.42578125" style="1958" customWidth="1"/>
    <col min="6646" max="6646" width="7.42578125" style="1958" customWidth="1"/>
    <col min="6647" max="6647" width="15.28515625" style="1958" customWidth="1"/>
    <col min="6648" max="6900" width="9.140625" style="1958"/>
    <col min="6901" max="6901" width="78.42578125" style="1958" customWidth="1"/>
    <col min="6902" max="6902" width="7.42578125" style="1958" customWidth="1"/>
    <col min="6903" max="6903" width="15.28515625" style="1958" customWidth="1"/>
    <col min="6904" max="7156" width="9.140625" style="1958"/>
    <col min="7157" max="7157" width="78.42578125" style="1958" customWidth="1"/>
    <col min="7158" max="7158" width="7.42578125" style="1958" customWidth="1"/>
    <col min="7159" max="7159" width="15.28515625" style="1958" customWidth="1"/>
    <col min="7160" max="7412" width="9.140625" style="1958"/>
    <col min="7413" max="7413" width="78.42578125" style="1958" customWidth="1"/>
    <col min="7414" max="7414" width="7.42578125" style="1958" customWidth="1"/>
    <col min="7415" max="7415" width="15.28515625" style="1958" customWidth="1"/>
    <col min="7416" max="7668" width="9.140625" style="1958"/>
    <col min="7669" max="7669" width="78.42578125" style="1958" customWidth="1"/>
    <col min="7670" max="7670" width="7.42578125" style="1958" customWidth="1"/>
    <col min="7671" max="7671" width="15.28515625" style="1958" customWidth="1"/>
    <col min="7672" max="7924" width="9.140625" style="1958"/>
    <col min="7925" max="7925" width="78.42578125" style="1958" customWidth="1"/>
    <col min="7926" max="7926" width="7.42578125" style="1958" customWidth="1"/>
    <col min="7927" max="7927" width="15.28515625" style="1958" customWidth="1"/>
    <col min="7928" max="8180" width="9.140625" style="1958"/>
    <col min="8181" max="8181" width="78.42578125" style="1958" customWidth="1"/>
    <col min="8182" max="8182" width="7.42578125" style="1958" customWidth="1"/>
    <col min="8183" max="8183" width="15.28515625" style="1958" customWidth="1"/>
    <col min="8184" max="8436" width="9.140625" style="1958"/>
    <col min="8437" max="8437" width="78.42578125" style="1958" customWidth="1"/>
    <col min="8438" max="8438" width="7.42578125" style="1958" customWidth="1"/>
    <col min="8439" max="8439" width="15.28515625" style="1958" customWidth="1"/>
    <col min="8440" max="8692" width="9.140625" style="1958"/>
    <col min="8693" max="8693" width="78.42578125" style="1958" customWidth="1"/>
    <col min="8694" max="8694" width="7.42578125" style="1958" customWidth="1"/>
    <col min="8695" max="8695" width="15.28515625" style="1958" customWidth="1"/>
    <col min="8696" max="8948" width="9.140625" style="1958"/>
    <col min="8949" max="8949" width="78.42578125" style="1958" customWidth="1"/>
    <col min="8950" max="8950" width="7.42578125" style="1958" customWidth="1"/>
    <col min="8951" max="8951" width="15.28515625" style="1958" customWidth="1"/>
    <col min="8952" max="9204" width="9.140625" style="1958"/>
    <col min="9205" max="9205" width="78.42578125" style="1958" customWidth="1"/>
    <col min="9206" max="9206" width="7.42578125" style="1958" customWidth="1"/>
    <col min="9207" max="9207" width="15.28515625" style="1958" customWidth="1"/>
    <col min="9208" max="9460" width="9.140625" style="1958"/>
    <col min="9461" max="9461" width="78.42578125" style="1958" customWidth="1"/>
    <col min="9462" max="9462" width="7.42578125" style="1958" customWidth="1"/>
    <col min="9463" max="9463" width="15.28515625" style="1958" customWidth="1"/>
    <col min="9464" max="9716" width="9.140625" style="1958"/>
    <col min="9717" max="9717" width="78.42578125" style="1958" customWidth="1"/>
    <col min="9718" max="9718" width="7.42578125" style="1958" customWidth="1"/>
    <col min="9719" max="9719" width="15.28515625" style="1958" customWidth="1"/>
    <col min="9720" max="9972" width="9.140625" style="1958"/>
    <col min="9973" max="9973" width="78.42578125" style="1958" customWidth="1"/>
    <col min="9974" max="9974" width="7.42578125" style="1958" customWidth="1"/>
    <col min="9975" max="9975" width="15.28515625" style="1958" customWidth="1"/>
    <col min="9976" max="10228" width="9.140625" style="1958"/>
    <col min="10229" max="10229" width="78.42578125" style="1958" customWidth="1"/>
    <col min="10230" max="10230" width="7.42578125" style="1958" customWidth="1"/>
    <col min="10231" max="10231" width="15.28515625" style="1958" customWidth="1"/>
    <col min="10232" max="10484" width="9.140625" style="1958"/>
    <col min="10485" max="10485" width="78.42578125" style="1958" customWidth="1"/>
    <col min="10486" max="10486" width="7.42578125" style="1958" customWidth="1"/>
    <col min="10487" max="10487" width="15.28515625" style="1958" customWidth="1"/>
    <col min="10488" max="10740" width="9.140625" style="1958"/>
    <col min="10741" max="10741" width="78.42578125" style="1958" customWidth="1"/>
    <col min="10742" max="10742" width="7.42578125" style="1958" customWidth="1"/>
    <col min="10743" max="10743" width="15.28515625" style="1958" customWidth="1"/>
    <col min="10744" max="10996" width="9.140625" style="1958"/>
    <col min="10997" max="10997" width="78.42578125" style="1958" customWidth="1"/>
    <col min="10998" max="10998" width="7.42578125" style="1958" customWidth="1"/>
    <col min="10999" max="10999" width="15.28515625" style="1958" customWidth="1"/>
    <col min="11000" max="11252" width="9.140625" style="1958"/>
    <col min="11253" max="11253" width="78.42578125" style="1958" customWidth="1"/>
    <col min="11254" max="11254" width="7.42578125" style="1958" customWidth="1"/>
    <col min="11255" max="11255" width="15.28515625" style="1958" customWidth="1"/>
    <col min="11256" max="11508" width="9.140625" style="1958"/>
    <col min="11509" max="11509" width="78.42578125" style="1958" customWidth="1"/>
    <col min="11510" max="11510" width="7.42578125" style="1958" customWidth="1"/>
    <col min="11511" max="11511" width="15.28515625" style="1958" customWidth="1"/>
    <col min="11512" max="11764" width="9.140625" style="1958"/>
    <col min="11765" max="11765" width="78.42578125" style="1958" customWidth="1"/>
    <col min="11766" max="11766" width="7.42578125" style="1958" customWidth="1"/>
    <col min="11767" max="11767" width="15.28515625" style="1958" customWidth="1"/>
    <col min="11768" max="12020" width="9.140625" style="1958"/>
    <col min="12021" max="12021" width="78.42578125" style="1958" customWidth="1"/>
    <col min="12022" max="12022" width="7.42578125" style="1958" customWidth="1"/>
    <col min="12023" max="12023" width="15.28515625" style="1958" customWidth="1"/>
    <col min="12024" max="12276" width="9.140625" style="1958"/>
    <col min="12277" max="12277" width="78.42578125" style="1958" customWidth="1"/>
    <col min="12278" max="12278" width="7.42578125" style="1958" customWidth="1"/>
    <col min="12279" max="12279" width="15.28515625" style="1958" customWidth="1"/>
    <col min="12280" max="12532" width="9.140625" style="1958"/>
    <col min="12533" max="12533" width="78.42578125" style="1958" customWidth="1"/>
    <col min="12534" max="12534" width="7.42578125" style="1958" customWidth="1"/>
    <col min="12535" max="12535" width="15.28515625" style="1958" customWidth="1"/>
    <col min="12536" max="12788" width="9.140625" style="1958"/>
    <col min="12789" max="12789" width="78.42578125" style="1958" customWidth="1"/>
    <col min="12790" max="12790" width="7.42578125" style="1958" customWidth="1"/>
    <col min="12791" max="12791" width="15.28515625" style="1958" customWidth="1"/>
    <col min="12792" max="13044" width="9.140625" style="1958"/>
    <col min="13045" max="13045" width="78.42578125" style="1958" customWidth="1"/>
    <col min="13046" max="13046" width="7.42578125" style="1958" customWidth="1"/>
    <col min="13047" max="13047" width="15.28515625" style="1958" customWidth="1"/>
    <col min="13048" max="13300" width="9.140625" style="1958"/>
    <col min="13301" max="13301" width="78.42578125" style="1958" customWidth="1"/>
    <col min="13302" max="13302" width="7.42578125" style="1958" customWidth="1"/>
    <col min="13303" max="13303" width="15.28515625" style="1958" customWidth="1"/>
    <col min="13304" max="13556" width="9.140625" style="1958"/>
    <col min="13557" max="13557" width="78.42578125" style="1958" customWidth="1"/>
    <col min="13558" max="13558" width="7.42578125" style="1958" customWidth="1"/>
    <col min="13559" max="13559" width="15.28515625" style="1958" customWidth="1"/>
    <col min="13560" max="13812" width="9.140625" style="1958"/>
    <col min="13813" max="13813" width="78.42578125" style="1958" customWidth="1"/>
    <col min="13814" max="13814" width="7.42578125" style="1958" customWidth="1"/>
    <col min="13815" max="13815" width="15.28515625" style="1958" customWidth="1"/>
    <col min="13816" max="14068" width="9.140625" style="1958"/>
    <col min="14069" max="14069" width="78.42578125" style="1958" customWidth="1"/>
    <col min="14070" max="14070" width="7.42578125" style="1958" customWidth="1"/>
    <col min="14071" max="14071" width="15.28515625" style="1958" customWidth="1"/>
    <col min="14072" max="14324" width="9.140625" style="1958"/>
    <col min="14325" max="14325" width="78.42578125" style="1958" customWidth="1"/>
    <col min="14326" max="14326" width="7.42578125" style="1958" customWidth="1"/>
    <col min="14327" max="14327" width="15.28515625" style="1958" customWidth="1"/>
    <col min="14328" max="14580" width="9.140625" style="1958"/>
    <col min="14581" max="14581" width="78.42578125" style="1958" customWidth="1"/>
    <col min="14582" max="14582" width="7.42578125" style="1958" customWidth="1"/>
    <col min="14583" max="14583" width="15.28515625" style="1958" customWidth="1"/>
    <col min="14584" max="14836" width="9.140625" style="1958"/>
    <col min="14837" max="14837" width="78.42578125" style="1958" customWidth="1"/>
    <col min="14838" max="14838" width="7.42578125" style="1958" customWidth="1"/>
    <col min="14839" max="14839" width="15.28515625" style="1958" customWidth="1"/>
    <col min="14840" max="15092" width="9.140625" style="1958"/>
    <col min="15093" max="15093" width="78.42578125" style="1958" customWidth="1"/>
    <col min="15094" max="15094" width="7.42578125" style="1958" customWidth="1"/>
    <col min="15095" max="15095" width="15.28515625" style="1958" customWidth="1"/>
    <col min="15096" max="15348" width="9.140625" style="1958"/>
    <col min="15349" max="15349" width="78.42578125" style="1958" customWidth="1"/>
    <col min="15350" max="15350" width="7.42578125" style="1958" customWidth="1"/>
    <col min="15351" max="15351" width="15.28515625" style="1958" customWidth="1"/>
    <col min="15352" max="15604" width="9.140625" style="1958"/>
    <col min="15605" max="15605" width="78.42578125" style="1958" customWidth="1"/>
    <col min="15606" max="15606" width="7.42578125" style="1958" customWidth="1"/>
    <col min="15607" max="15607" width="15.28515625" style="1958" customWidth="1"/>
    <col min="15608" max="15860" width="9.140625" style="1958"/>
    <col min="15861" max="15861" width="78.42578125" style="1958" customWidth="1"/>
    <col min="15862" max="15862" width="7.42578125" style="1958" customWidth="1"/>
    <col min="15863" max="15863" width="15.28515625" style="1958" customWidth="1"/>
    <col min="15864" max="16116" width="9.140625" style="1958"/>
    <col min="16117" max="16117" width="78.42578125" style="1958" customWidth="1"/>
    <col min="16118" max="16118" width="7.42578125" style="1958" customWidth="1"/>
    <col min="16119" max="16119" width="15.28515625" style="1958" customWidth="1"/>
    <col min="16120" max="16384" width="9.140625" style="1958"/>
  </cols>
  <sheetData>
    <row r="1" spans="1:3" ht="15.75" x14ac:dyDescent="0.25">
      <c r="A1" s="2393" t="s">
        <v>2140</v>
      </c>
      <c r="B1" s="2393"/>
      <c r="C1" s="2393"/>
    </row>
    <row r="2" spans="1:3" ht="15.75" x14ac:dyDescent="0.25">
      <c r="A2" s="2393" t="s">
        <v>1126</v>
      </c>
      <c r="B2" s="2393"/>
      <c r="C2" s="2393"/>
    </row>
    <row r="3" spans="1:3" ht="15.75" x14ac:dyDescent="0.25">
      <c r="A3" s="2392" t="s">
        <v>2141</v>
      </c>
      <c r="B3" s="2392"/>
      <c r="C3" s="2392"/>
    </row>
    <row r="4" spans="1:3" ht="15.75" x14ac:dyDescent="0.25">
      <c r="A4" s="1959"/>
      <c r="B4" s="1959"/>
      <c r="C4" s="1959"/>
    </row>
    <row r="5" spans="1:3" ht="15.75" x14ac:dyDescent="0.25">
      <c r="A5" s="1960"/>
      <c r="B5" s="1960"/>
      <c r="C5" s="1960"/>
    </row>
    <row r="6" spans="1:3" ht="15.75" x14ac:dyDescent="0.25">
      <c r="A6" s="1960"/>
      <c r="B6" s="1960"/>
      <c r="C6" s="1960"/>
    </row>
    <row r="7" spans="1:3" ht="16.5" x14ac:dyDescent="0.25">
      <c r="A7" s="1961"/>
      <c r="B7" s="1961"/>
      <c r="C7" s="1962" t="s">
        <v>2103</v>
      </c>
    </row>
    <row r="8" spans="1:3" ht="16.5" x14ac:dyDescent="0.25">
      <c r="A8" s="1961"/>
      <c r="B8" s="1961"/>
      <c r="C8" s="1962"/>
    </row>
    <row r="9" spans="1:3" ht="16.5" x14ac:dyDescent="0.25">
      <c r="A9" s="1963" t="s">
        <v>2104</v>
      </c>
      <c r="B9" s="1964"/>
      <c r="C9" s="1965" t="s">
        <v>2105</v>
      </c>
    </row>
    <row r="10" spans="1:3" ht="16.5" x14ac:dyDescent="0.25">
      <c r="A10" s="1963"/>
      <c r="B10" s="1964"/>
      <c r="C10" s="1965"/>
    </row>
    <row r="11" spans="1:3" ht="16.5" x14ac:dyDescent="0.25">
      <c r="A11" s="1963" t="s">
        <v>2106</v>
      </c>
      <c r="B11" s="1966"/>
      <c r="C11" s="1965"/>
    </row>
    <row r="12" spans="1:3" ht="16.5" x14ac:dyDescent="0.25">
      <c r="A12" s="1963" t="s">
        <v>2107</v>
      </c>
      <c r="B12" s="1966"/>
      <c r="C12" s="1965"/>
    </row>
    <row r="13" spans="1:3" ht="16.5" x14ac:dyDescent="0.25">
      <c r="A13" s="1963" t="s">
        <v>2108</v>
      </c>
      <c r="B13" s="1966"/>
      <c r="C13" s="1965" t="s">
        <v>2142</v>
      </c>
    </row>
    <row r="14" spans="1:3" ht="16.5" x14ac:dyDescent="0.25">
      <c r="A14" s="1963"/>
      <c r="B14" s="1966"/>
      <c r="C14" s="1965"/>
    </row>
    <row r="15" spans="1:3" ht="16.5" x14ac:dyDescent="0.25">
      <c r="A15" s="1967" t="s">
        <v>2109</v>
      </c>
      <c r="B15" s="1966"/>
      <c r="C15" s="1965"/>
    </row>
    <row r="16" spans="1:3" ht="16.5" x14ac:dyDescent="0.25">
      <c r="A16" s="1963"/>
      <c r="B16" s="1966"/>
      <c r="C16" s="1965"/>
    </row>
    <row r="17" spans="1:3" ht="16.5" x14ac:dyDescent="0.25">
      <c r="A17" s="1963" t="s">
        <v>2110</v>
      </c>
      <c r="B17" s="1966"/>
      <c r="C17" s="1965"/>
    </row>
    <row r="18" spans="1:3" ht="16.5" x14ac:dyDescent="0.25">
      <c r="A18" s="1963" t="s">
        <v>2111</v>
      </c>
      <c r="B18" s="1966"/>
      <c r="C18" s="1965" t="s">
        <v>2143</v>
      </c>
    </row>
    <row r="19" spans="1:3" ht="16.5" x14ac:dyDescent="0.25">
      <c r="A19" s="1963"/>
      <c r="B19" s="1966"/>
      <c r="C19" s="1965"/>
    </row>
    <row r="20" spans="1:3" ht="16.5" x14ac:dyDescent="0.25">
      <c r="A20" s="1963" t="s">
        <v>2112</v>
      </c>
      <c r="B20" s="1966"/>
      <c r="C20" s="1965"/>
    </row>
    <row r="21" spans="1:3" ht="16.5" x14ac:dyDescent="0.25">
      <c r="A21" s="1963" t="s">
        <v>2113</v>
      </c>
      <c r="B21" s="1966"/>
      <c r="C21" s="1965" t="s">
        <v>2144</v>
      </c>
    </row>
    <row r="22" spans="1:3" ht="16.5" x14ac:dyDescent="0.25">
      <c r="A22" s="1963"/>
      <c r="B22" s="1966"/>
      <c r="C22" s="1965"/>
    </row>
    <row r="23" spans="1:3" ht="16.5" x14ac:dyDescent="0.25">
      <c r="A23" s="1963" t="s">
        <v>2114</v>
      </c>
      <c r="B23" s="1966"/>
      <c r="C23" s="1965" t="s">
        <v>2145</v>
      </c>
    </row>
    <row r="24" spans="1:3" ht="16.5" x14ac:dyDescent="0.25">
      <c r="A24" s="1963"/>
      <c r="B24" s="1966"/>
      <c r="C24" s="1965"/>
    </row>
    <row r="25" spans="1:3" ht="16.5" x14ac:dyDescent="0.25">
      <c r="A25" s="1963" t="s">
        <v>2115</v>
      </c>
      <c r="B25" s="1966"/>
      <c r="C25" s="1965" t="s">
        <v>2146</v>
      </c>
    </row>
    <row r="26" spans="1:3" ht="16.5" x14ac:dyDescent="0.25">
      <c r="A26" s="1963"/>
      <c r="B26" s="1968"/>
      <c r="C26" s="1965"/>
    </row>
    <row r="27" spans="1:3" ht="16.5" x14ac:dyDescent="0.25">
      <c r="A27" s="1963" t="s">
        <v>2116</v>
      </c>
      <c r="B27" s="1968"/>
      <c r="C27" s="1965" t="s">
        <v>2233</v>
      </c>
    </row>
    <row r="28" spans="1:3" ht="16.5" x14ac:dyDescent="0.25">
      <c r="A28" s="1963"/>
      <c r="B28" s="1968"/>
      <c r="C28" s="1965"/>
    </row>
    <row r="29" spans="1:3" ht="16.5" x14ac:dyDescent="0.25">
      <c r="A29" s="1967" t="s">
        <v>2118</v>
      </c>
      <c r="B29" s="1968"/>
      <c r="C29" s="1965"/>
    </row>
    <row r="30" spans="1:3" ht="16.5" x14ac:dyDescent="0.25">
      <c r="A30" s="1963"/>
      <c r="B30" s="1968"/>
      <c r="C30" s="1965"/>
    </row>
    <row r="31" spans="1:3" ht="16.5" x14ac:dyDescent="0.25">
      <c r="A31" s="1963" t="s">
        <v>2119</v>
      </c>
      <c r="B31" s="1968"/>
      <c r="C31" s="1965" t="s">
        <v>2147</v>
      </c>
    </row>
    <row r="32" spans="1:3" ht="16.5" x14ac:dyDescent="0.25">
      <c r="A32" s="1963"/>
      <c r="B32" s="1968"/>
      <c r="C32" s="1965"/>
    </row>
    <row r="33" spans="1:3" ht="16.5" x14ac:dyDescent="0.25">
      <c r="A33" s="1963" t="s">
        <v>2120</v>
      </c>
      <c r="B33" s="1968"/>
      <c r="C33" s="1965" t="s">
        <v>2148</v>
      </c>
    </row>
    <row r="34" spans="1:3" ht="16.5" x14ac:dyDescent="0.25">
      <c r="A34" s="1963"/>
      <c r="B34" s="1968"/>
      <c r="C34" s="1965"/>
    </row>
    <row r="35" spans="1:3" ht="16.5" x14ac:dyDescent="0.25">
      <c r="A35" s="1963" t="s">
        <v>2121</v>
      </c>
      <c r="B35" s="1968"/>
      <c r="C35" s="1965" t="s">
        <v>2149</v>
      </c>
    </row>
    <row r="36" spans="1:3" ht="16.5" x14ac:dyDescent="0.25">
      <c r="A36" s="1963"/>
      <c r="B36" s="1968"/>
      <c r="C36" s="1965"/>
    </row>
    <row r="37" spans="1:3" ht="16.5" x14ac:dyDescent="0.25">
      <c r="A37" s="1963" t="s">
        <v>2122</v>
      </c>
      <c r="B37" s="1969"/>
      <c r="C37" s="1965" t="s">
        <v>2150</v>
      </c>
    </row>
    <row r="38" spans="1:3" ht="16.5" x14ac:dyDescent="0.25">
      <c r="A38" s="1963"/>
      <c r="B38" s="1969"/>
      <c r="C38" s="1965"/>
    </row>
    <row r="39" spans="1:3" ht="16.5" x14ac:dyDescent="0.25">
      <c r="A39" s="1967" t="s">
        <v>2124</v>
      </c>
      <c r="B39" s="1968"/>
      <c r="C39" s="1970"/>
    </row>
    <row r="40" spans="1:3" ht="16.5" x14ac:dyDescent="0.25">
      <c r="A40" s="1963"/>
      <c r="B40" s="1968"/>
      <c r="C40" s="1970"/>
    </row>
    <row r="41" spans="1:3" ht="16.5" x14ac:dyDescent="0.25">
      <c r="A41" s="1963" t="s">
        <v>2125</v>
      </c>
      <c r="B41" s="1968"/>
      <c r="C41" s="1971" t="s">
        <v>2234</v>
      </c>
    </row>
    <row r="42" spans="1:3" ht="16.5" x14ac:dyDescent="0.25">
      <c r="A42" s="1963"/>
      <c r="B42" s="1968"/>
      <c r="C42" s="1970"/>
    </row>
    <row r="43" spans="1:3" ht="16.5" x14ac:dyDescent="0.25">
      <c r="A43" s="1963" t="s">
        <v>2126</v>
      </c>
      <c r="B43" s="1968"/>
      <c r="C43" s="1970"/>
    </row>
    <row r="44" spans="1:3" ht="16.5" x14ac:dyDescent="0.25">
      <c r="A44" s="1963" t="s">
        <v>2157</v>
      </c>
      <c r="B44" s="1968"/>
      <c r="C44" s="1971" t="s">
        <v>2235</v>
      </c>
    </row>
    <row r="45" spans="1:3" ht="16.5" x14ac:dyDescent="0.25">
      <c r="A45" s="1963"/>
      <c r="B45" s="1969"/>
      <c r="C45" s="1965"/>
    </row>
    <row r="46" spans="1:3" ht="16.5" x14ac:dyDescent="0.25">
      <c r="A46" s="1963"/>
      <c r="B46" s="1969"/>
      <c r="C46" s="1965"/>
    </row>
    <row r="47" spans="1:3" ht="16.5" x14ac:dyDescent="0.25">
      <c r="A47" s="1963"/>
      <c r="B47" s="1969"/>
      <c r="C47" s="1965"/>
    </row>
    <row r="48" spans="1:3" ht="16.5" x14ac:dyDescent="0.25">
      <c r="A48" s="1963"/>
      <c r="B48" s="1969"/>
      <c r="C48" s="1965"/>
    </row>
    <row r="49" spans="1:3" ht="15.75" x14ac:dyDescent="0.25">
      <c r="A49" s="2393" t="s">
        <v>2140</v>
      </c>
      <c r="B49" s="2393"/>
      <c r="C49" s="2393"/>
    </row>
    <row r="50" spans="1:3" ht="15.75" x14ac:dyDescent="0.25">
      <c r="A50" s="2393" t="s">
        <v>2123</v>
      </c>
      <c r="B50" s="2393"/>
      <c r="C50" s="2393"/>
    </row>
    <row r="51" spans="1:3" ht="15.75" x14ac:dyDescent="0.25">
      <c r="A51" s="2392" t="s">
        <v>2141</v>
      </c>
      <c r="B51" s="2392"/>
      <c r="C51" s="2392"/>
    </row>
    <row r="52" spans="1:3" ht="15.75" x14ac:dyDescent="0.25">
      <c r="A52" s="1959"/>
      <c r="B52" s="1959"/>
      <c r="C52" s="1959"/>
    </row>
    <row r="53" spans="1:3" ht="15.75" x14ac:dyDescent="0.25">
      <c r="A53" s="1960"/>
      <c r="B53" s="1960"/>
      <c r="C53" s="1960"/>
    </row>
    <row r="54" spans="1:3" ht="15.75" x14ac:dyDescent="0.25">
      <c r="A54" s="1960"/>
      <c r="B54" s="1960"/>
      <c r="C54" s="1960"/>
    </row>
    <row r="55" spans="1:3" ht="16.5" x14ac:dyDescent="0.25">
      <c r="A55" s="1961"/>
      <c r="B55" s="1961"/>
      <c r="C55" s="1962" t="s">
        <v>2103</v>
      </c>
    </row>
    <row r="56" spans="1:3" ht="16.5" x14ac:dyDescent="0.25">
      <c r="A56" s="1963"/>
      <c r="B56" s="1968"/>
      <c r="C56" s="1970"/>
    </row>
    <row r="57" spans="1:3" ht="16.5" x14ac:dyDescent="0.25">
      <c r="A57" s="1967" t="s">
        <v>2127</v>
      </c>
      <c r="B57" s="1968"/>
      <c r="C57" s="1970"/>
    </row>
    <row r="58" spans="1:3" ht="16.5" x14ac:dyDescent="0.25">
      <c r="A58" s="1963"/>
      <c r="B58" s="1968"/>
      <c r="C58" s="1970"/>
    </row>
    <row r="59" spans="1:3" ht="16.5" x14ac:dyDescent="0.25">
      <c r="A59" s="1963" t="s">
        <v>2128</v>
      </c>
      <c r="B59" s="1968"/>
      <c r="C59" s="1971" t="s">
        <v>2117</v>
      </c>
    </row>
    <row r="60" spans="1:3" ht="16.5" x14ac:dyDescent="0.25">
      <c r="A60" s="1963"/>
      <c r="B60" s="1968"/>
      <c r="C60" s="1971"/>
    </row>
    <row r="61" spans="1:3" ht="16.5" x14ac:dyDescent="0.25">
      <c r="A61" s="1963" t="s">
        <v>2129</v>
      </c>
      <c r="B61" s="1968"/>
      <c r="C61" s="1971" t="s">
        <v>2236</v>
      </c>
    </row>
    <row r="62" spans="1:3" ht="16.5" x14ac:dyDescent="0.25">
      <c r="A62" s="1963"/>
      <c r="B62" s="1968"/>
      <c r="C62" s="1971"/>
    </row>
    <row r="63" spans="1:3" ht="16.5" x14ac:dyDescent="0.25">
      <c r="A63" s="1963" t="s">
        <v>2130</v>
      </c>
      <c r="B63" s="1968"/>
      <c r="C63" s="1971" t="s">
        <v>2237</v>
      </c>
    </row>
    <row r="64" spans="1:3" ht="16.5" x14ac:dyDescent="0.25">
      <c r="A64" s="1963"/>
      <c r="B64" s="1968"/>
      <c r="C64" s="1970"/>
    </row>
    <row r="65" spans="1:3" ht="16.5" x14ac:dyDescent="0.25">
      <c r="A65" s="1963" t="s">
        <v>2131</v>
      </c>
      <c r="B65" s="1968"/>
      <c r="C65" s="1971" t="s">
        <v>2238</v>
      </c>
    </row>
    <row r="66" spans="1:3" ht="16.5" x14ac:dyDescent="0.25">
      <c r="A66" s="1963"/>
      <c r="B66" s="1968"/>
      <c r="C66" s="1970"/>
    </row>
    <row r="67" spans="1:3" ht="16.5" x14ac:dyDescent="0.25">
      <c r="A67" s="1963" t="s">
        <v>2132</v>
      </c>
      <c r="B67" s="1968"/>
      <c r="C67" s="1971" t="s">
        <v>2151</v>
      </c>
    </row>
    <row r="68" spans="1:3" ht="16.5" x14ac:dyDescent="0.25">
      <c r="A68" s="1963"/>
      <c r="B68" s="1968"/>
      <c r="C68" s="1970"/>
    </row>
    <row r="69" spans="1:3" ht="16.5" x14ac:dyDescent="0.25">
      <c r="A69" s="1963" t="s">
        <v>2133</v>
      </c>
      <c r="B69" s="1968"/>
      <c r="C69" s="1971" t="s">
        <v>2152</v>
      </c>
    </row>
    <row r="70" spans="1:3" ht="16.5" x14ac:dyDescent="0.25">
      <c r="A70" s="1963"/>
      <c r="B70" s="1968"/>
      <c r="C70" s="1971"/>
    </row>
    <row r="71" spans="1:3" ht="16.5" x14ac:dyDescent="0.25">
      <c r="A71" s="1963" t="s">
        <v>2153</v>
      </c>
      <c r="B71" s="1968"/>
      <c r="C71" s="1971" t="s">
        <v>2154</v>
      </c>
    </row>
    <row r="72" spans="1:3" ht="16.5" x14ac:dyDescent="0.25">
      <c r="A72" s="1963"/>
      <c r="B72" s="1968"/>
      <c r="C72" s="1971"/>
    </row>
    <row r="73" spans="1:3" ht="16.5" x14ac:dyDescent="0.25">
      <c r="A73" s="1963" t="s">
        <v>2134</v>
      </c>
      <c r="B73" s="1968"/>
      <c r="C73" s="1971" t="s">
        <v>2239</v>
      </c>
    </row>
    <row r="74" spans="1:3" ht="16.5" x14ac:dyDescent="0.25">
      <c r="A74" s="1963"/>
      <c r="B74" s="1968"/>
      <c r="C74" s="1970"/>
    </row>
    <row r="75" spans="1:3" ht="15.75" x14ac:dyDescent="0.25">
      <c r="A75" s="1972"/>
      <c r="B75" s="1972"/>
      <c r="C75" s="1973"/>
    </row>
    <row r="76" spans="1:3" ht="15" x14ac:dyDescent="0.25">
      <c r="A76" s="1974"/>
      <c r="B76" s="1974"/>
      <c r="C76" s="1975"/>
    </row>
    <row r="77" spans="1:3" ht="15" x14ac:dyDescent="0.25">
      <c r="A77" s="1976" t="s">
        <v>2135</v>
      </c>
    </row>
    <row r="78" spans="1:3" ht="15" x14ac:dyDescent="0.25">
      <c r="A78" s="1974" t="s">
        <v>2136</v>
      </c>
    </row>
    <row r="79" spans="1:3" ht="15" x14ac:dyDescent="0.25">
      <c r="A79" s="1974" t="s">
        <v>2137</v>
      </c>
    </row>
    <row r="80" spans="1:3" ht="15" x14ac:dyDescent="0.25">
      <c r="A80" s="1974" t="s">
        <v>2138</v>
      </c>
    </row>
    <row r="81" spans="1:1" ht="15" x14ac:dyDescent="0.25">
      <c r="A81" s="1974" t="s">
        <v>2139</v>
      </c>
    </row>
  </sheetData>
  <mergeCells count="6">
    <mergeCell ref="A51:C51"/>
    <mergeCell ref="A1:C1"/>
    <mergeCell ref="A2:C2"/>
    <mergeCell ref="A3:C3"/>
    <mergeCell ref="A49:C49"/>
    <mergeCell ref="A50:C50"/>
  </mergeCells>
  <printOptions horizontalCentered="1"/>
  <pageMargins left="1" right="0.75" top="1.25" bottom="0.75" header="1" footer="0.25"/>
  <pageSetup scale="86" fitToHeight="2" orientation="portrait" r:id="rId1"/>
  <rowBreaks count="1" manualBreakCount="1">
    <brk id="48"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394" t="s">
        <v>1784</v>
      </c>
      <c r="B18" s="239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394" t="s">
        <v>1784</v>
      </c>
      <c r="B18" s="2394"/>
    </row>
  </sheetData>
  <sheetProtection selectLockedCells="1"/>
  <mergeCells count="1">
    <mergeCell ref="A18:B18"/>
  </mergeCells>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4</xdr:row>
                <xdr:rowOff>161925</xdr:rowOff>
              </to>
            </anchor>
          </objectPr>
        </oleObject>
      </mc:Choice>
      <mc:Fallback>
        <oleObject progId="Acrobat Document" dvAspect="DVASPECT_ICON" shapeId="36865"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394" t="s">
        <v>1784</v>
      </c>
      <c r="B18" s="2394"/>
    </row>
  </sheetData>
  <sheetProtection selectLockedCells="1"/>
  <mergeCells count="1">
    <mergeCell ref="A18:B18"/>
  </mergeCells>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1</xdr:row>
                <xdr:rowOff>0</xdr:rowOff>
              </from>
              <to>
                <xdr:col>1</xdr:col>
                <xdr:colOff>914400</xdr:colOff>
                <xdr:row>4</xdr:row>
                <xdr:rowOff>161925</xdr:rowOff>
              </to>
            </anchor>
          </objectPr>
        </oleObject>
      </mc:Choice>
      <mc:Fallback>
        <oleObject progId="Acrobat Document" dvAspect="DVASPECT_ICON" shapeId="37889"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topLeftCell="A55" zoomScale="130" zoomScaleNormal="130" workbookViewId="0">
      <selection activeCell="A61" sqref="A61"/>
    </sheetView>
  </sheetViews>
  <sheetFormatPr defaultColWidth="8.85546875" defaultRowHeight="12.75" x14ac:dyDescent="0.2"/>
  <cols>
    <col min="1" max="1" width="32.140625" style="1983" customWidth="1"/>
    <col min="2" max="2" width="1.85546875" style="1983" customWidth="1"/>
    <col min="3" max="3" width="12.7109375" style="1983" customWidth="1"/>
    <col min="4" max="4" width="1.85546875" style="1983" customWidth="1"/>
    <col min="5" max="5" width="12.7109375" style="1983" customWidth="1"/>
    <col min="6" max="6" width="1.85546875" style="1983" customWidth="1"/>
    <col min="7" max="7" width="12.7109375" style="1983" customWidth="1"/>
    <col min="8" max="8" width="1.85546875" style="1983" customWidth="1"/>
    <col min="9" max="9" width="12.7109375" style="1983" customWidth="1"/>
    <col min="10" max="16384" width="8.85546875" style="1983"/>
  </cols>
  <sheetData>
    <row r="1" spans="1:9" x14ac:dyDescent="0.2">
      <c r="A1" s="2395" t="s">
        <v>2140</v>
      </c>
      <c r="B1" s="2395"/>
      <c r="C1" s="2395"/>
      <c r="D1" s="2395"/>
      <c r="E1" s="2395"/>
      <c r="F1" s="2395"/>
      <c r="G1" s="2395"/>
      <c r="H1" s="2395"/>
      <c r="I1" s="2395"/>
    </row>
    <row r="2" spans="1:9" x14ac:dyDescent="0.2">
      <c r="A2" s="2395" t="s">
        <v>2168</v>
      </c>
      <c r="B2" s="2395"/>
      <c r="C2" s="2395"/>
      <c r="D2" s="2395"/>
      <c r="E2" s="2395"/>
      <c r="F2" s="2395"/>
      <c r="G2" s="2395"/>
      <c r="H2" s="2395"/>
      <c r="I2" s="2395"/>
    </row>
    <row r="3" spans="1:9" x14ac:dyDescent="0.2">
      <c r="A3" s="2395" t="s">
        <v>2169</v>
      </c>
      <c r="B3" s="2395"/>
      <c r="C3" s="2395"/>
      <c r="D3" s="2395"/>
      <c r="E3" s="2395"/>
      <c r="F3" s="2395"/>
      <c r="G3" s="2395"/>
      <c r="H3" s="2395"/>
      <c r="I3" s="2395"/>
    </row>
    <row r="4" spans="1:9" x14ac:dyDescent="0.2">
      <c r="A4" s="2395" t="s">
        <v>2180</v>
      </c>
      <c r="B4" s="2395"/>
      <c r="C4" s="2395"/>
      <c r="D4" s="2395"/>
      <c r="E4" s="2395"/>
      <c r="F4" s="2395"/>
      <c r="G4" s="2395"/>
      <c r="H4" s="2395"/>
      <c r="I4" s="2395"/>
    </row>
    <row r="7" spans="1:9" x14ac:dyDescent="0.2">
      <c r="C7" s="1984" t="s">
        <v>2170</v>
      </c>
      <c r="D7" s="1984"/>
      <c r="E7" s="1984"/>
      <c r="F7" s="1984"/>
      <c r="G7" s="1984"/>
      <c r="H7" s="1984"/>
      <c r="I7" s="1984" t="s">
        <v>2170</v>
      </c>
    </row>
    <row r="8" spans="1:9" x14ac:dyDescent="0.2">
      <c r="C8" s="1985" t="s">
        <v>2181</v>
      </c>
      <c r="D8" s="1984"/>
      <c r="E8" s="1986" t="s">
        <v>2171</v>
      </c>
      <c r="F8" s="1984"/>
      <c r="G8" s="1986" t="s">
        <v>2172</v>
      </c>
      <c r="H8" s="1984"/>
      <c r="I8" s="1985" t="s">
        <v>2182</v>
      </c>
    </row>
    <row r="10" spans="1:9" x14ac:dyDescent="0.2">
      <c r="A10" s="1983" t="s">
        <v>2173</v>
      </c>
    </row>
    <row r="12" spans="1:9" x14ac:dyDescent="0.2">
      <c r="A12" s="1983" t="s">
        <v>2174</v>
      </c>
      <c r="C12" s="1994">
        <f>+C72-23500</f>
        <v>65776</v>
      </c>
      <c r="E12" s="1994">
        <f>+E72</f>
        <v>216489</v>
      </c>
      <c r="G12" s="1994">
        <f>+G72</f>
        <v>226443</v>
      </c>
      <c r="I12" s="1994">
        <f>+C12+E12-G12</f>
        <v>55822</v>
      </c>
    </row>
    <row r="13" spans="1:9" x14ac:dyDescent="0.2">
      <c r="A13" s="1983" t="s">
        <v>1049</v>
      </c>
      <c r="C13" s="1993">
        <v>23500</v>
      </c>
      <c r="D13" s="1991"/>
      <c r="E13" s="1993">
        <v>0</v>
      </c>
      <c r="F13" s="1991"/>
      <c r="G13" s="1993">
        <v>0</v>
      </c>
      <c r="H13" s="1991"/>
      <c r="I13" s="1993">
        <f>+C13+E13-G13</f>
        <v>23500</v>
      </c>
    </row>
    <row r="14" spans="1:9" x14ac:dyDescent="0.2">
      <c r="C14" s="1992"/>
      <c r="D14" s="1991"/>
      <c r="E14" s="1992"/>
      <c r="F14" s="1991"/>
      <c r="G14" s="1992"/>
      <c r="H14" s="1991"/>
      <c r="I14" s="1992"/>
    </row>
    <row r="15" spans="1:9" ht="13.5" thickBot="1" x14ac:dyDescent="0.25">
      <c r="A15" s="1983" t="s">
        <v>2207</v>
      </c>
      <c r="C15" s="1995">
        <f>+C12+C13</f>
        <v>89276</v>
      </c>
      <c r="D15" s="1996"/>
      <c r="E15" s="1995">
        <f>+E12+E13</f>
        <v>216489</v>
      </c>
      <c r="F15" s="1996"/>
      <c r="G15" s="1995">
        <f>+G12+G13</f>
        <v>226443</v>
      </c>
      <c r="H15" s="1996"/>
      <c r="I15" s="1995">
        <f>+I12+I13</f>
        <v>79322</v>
      </c>
    </row>
    <row r="16" spans="1:9" ht="13.5" thickTop="1" x14ac:dyDescent="0.2">
      <c r="C16" s="1988"/>
      <c r="D16" s="1988"/>
      <c r="E16" s="1988"/>
      <c r="F16" s="1988"/>
      <c r="G16" s="1988"/>
      <c r="H16" s="1988"/>
      <c r="I16" s="1988"/>
    </row>
    <row r="17" spans="1:9" x14ac:dyDescent="0.2">
      <c r="A17" s="1983" t="s">
        <v>2175</v>
      </c>
      <c r="C17" s="1988"/>
      <c r="D17" s="1988"/>
      <c r="E17" s="1988"/>
      <c r="F17" s="1988"/>
      <c r="G17" s="1988"/>
      <c r="H17" s="1988"/>
      <c r="I17" s="1988"/>
    </row>
    <row r="18" spans="1:9" x14ac:dyDescent="0.2">
      <c r="C18" s="1988"/>
      <c r="D18" s="1988"/>
      <c r="E18" s="1988"/>
      <c r="F18" s="1988"/>
      <c r="G18" s="1988"/>
      <c r="H18" s="1988"/>
      <c r="I18" s="1988"/>
    </row>
    <row r="19" spans="1:9" x14ac:dyDescent="0.2">
      <c r="A19" s="1983" t="s">
        <v>2176</v>
      </c>
      <c r="C19" s="1988"/>
      <c r="D19" s="1988"/>
      <c r="E19" s="1988"/>
      <c r="F19" s="1988"/>
      <c r="G19" s="1988"/>
      <c r="H19" s="1988"/>
      <c r="I19" s="1988"/>
    </row>
    <row r="20" spans="1:9" x14ac:dyDescent="0.2">
      <c r="A20" s="1983" t="s">
        <v>2183</v>
      </c>
      <c r="C20" s="1989">
        <v>760</v>
      </c>
      <c r="D20" s="1989"/>
      <c r="E20" s="1989">
        <v>10292</v>
      </c>
      <c r="F20" s="1989"/>
      <c r="G20" s="1989">
        <v>10263</v>
      </c>
      <c r="H20" s="1989"/>
      <c r="I20" s="1990">
        <f>+C20+E20-G20</f>
        <v>789</v>
      </c>
    </row>
    <row r="21" spans="1:9" x14ac:dyDescent="0.2">
      <c r="A21" s="1983" t="s">
        <v>2178</v>
      </c>
      <c r="C21" s="1991">
        <v>3726</v>
      </c>
      <c r="D21" s="1991"/>
      <c r="E21" s="1991">
        <v>2272</v>
      </c>
      <c r="F21" s="1991"/>
      <c r="G21" s="1991">
        <v>5254</v>
      </c>
      <c r="H21" s="1991"/>
      <c r="I21" s="1992">
        <f>+C21+E21-G21</f>
        <v>744</v>
      </c>
    </row>
    <row r="22" spans="1:9" x14ac:dyDescent="0.2">
      <c r="A22" s="1983" t="s">
        <v>2184</v>
      </c>
      <c r="C22" s="1991">
        <v>1272</v>
      </c>
      <c r="D22" s="1991"/>
      <c r="E22" s="1991">
        <v>5121</v>
      </c>
      <c r="F22" s="1991"/>
      <c r="G22" s="1991">
        <v>3965</v>
      </c>
      <c r="H22" s="1991"/>
      <c r="I22" s="1992">
        <f t="shared" ref="I22:I70" si="0">+C22+E22-G22</f>
        <v>2428</v>
      </c>
    </row>
    <row r="23" spans="1:9" x14ac:dyDescent="0.2">
      <c r="A23" s="1983" t="s">
        <v>2206</v>
      </c>
      <c r="C23" s="1991">
        <v>34</v>
      </c>
      <c r="D23" s="1991"/>
      <c r="E23" s="1991">
        <v>0</v>
      </c>
      <c r="F23" s="1991"/>
      <c r="G23" s="1991">
        <v>0</v>
      </c>
      <c r="H23" s="1991"/>
      <c r="I23" s="1992">
        <f>+C23+E23-G23</f>
        <v>34</v>
      </c>
    </row>
    <row r="24" spans="1:9" x14ac:dyDescent="0.2">
      <c r="A24" s="1983" t="s">
        <v>2185</v>
      </c>
      <c r="C24" s="1991">
        <v>638</v>
      </c>
      <c r="D24" s="1991"/>
      <c r="E24" s="1991">
        <v>817</v>
      </c>
      <c r="F24" s="1991"/>
      <c r="G24" s="1991">
        <v>1243</v>
      </c>
      <c r="H24" s="1991"/>
      <c r="I24" s="1992">
        <f t="shared" si="0"/>
        <v>212</v>
      </c>
    </row>
    <row r="25" spans="1:9" x14ac:dyDescent="0.2">
      <c r="A25" s="1983" t="s">
        <v>2186</v>
      </c>
      <c r="C25" s="1991">
        <v>7693</v>
      </c>
      <c r="D25" s="1991"/>
      <c r="E25" s="1991">
        <v>10323</v>
      </c>
      <c r="F25" s="1991"/>
      <c r="G25" s="1991">
        <v>8478</v>
      </c>
      <c r="H25" s="1991"/>
      <c r="I25" s="1992">
        <f t="shared" si="0"/>
        <v>9538</v>
      </c>
    </row>
    <row r="26" spans="1:9" x14ac:dyDescent="0.2">
      <c r="A26" s="1983" t="s">
        <v>2187</v>
      </c>
      <c r="C26" s="1991">
        <v>0</v>
      </c>
      <c r="D26" s="1991"/>
      <c r="E26" s="1991">
        <v>810</v>
      </c>
      <c r="F26" s="1991"/>
      <c r="G26" s="1991">
        <v>433</v>
      </c>
      <c r="H26" s="1991"/>
      <c r="I26" s="1992">
        <f t="shared" si="0"/>
        <v>377</v>
      </c>
    </row>
    <row r="27" spans="1:9" x14ac:dyDescent="0.2">
      <c r="A27" s="1983" t="s">
        <v>2208</v>
      </c>
      <c r="C27" s="1991">
        <v>8305</v>
      </c>
      <c r="D27" s="1991"/>
      <c r="E27" s="1991">
        <v>13826</v>
      </c>
      <c r="F27" s="1991"/>
      <c r="G27" s="1991">
        <v>17390</v>
      </c>
      <c r="H27" s="1991"/>
      <c r="I27" s="1992">
        <f t="shared" si="0"/>
        <v>4741</v>
      </c>
    </row>
    <row r="28" spans="1:9" x14ac:dyDescent="0.2">
      <c r="A28" s="1983" t="s">
        <v>2209</v>
      </c>
      <c r="C28" s="1991">
        <v>5596</v>
      </c>
      <c r="D28" s="1991"/>
      <c r="E28" s="1991">
        <v>36007</v>
      </c>
      <c r="F28" s="1991"/>
      <c r="G28" s="1991">
        <v>39820</v>
      </c>
      <c r="H28" s="1991"/>
      <c r="I28" s="1992">
        <f t="shared" si="0"/>
        <v>1783</v>
      </c>
    </row>
    <row r="29" spans="1:9" x14ac:dyDescent="0.2">
      <c r="A29" s="1983" t="s">
        <v>2210</v>
      </c>
      <c r="C29" s="1991">
        <v>671</v>
      </c>
      <c r="D29" s="1991"/>
      <c r="E29" s="1991">
        <v>263</v>
      </c>
      <c r="F29" s="1991"/>
      <c r="G29" s="1991">
        <v>489</v>
      </c>
      <c r="H29" s="1991"/>
      <c r="I29" s="1992">
        <f t="shared" si="0"/>
        <v>445</v>
      </c>
    </row>
    <row r="30" spans="1:9" x14ac:dyDescent="0.2">
      <c r="A30" s="1983" t="s">
        <v>2211</v>
      </c>
      <c r="C30" s="1991">
        <v>123</v>
      </c>
      <c r="D30" s="1991"/>
      <c r="E30" s="1991">
        <v>0</v>
      </c>
      <c r="F30" s="1991"/>
      <c r="G30" s="1991">
        <v>44</v>
      </c>
      <c r="H30" s="1991"/>
      <c r="I30" s="1992">
        <f t="shared" si="0"/>
        <v>79</v>
      </c>
    </row>
    <row r="31" spans="1:9" x14ac:dyDescent="0.2">
      <c r="A31" s="1983" t="s">
        <v>2212</v>
      </c>
      <c r="C31" s="1991">
        <v>1652</v>
      </c>
      <c r="D31" s="1991"/>
      <c r="E31" s="1991">
        <v>4837</v>
      </c>
      <c r="F31" s="1991"/>
      <c r="G31" s="1991">
        <v>5387</v>
      </c>
      <c r="H31" s="1991"/>
      <c r="I31" s="1992">
        <f t="shared" si="0"/>
        <v>1102</v>
      </c>
    </row>
    <row r="32" spans="1:9" x14ac:dyDescent="0.2">
      <c r="A32" s="1983" t="s">
        <v>2213</v>
      </c>
      <c r="C32" s="1991">
        <v>1072</v>
      </c>
      <c r="D32" s="1991"/>
      <c r="E32" s="1991">
        <v>1425</v>
      </c>
      <c r="F32" s="1991"/>
      <c r="G32" s="1991">
        <v>2401</v>
      </c>
      <c r="H32" s="1991"/>
      <c r="I32" s="1992">
        <f t="shared" si="0"/>
        <v>96</v>
      </c>
    </row>
    <row r="33" spans="1:9" x14ac:dyDescent="0.2">
      <c r="A33" s="1983" t="s">
        <v>2188</v>
      </c>
      <c r="C33" s="1991">
        <v>3744</v>
      </c>
      <c r="D33" s="1991"/>
      <c r="E33" s="1991">
        <v>10507</v>
      </c>
      <c r="F33" s="1991"/>
      <c r="G33" s="1991">
        <v>12711</v>
      </c>
      <c r="H33" s="1991"/>
      <c r="I33" s="1992">
        <f t="shared" si="0"/>
        <v>1540</v>
      </c>
    </row>
    <row r="34" spans="1:9" x14ac:dyDescent="0.2">
      <c r="A34" s="1983" t="s">
        <v>2189</v>
      </c>
      <c r="C34" s="1991">
        <v>680</v>
      </c>
      <c r="D34" s="1991"/>
      <c r="E34" s="1991">
        <v>0</v>
      </c>
      <c r="F34" s="1991"/>
      <c r="G34" s="1991">
        <v>0</v>
      </c>
      <c r="H34" s="1991"/>
      <c r="I34" s="1992">
        <f t="shared" si="0"/>
        <v>680</v>
      </c>
    </row>
    <row r="35" spans="1:9" x14ac:dyDescent="0.2">
      <c r="A35" s="1983" t="s">
        <v>2190</v>
      </c>
      <c r="C35" s="1991">
        <v>0</v>
      </c>
      <c r="D35" s="1991"/>
      <c r="E35" s="1991">
        <v>1615</v>
      </c>
      <c r="F35" s="1991"/>
      <c r="G35" s="1991">
        <v>800</v>
      </c>
      <c r="H35" s="1991"/>
      <c r="I35" s="1992">
        <f t="shared" si="0"/>
        <v>815</v>
      </c>
    </row>
    <row r="36" spans="1:9" x14ac:dyDescent="0.2">
      <c r="A36" s="1983" t="s">
        <v>2191</v>
      </c>
      <c r="C36" s="1991">
        <v>826</v>
      </c>
      <c r="D36" s="1991"/>
      <c r="E36" s="1991">
        <v>4316</v>
      </c>
      <c r="F36" s="1991"/>
      <c r="G36" s="1991">
        <v>2573</v>
      </c>
      <c r="H36" s="1991"/>
      <c r="I36" s="1992">
        <f t="shared" si="0"/>
        <v>2569</v>
      </c>
    </row>
    <row r="37" spans="1:9" x14ac:dyDescent="0.2">
      <c r="A37" s="1983" t="s">
        <v>2214</v>
      </c>
      <c r="C37" s="1991">
        <v>389</v>
      </c>
      <c r="D37" s="1991"/>
      <c r="E37" s="1991">
        <v>2774</v>
      </c>
      <c r="F37" s="1991"/>
      <c r="G37" s="1991">
        <v>2866</v>
      </c>
      <c r="H37" s="1991"/>
      <c r="I37" s="1992">
        <f t="shared" si="0"/>
        <v>297</v>
      </c>
    </row>
    <row r="38" spans="1:9" x14ac:dyDescent="0.2">
      <c r="A38" s="1983" t="s">
        <v>2215</v>
      </c>
      <c r="C38" s="1991">
        <v>2886</v>
      </c>
      <c r="D38" s="1991"/>
      <c r="E38" s="1991">
        <v>3484</v>
      </c>
      <c r="F38" s="1991"/>
      <c r="G38" s="1991">
        <v>6363</v>
      </c>
      <c r="H38" s="1991"/>
      <c r="I38" s="1992">
        <f t="shared" si="0"/>
        <v>7</v>
      </c>
    </row>
    <row r="39" spans="1:9" x14ac:dyDescent="0.2">
      <c r="A39" s="1983" t="s">
        <v>2216</v>
      </c>
      <c r="C39" s="1991">
        <v>-224</v>
      </c>
      <c r="D39" s="1991"/>
      <c r="E39" s="1991">
        <v>2581</v>
      </c>
      <c r="F39" s="1991"/>
      <c r="G39" s="1991">
        <v>2345</v>
      </c>
      <c r="H39" s="1991"/>
      <c r="I39" s="1992">
        <f t="shared" si="0"/>
        <v>12</v>
      </c>
    </row>
    <row r="40" spans="1:9" x14ac:dyDescent="0.2">
      <c r="A40" s="1983" t="s">
        <v>2217</v>
      </c>
      <c r="C40" s="1991">
        <v>2509</v>
      </c>
      <c r="D40" s="1991"/>
      <c r="E40" s="1991">
        <v>2486</v>
      </c>
      <c r="F40" s="1991"/>
      <c r="G40" s="1991">
        <v>2236</v>
      </c>
      <c r="H40" s="1991"/>
      <c r="I40" s="1992">
        <f t="shared" si="0"/>
        <v>2759</v>
      </c>
    </row>
    <row r="41" spans="1:9" x14ac:dyDescent="0.2">
      <c r="A41" s="1983" t="s">
        <v>2218</v>
      </c>
      <c r="C41" s="1991">
        <v>609</v>
      </c>
      <c r="D41" s="1991"/>
      <c r="E41" s="1991">
        <v>4275</v>
      </c>
      <c r="F41" s="1991"/>
      <c r="G41" s="1991">
        <v>317</v>
      </c>
      <c r="H41" s="1991"/>
      <c r="I41" s="1992">
        <f t="shared" si="0"/>
        <v>4567</v>
      </c>
    </row>
    <row r="42" spans="1:9" x14ac:dyDescent="0.2">
      <c r="A42" s="1983" t="s">
        <v>2192</v>
      </c>
      <c r="C42" s="1991">
        <v>8</v>
      </c>
      <c r="D42" s="1991"/>
      <c r="E42" s="1991">
        <v>234</v>
      </c>
      <c r="F42" s="1991"/>
      <c r="G42" s="1991">
        <v>0</v>
      </c>
      <c r="H42" s="1991"/>
      <c r="I42" s="1992">
        <f t="shared" si="0"/>
        <v>242</v>
      </c>
    </row>
    <row r="43" spans="1:9" x14ac:dyDescent="0.2">
      <c r="A43" s="1983" t="s">
        <v>2223</v>
      </c>
      <c r="C43" s="1991">
        <v>293</v>
      </c>
      <c r="D43" s="1991"/>
      <c r="E43" s="1991">
        <v>10910</v>
      </c>
      <c r="F43" s="1991"/>
      <c r="G43" s="1991">
        <v>9155</v>
      </c>
      <c r="H43" s="1991"/>
      <c r="I43" s="1992">
        <f t="shared" si="0"/>
        <v>2048</v>
      </c>
    </row>
    <row r="44" spans="1:9" x14ac:dyDescent="0.2">
      <c r="A44" s="1983" t="s">
        <v>2224</v>
      </c>
      <c r="C44" s="1991">
        <v>0</v>
      </c>
      <c r="D44" s="1991"/>
      <c r="E44" s="1991">
        <v>1303</v>
      </c>
      <c r="F44" s="1991"/>
      <c r="G44" s="1991">
        <v>0</v>
      </c>
      <c r="H44" s="1991"/>
      <c r="I44" s="1992">
        <f t="shared" si="0"/>
        <v>1303</v>
      </c>
    </row>
    <row r="45" spans="1:9" x14ac:dyDescent="0.2">
      <c r="A45" s="1983" t="s">
        <v>2225</v>
      </c>
      <c r="C45" s="1991">
        <v>372</v>
      </c>
      <c r="D45" s="1991"/>
      <c r="E45" s="1991">
        <v>0</v>
      </c>
      <c r="F45" s="1991"/>
      <c r="G45" s="1991">
        <v>0</v>
      </c>
      <c r="H45" s="1991"/>
      <c r="I45" s="1992">
        <f t="shared" si="0"/>
        <v>372</v>
      </c>
    </row>
    <row r="46" spans="1:9" x14ac:dyDescent="0.2">
      <c r="A46" s="1983" t="s">
        <v>2226</v>
      </c>
      <c r="C46" s="1991">
        <v>4637</v>
      </c>
      <c r="D46" s="1991"/>
      <c r="E46" s="1991">
        <v>6581</v>
      </c>
      <c r="F46" s="1991"/>
      <c r="G46" s="1991">
        <v>10909</v>
      </c>
      <c r="H46" s="1991"/>
      <c r="I46" s="1992">
        <f t="shared" si="0"/>
        <v>309</v>
      </c>
    </row>
    <row r="47" spans="1:9" x14ac:dyDescent="0.2">
      <c r="A47" s="1983" t="s">
        <v>2219</v>
      </c>
      <c r="C47" s="1991">
        <v>-1469</v>
      </c>
      <c r="D47" s="1991"/>
      <c r="E47" s="1991">
        <v>2952</v>
      </c>
      <c r="F47" s="1991"/>
      <c r="G47" s="1991">
        <v>840</v>
      </c>
      <c r="H47" s="1991"/>
      <c r="I47" s="1992">
        <f t="shared" si="0"/>
        <v>643</v>
      </c>
    </row>
    <row r="48" spans="1:9" x14ac:dyDescent="0.2">
      <c r="A48" s="1983" t="s">
        <v>2227</v>
      </c>
      <c r="C48" s="1991">
        <v>0</v>
      </c>
      <c r="D48" s="1991"/>
      <c r="E48" s="1991">
        <v>0</v>
      </c>
      <c r="F48" s="1991"/>
      <c r="G48" s="1991">
        <v>0</v>
      </c>
      <c r="H48" s="1991"/>
      <c r="I48" s="1992">
        <f t="shared" si="0"/>
        <v>0</v>
      </c>
    </row>
    <row r="49" spans="1:9" x14ac:dyDescent="0.2">
      <c r="A49" s="1983" t="s">
        <v>2220</v>
      </c>
      <c r="C49" s="1991">
        <v>5288</v>
      </c>
      <c r="D49" s="1991"/>
      <c r="E49" s="1991">
        <v>5960</v>
      </c>
      <c r="F49" s="1991"/>
      <c r="G49" s="1991">
        <v>9874</v>
      </c>
      <c r="H49" s="1991"/>
      <c r="I49" s="1992">
        <f t="shared" si="0"/>
        <v>1374</v>
      </c>
    </row>
    <row r="50" spans="1:9" x14ac:dyDescent="0.2">
      <c r="A50" s="1983" t="s">
        <v>2228</v>
      </c>
      <c r="C50" s="1991">
        <v>0</v>
      </c>
      <c r="D50" s="1991"/>
      <c r="E50" s="1991">
        <v>757</v>
      </c>
      <c r="F50" s="1991"/>
      <c r="G50" s="1991">
        <v>0</v>
      </c>
      <c r="H50" s="1991"/>
      <c r="I50" s="1992">
        <f t="shared" si="0"/>
        <v>757</v>
      </c>
    </row>
    <row r="51" spans="1:9" x14ac:dyDescent="0.2">
      <c r="A51" s="1983" t="s">
        <v>2221</v>
      </c>
      <c r="C51" s="1991">
        <v>1222</v>
      </c>
      <c r="D51" s="1991"/>
      <c r="E51" s="1991">
        <v>705</v>
      </c>
      <c r="F51" s="1991"/>
      <c r="G51" s="1991">
        <v>747</v>
      </c>
      <c r="H51" s="1991"/>
      <c r="I51" s="1992">
        <f t="shared" si="0"/>
        <v>1180</v>
      </c>
    </row>
    <row r="52" spans="1:9" x14ac:dyDescent="0.2">
      <c r="A52" s="1983" t="s">
        <v>2229</v>
      </c>
      <c r="C52" s="1991">
        <v>0</v>
      </c>
      <c r="D52" s="1991"/>
      <c r="E52" s="1991">
        <v>24</v>
      </c>
      <c r="F52" s="1991"/>
      <c r="G52" s="1991">
        <v>0</v>
      </c>
      <c r="H52" s="1991"/>
      <c r="I52" s="1992">
        <f t="shared" si="0"/>
        <v>24</v>
      </c>
    </row>
    <row r="53" spans="1:9" x14ac:dyDescent="0.2">
      <c r="A53" s="1983" t="s">
        <v>2230</v>
      </c>
      <c r="C53" s="1991">
        <v>365</v>
      </c>
      <c r="D53" s="1991"/>
      <c r="E53" s="1991">
        <v>380</v>
      </c>
      <c r="F53" s="1991"/>
      <c r="G53" s="1991">
        <v>737</v>
      </c>
      <c r="H53" s="1991"/>
      <c r="I53" s="1992">
        <f t="shared" si="0"/>
        <v>8</v>
      </c>
    </row>
    <row r="54" spans="1:9" x14ac:dyDescent="0.2">
      <c r="A54" s="1983" t="s">
        <v>2222</v>
      </c>
      <c r="C54" s="1991">
        <v>874</v>
      </c>
      <c r="D54" s="1991"/>
      <c r="E54" s="1991">
        <v>3000</v>
      </c>
      <c r="F54" s="1991"/>
      <c r="G54" s="1991">
        <v>1608</v>
      </c>
      <c r="H54" s="1991"/>
      <c r="I54" s="1992">
        <f t="shared" si="0"/>
        <v>2266</v>
      </c>
    </row>
    <row r="55" spans="1:9" x14ac:dyDescent="0.2">
      <c r="A55" s="1983" t="s">
        <v>2231</v>
      </c>
      <c r="C55" s="1991">
        <v>0</v>
      </c>
      <c r="D55" s="1991"/>
      <c r="E55" s="1991">
        <v>557</v>
      </c>
      <c r="F55" s="1991"/>
      <c r="G55" s="1991">
        <v>441</v>
      </c>
      <c r="H55" s="1991"/>
      <c r="I55" s="1992">
        <f t="shared" si="0"/>
        <v>116</v>
      </c>
    </row>
    <row r="56" spans="1:9" x14ac:dyDescent="0.2">
      <c r="A56" s="1983" t="s">
        <v>2193</v>
      </c>
      <c r="C56" s="1991">
        <v>0</v>
      </c>
      <c r="D56" s="1991"/>
      <c r="E56" s="1991">
        <v>2260</v>
      </c>
      <c r="F56" s="1991"/>
      <c r="G56" s="1991">
        <v>2260</v>
      </c>
      <c r="H56" s="1991"/>
      <c r="I56" s="1992">
        <f t="shared" si="0"/>
        <v>0</v>
      </c>
    </row>
    <row r="57" spans="1:9" x14ac:dyDescent="0.2">
      <c r="A57" s="1983" t="s">
        <v>2194</v>
      </c>
      <c r="C57" s="1991">
        <v>12132</v>
      </c>
      <c r="D57" s="1991"/>
      <c r="E57" s="1991">
        <v>10345</v>
      </c>
      <c r="F57" s="1991"/>
      <c r="G57" s="1991">
        <v>22477</v>
      </c>
      <c r="H57" s="1991"/>
      <c r="I57" s="1992">
        <f t="shared" si="0"/>
        <v>0</v>
      </c>
    </row>
    <row r="58" spans="1:9" x14ac:dyDescent="0.2">
      <c r="A58" s="1983" t="s">
        <v>2195</v>
      </c>
      <c r="C58" s="1991">
        <v>4734</v>
      </c>
      <c r="D58" s="1991"/>
      <c r="E58" s="1991">
        <v>2146</v>
      </c>
      <c r="F58" s="1991"/>
      <c r="G58" s="1991">
        <v>1693</v>
      </c>
      <c r="H58" s="1991"/>
      <c r="I58" s="1992">
        <f t="shared" si="0"/>
        <v>5187</v>
      </c>
    </row>
    <row r="59" spans="1:9" x14ac:dyDescent="0.2">
      <c r="A59" s="1983" t="s">
        <v>2196</v>
      </c>
      <c r="C59" s="1991">
        <v>5243</v>
      </c>
      <c r="D59" s="1991"/>
      <c r="E59" s="1991">
        <v>2790</v>
      </c>
      <c r="F59" s="1991"/>
      <c r="G59" s="1991">
        <v>2629</v>
      </c>
      <c r="H59" s="1991"/>
      <c r="I59" s="1992">
        <f t="shared" si="0"/>
        <v>5404</v>
      </c>
    </row>
    <row r="60" spans="1:9" x14ac:dyDescent="0.2">
      <c r="A60" s="1983" t="s">
        <v>2232</v>
      </c>
      <c r="C60" s="1991">
        <v>3</v>
      </c>
      <c r="D60" s="1991"/>
      <c r="E60" s="1991">
        <v>876</v>
      </c>
      <c r="F60" s="1991"/>
      <c r="G60" s="1991">
        <v>877</v>
      </c>
      <c r="H60" s="1991"/>
      <c r="I60" s="1992">
        <f t="shared" si="0"/>
        <v>2</v>
      </c>
    </row>
    <row r="61" spans="1:9" x14ac:dyDescent="0.2">
      <c r="A61" s="1983" t="s">
        <v>2197</v>
      </c>
      <c r="C61" s="1991">
        <v>-74</v>
      </c>
      <c r="D61" s="1991"/>
      <c r="E61" s="1991">
        <v>1663</v>
      </c>
      <c r="F61" s="1991"/>
      <c r="G61" s="1991">
        <v>1124</v>
      </c>
      <c r="H61" s="1991"/>
      <c r="I61" s="1992">
        <f t="shared" si="0"/>
        <v>465</v>
      </c>
    </row>
    <row r="62" spans="1:9" x14ac:dyDescent="0.2">
      <c r="A62" s="1983" t="s">
        <v>2198</v>
      </c>
      <c r="C62" s="1991">
        <v>156</v>
      </c>
      <c r="D62" s="1991"/>
      <c r="E62" s="1991">
        <v>511</v>
      </c>
      <c r="F62" s="1991"/>
      <c r="G62" s="1991">
        <v>667</v>
      </c>
      <c r="H62" s="1991"/>
      <c r="I62" s="1992">
        <f t="shared" si="0"/>
        <v>0</v>
      </c>
    </row>
    <row r="63" spans="1:9" x14ac:dyDescent="0.2">
      <c r="A63" s="1983" t="s">
        <v>2201</v>
      </c>
      <c r="C63" s="1991">
        <v>720</v>
      </c>
      <c r="D63" s="1991"/>
      <c r="E63" s="1991">
        <v>0</v>
      </c>
      <c r="F63" s="1991"/>
      <c r="G63" s="1991">
        <v>720</v>
      </c>
      <c r="H63" s="1991"/>
      <c r="I63" s="1992">
        <f t="shared" si="0"/>
        <v>0</v>
      </c>
    </row>
    <row r="64" spans="1:9" x14ac:dyDescent="0.2">
      <c r="A64" s="1983" t="s">
        <v>2199</v>
      </c>
      <c r="C64" s="1991">
        <v>3274</v>
      </c>
      <c r="D64" s="1991"/>
      <c r="E64" s="1991">
        <v>500</v>
      </c>
      <c r="F64" s="1991"/>
      <c r="G64" s="1991">
        <v>1609</v>
      </c>
      <c r="H64" s="1991"/>
      <c r="I64" s="1992">
        <f t="shared" si="0"/>
        <v>2165</v>
      </c>
    </row>
    <row r="65" spans="1:9" x14ac:dyDescent="0.2">
      <c r="A65" s="1983" t="s">
        <v>2200</v>
      </c>
      <c r="C65" s="1991">
        <v>980</v>
      </c>
      <c r="D65" s="1991"/>
      <c r="E65" s="1991">
        <v>22796</v>
      </c>
      <c r="F65" s="1991"/>
      <c r="G65" s="1991">
        <v>11465</v>
      </c>
      <c r="H65" s="1991"/>
      <c r="I65" s="1992">
        <f t="shared" si="0"/>
        <v>12311</v>
      </c>
    </row>
    <row r="66" spans="1:9" x14ac:dyDescent="0.2">
      <c r="A66" s="1983" t="s">
        <v>2202</v>
      </c>
      <c r="C66" s="1991">
        <v>2547</v>
      </c>
      <c r="D66" s="1991"/>
      <c r="E66" s="1991">
        <v>6046</v>
      </c>
      <c r="F66" s="1991"/>
      <c r="G66" s="1991">
        <v>5320</v>
      </c>
      <c r="H66" s="1991"/>
      <c r="I66" s="1992">
        <f t="shared" si="0"/>
        <v>3273</v>
      </c>
    </row>
    <row r="67" spans="1:9" x14ac:dyDescent="0.2">
      <c r="A67" s="1983" t="s">
        <v>2203</v>
      </c>
      <c r="C67" s="1991">
        <v>5</v>
      </c>
      <c r="D67" s="1991"/>
      <c r="E67" s="1991">
        <v>379</v>
      </c>
      <c r="F67" s="1991"/>
      <c r="G67" s="1991">
        <v>369</v>
      </c>
      <c r="H67" s="1991"/>
      <c r="I67" s="1992">
        <f t="shared" si="0"/>
        <v>15</v>
      </c>
    </row>
    <row r="68" spans="1:9" x14ac:dyDescent="0.2">
      <c r="A68" s="1983" t="s">
        <v>2177</v>
      </c>
      <c r="C68" s="1991">
        <v>1933</v>
      </c>
      <c r="D68" s="1991"/>
      <c r="E68" s="1991">
        <v>7496</v>
      </c>
      <c r="F68" s="1991"/>
      <c r="G68" s="1991">
        <v>8478</v>
      </c>
      <c r="H68" s="1991"/>
      <c r="I68" s="1992">
        <f t="shared" si="0"/>
        <v>951</v>
      </c>
    </row>
    <row r="69" spans="1:9" x14ac:dyDescent="0.2">
      <c r="A69" s="1983" t="s">
        <v>2204</v>
      </c>
      <c r="C69" s="1991">
        <v>2600</v>
      </c>
      <c r="D69" s="1991"/>
      <c r="E69" s="1991">
        <v>3060</v>
      </c>
      <c r="F69" s="1991"/>
      <c r="G69" s="1991">
        <v>2992</v>
      </c>
      <c r="H69" s="1991"/>
      <c r="I69" s="1992">
        <f t="shared" si="0"/>
        <v>2668</v>
      </c>
    </row>
    <row r="70" spans="1:9" x14ac:dyDescent="0.2">
      <c r="A70" s="1983" t="s">
        <v>2205</v>
      </c>
      <c r="C70" s="1993">
        <v>472</v>
      </c>
      <c r="D70" s="1991"/>
      <c r="E70" s="1993">
        <v>4227</v>
      </c>
      <c r="F70" s="1991"/>
      <c r="G70" s="1993">
        <v>4074</v>
      </c>
      <c r="H70" s="1991"/>
      <c r="I70" s="1993">
        <f t="shared" si="0"/>
        <v>625</v>
      </c>
    </row>
    <row r="71" spans="1:9" x14ac:dyDescent="0.2">
      <c r="C71" s="1988"/>
      <c r="D71" s="1988"/>
      <c r="E71" s="1988"/>
      <c r="F71" s="1988"/>
      <c r="G71" s="1988"/>
      <c r="H71" s="1988"/>
      <c r="I71" s="1988"/>
    </row>
    <row r="72" spans="1:9" ht="13.5" thickBot="1" x14ac:dyDescent="0.25">
      <c r="A72" s="1983" t="s">
        <v>2179</v>
      </c>
      <c r="C72" s="1987">
        <f>SUM(C20:C70)</f>
        <v>89276</v>
      </c>
      <c r="D72" s="1989"/>
      <c r="E72" s="1987">
        <f>SUM(E20:E70)</f>
        <v>216489</v>
      </c>
      <c r="F72" s="1989"/>
      <c r="G72" s="1987">
        <f>SUM(G20:G70)</f>
        <v>226443</v>
      </c>
      <c r="H72" s="1989"/>
      <c r="I72" s="1987">
        <f>SUM(I20:I70)</f>
        <v>79322</v>
      </c>
    </row>
    <row r="73" spans="1:9" ht="13.5" thickTop="1" x14ac:dyDescent="0.2"/>
  </sheetData>
  <mergeCells count="4">
    <mergeCell ref="A1:I1"/>
    <mergeCell ref="A2:I2"/>
    <mergeCell ref="A3:I3"/>
    <mergeCell ref="A4:I4"/>
  </mergeCells>
  <printOptions horizontalCentered="1"/>
  <pageMargins left="1" right="0.75" top="1" bottom="0.5" header="1" footer="0.25"/>
  <pageSetup scale="73" orientation="portrait" r:id="rId1"/>
  <headerFooter>
    <oddFooter>&amp;L
&amp;CReference should be made to accountant's report regarding this information.
56</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6" t="s">
        <v>1790</v>
      </c>
      <c r="B1" s="2397"/>
      <c r="C1" s="2397"/>
      <c r="D1" s="2397"/>
      <c r="E1" s="2397"/>
      <c r="F1" s="2398"/>
    </row>
    <row r="2" spans="1:8" ht="45" customHeight="1" x14ac:dyDescent="0.2">
      <c r="A2" s="2406" t="s">
        <v>1791</v>
      </c>
      <c r="B2" s="2407"/>
      <c r="C2" s="2407"/>
      <c r="D2" s="2407"/>
      <c r="E2" s="2407"/>
      <c r="F2" s="2408"/>
      <c r="G2" s="1072"/>
      <c r="H2" s="1072"/>
    </row>
    <row r="3" spans="1:8" ht="57" customHeight="1" x14ac:dyDescent="0.2">
      <c r="A3" s="2409" t="s">
        <v>1786</v>
      </c>
      <c r="B3" s="2410"/>
      <c r="C3" s="2410"/>
      <c r="D3" s="2410"/>
      <c r="E3" s="2410"/>
      <c r="F3" s="2411"/>
      <c r="G3" s="1072"/>
      <c r="H3" s="1072"/>
    </row>
    <row r="4" spans="1:8" ht="14.25" customHeight="1" x14ac:dyDescent="0.2">
      <c r="A4" s="2415" t="s">
        <v>2054</v>
      </c>
      <c r="B4" s="2416"/>
      <c r="C4" s="2416"/>
      <c r="D4" s="2416"/>
      <c r="E4" s="2416"/>
      <c r="F4" s="2417"/>
      <c r="G4" s="1072"/>
      <c r="H4" s="1072"/>
    </row>
    <row r="5" spans="1:8" ht="14.25" customHeight="1" x14ac:dyDescent="0.2">
      <c r="A5" s="2418" t="s">
        <v>2055</v>
      </c>
      <c r="B5" s="2419"/>
      <c r="C5" s="2419"/>
      <c r="D5" s="2419"/>
      <c r="E5" s="2419"/>
      <c r="F5" s="2420"/>
      <c r="G5" s="1072"/>
      <c r="H5" s="1072"/>
    </row>
    <row r="6" spans="1:8" s="1073" customFormat="1" ht="41.25" customHeight="1" x14ac:dyDescent="0.2">
      <c r="A6" s="2412" t="s">
        <v>1792</v>
      </c>
      <c r="B6" s="2413"/>
      <c r="C6" s="2413"/>
      <c r="D6" s="2413"/>
      <c r="E6" s="2413"/>
      <c r="F6" s="2414"/>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5">
        <f>'Acct Summary 7-8'!C8</f>
        <v>3932653</v>
      </c>
      <c r="C8" s="1835">
        <f>'Acct Summary 7-8'!D8</f>
        <v>899851</v>
      </c>
      <c r="D8" s="1835">
        <f>'Acct Summary 7-8'!F8</f>
        <v>405448</v>
      </c>
      <c r="E8" s="1835">
        <f>'Acct Summary 7-8'!I8</f>
        <v>21116</v>
      </c>
      <c r="F8" s="1835">
        <f>SUM(B8:E8)</f>
        <v>5259068</v>
      </c>
    </row>
    <row r="9" spans="1:8" s="1077" customFormat="1" ht="14.25" customHeight="1" thickBot="1" x14ac:dyDescent="0.25">
      <c r="A9" s="1076" t="s">
        <v>1436</v>
      </c>
      <c r="B9" s="1836">
        <f>'Acct Summary 7-8'!C17</f>
        <v>4011138</v>
      </c>
      <c r="C9" s="1836">
        <f>'Acct Summary 7-8'!D17</f>
        <v>465576</v>
      </c>
      <c r="D9" s="1836">
        <f>'Acct Summary 7-8'!F17</f>
        <v>399197</v>
      </c>
      <c r="E9" s="1835"/>
      <c r="F9" s="1835">
        <f>SUM(B9:E9)</f>
        <v>4875911</v>
      </c>
    </row>
    <row r="10" spans="1:8" s="1077" customFormat="1" ht="14.25" thickTop="1" thickBot="1" x14ac:dyDescent="0.25">
      <c r="A10" s="1078" t="s">
        <v>1437</v>
      </c>
      <c r="B10" s="1837">
        <f>(B8-B9)</f>
        <v>-78485</v>
      </c>
      <c r="C10" s="1837">
        <f>(C8-C9)</f>
        <v>434275</v>
      </c>
      <c r="D10" s="1837">
        <f>(D8-D9)</f>
        <v>6251</v>
      </c>
      <c r="E10" s="1836">
        <f>(E8-E9)</f>
        <v>21116</v>
      </c>
      <c r="F10" s="1838">
        <f>SUM(F8-F9)</f>
        <v>383157</v>
      </c>
    </row>
    <row r="11" spans="1:8" s="1077" customFormat="1" ht="14.25" thickTop="1" thickBot="1" x14ac:dyDescent="0.25">
      <c r="A11" s="1079" t="s">
        <v>1785</v>
      </c>
      <c r="B11" s="1839">
        <f>'Acct Summary 7-8'!C81</f>
        <v>849425</v>
      </c>
      <c r="C11" s="1839">
        <f>'Acct Summary 7-8'!D81</f>
        <v>1068659</v>
      </c>
      <c r="D11" s="1839">
        <f>'Acct Summary 7-8'!F81</f>
        <v>304006</v>
      </c>
      <c r="E11" s="1839">
        <f>'Acct Summary 7-8'!I81</f>
        <v>422714</v>
      </c>
      <c r="F11" s="1840">
        <f>SUM(B11:E11)</f>
        <v>2644804</v>
      </c>
    </row>
    <row r="12" spans="1:8" ht="16.5" customHeight="1" thickTop="1" x14ac:dyDescent="0.2">
      <c r="A12" s="1080"/>
      <c r="B12" s="1081"/>
      <c r="C12" s="2400" t="str">
        <f>IF(AND(F10&lt;0,F11&gt;=0,ABS(F10*3)&gt;ABS(F11)),A16,IF(AND(F10&lt;0,F11&gt;0,ABS(F10*3)&lt;=ABS(F11)),A17,IF(AND(F10&lt;0,F11&lt;0),A16,IF(F11=0,A19,A18))))</f>
        <v>Balanced - no deficit reduction plan is required.</v>
      </c>
      <c r="D12" s="2401"/>
      <c r="E12" s="2401"/>
      <c r="F12" s="2402"/>
    </row>
    <row r="13" spans="1:8" ht="19.5" customHeight="1" x14ac:dyDescent="0.2">
      <c r="A13" s="1082"/>
      <c r="B13" s="1083"/>
      <c r="C13" s="2400"/>
      <c r="D13" s="2401"/>
      <c r="E13" s="2401"/>
      <c r="F13" s="2402"/>
      <c r="H13" s="1072"/>
    </row>
    <row r="14" spans="1:8" ht="19.5" customHeight="1" x14ac:dyDescent="0.2">
      <c r="A14" s="1082"/>
      <c r="B14" s="1083"/>
      <c r="C14" s="2400"/>
      <c r="D14" s="2401"/>
      <c r="E14" s="2401"/>
      <c r="F14" s="2402"/>
      <c r="H14" s="1072"/>
    </row>
    <row r="15" spans="1:8" ht="17.25" customHeight="1" x14ac:dyDescent="0.2">
      <c r="A15" s="1082"/>
      <c r="B15" s="1083"/>
      <c r="C15" s="2403"/>
      <c r="D15" s="2404"/>
      <c r="E15" s="2404"/>
      <c r="F15" s="2405"/>
      <c r="H15" s="1072"/>
    </row>
    <row r="16" spans="1:8" s="310" customFormat="1" ht="51.75" hidden="1" customHeight="1" x14ac:dyDescent="0.2">
      <c r="A16" s="2399" t="s">
        <v>1787</v>
      </c>
      <c r="B16" s="2399"/>
      <c r="C16" s="2399"/>
      <c r="D16" s="2399"/>
      <c r="E16" s="2399"/>
      <c r="F16" s="310" t="s">
        <v>1438</v>
      </c>
    </row>
    <row r="17" spans="1:6" hidden="1" x14ac:dyDescent="0.2">
      <c r="A17" s="316" t="s">
        <v>1788</v>
      </c>
      <c r="F17" s="108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D80" sqref="D80"/>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9"/>
      <c r="B2" s="1920"/>
      <c r="C2" s="1921"/>
      <c r="D2" s="1922"/>
    </row>
    <row r="3" spans="1:4" ht="36" customHeight="1" x14ac:dyDescent="0.2">
      <c r="A3" s="2421" t="s">
        <v>686</v>
      </c>
      <c r="B3" s="2422"/>
      <c r="C3" s="2422"/>
      <c r="D3" s="2423"/>
    </row>
    <row r="4" spans="1:4" x14ac:dyDescent="0.2">
      <c r="A4" s="1150" t="s">
        <v>1793</v>
      </c>
      <c r="B4" s="1151"/>
      <c r="C4" s="1152"/>
      <c r="D4" s="1153"/>
    </row>
    <row r="5" spans="1:4" ht="21" customHeight="1" x14ac:dyDescent="0.2">
      <c r="A5" s="1146"/>
      <c r="B5" s="1147">
        <v>1</v>
      </c>
      <c r="C5" s="1148" t="s">
        <v>1945</v>
      </c>
      <c r="D5" s="1149"/>
    </row>
    <row r="6" spans="1:4" s="669" customFormat="1" ht="14.25" customHeight="1" x14ac:dyDescent="0.2">
      <c r="A6" s="1136"/>
      <c r="B6" s="1091">
        <f t="shared" ref="B6:B13" si="0">B5+1</f>
        <v>2</v>
      </c>
      <c r="C6" s="1092" t="s">
        <v>919</v>
      </c>
      <c r="D6" s="1093"/>
    </row>
    <row r="7" spans="1:4" s="669" customFormat="1" ht="12.75" x14ac:dyDescent="0.2">
      <c r="A7" s="1136"/>
      <c r="B7" s="1091">
        <f t="shared" si="0"/>
        <v>3</v>
      </c>
      <c r="C7" s="2432" t="s">
        <v>1584</v>
      </c>
      <c r="D7" s="2433"/>
    </row>
    <row r="8" spans="1:4" s="669" customFormat="1" ht="12.75" x14ac:dyDescent="0.2">
      <c r="A8" s="1136"/>
      <c r="B8" s="1091"/>
      <c r="C8" s="1094" t="s">
        <v>1583</v>
      </c>
      <c r="D8" s="1095"/>
    </row>
    <row r="9" spans="1:4" s="669" customFormat="1" ht="14.25" customHeight="1" x14ac:dyDescent="0.2">
      <c r="A9" s="1136"/>
      <c r="B9" s="1091">
        <f>B7+1</f>
        <v>4</v>
      </c>
      <c r="C9" s="1092" t="s">
        <v>2047</v>
      </c>
      <c r="D9" s="1093"/>
    </row>
    <row r="10" spans="1:4" s="669" customFormat="1" ht="14.25" customHeight="1" x14ac:dyDescent="0.2">
      <c r="A10" s="1136"/>
      <c r="B10" s="1091">
        <f t="shared" si="0"/>
        <v>5</v>
      </c>
      <c r="C10" s="1092" t="s">
        <v>660</v>
      </c>
      <c r="D10" s="1093"/>
    </row>
    <row r="11" spans="1:4" s="669" customFormat="1" ht="14.25" customHeight="1" x14ac:dyDescent="0.2">
      <c r="A11" s="1136"/>
      <c r="B11" s="1091">
        <f t="shared" si="0"/>
        <v>6</v>
      </c>
      <c r="C11" s="1092" t="s">
        <v>811</v>
      </c>
      <c r="D11" s="1093"/>
    </row>
    <row r="12" spans="1:4" s="669" customFormat="1" ht="14.25" customHeight="1" x14ac:dyDescent="0.2">
      <c r="A12" s="1136"/>
      <c r="B12" s="1091">
        <f t="shared" si="0"/>
        <v>7</v>
      </c>
      <c r="C12" s="1092" t="s">
        <v>1122</v>
      </c>
      <c r="D12" s="1093"/>
    </row>
    <row r="13" spans="1:4" s="669" customFormat="1" ht="14.25" customHeight="1" x14ac:dyDescent="0.2">
      <c r="A13" s="1136"/>
      <c r="B13" s="1091">
        <f t="shared" si="0"/>
        <v>8</v>
      </c>
      <c r="C13" s="1132" t="s">
        <v>812</v>
      </c>
      <c r="D13" s="1093"/>
    </row>
    <row r="14" spans="1:4" s="669" customFormat="1" ht="14.25" customHeight="1" x14ac:dyDescent="0.2">
      <c r="A14" s="1136"/>
      <c r="B14" s="1133">
        <v>9</v>
      </c>
      <c r="C14" s="1134" t="s">
        <v>1585</v>
      </c>
      <c r="D14" s="1135"/>
    </row>
    <row r="15" spans="1:4" s="669" customFormat="1" ht="21.75" customHeight="1" x14ac:dyDescent="0.2">
      <c r="A15" s="2424" t="s">
        <v>1065</v>
      </c>
      <c r="B15" s="2425"/>
      <c r="C15" s="2425"/>
      <c r="D15" s="2426"/>
    </row>
    <row r="16" spans="1:4" s="669" customFormat="1" ht="24" customHeight="1" x14ac:dyDescent="0.2">
      <c r="A16" s="2427" t="s">
        <v>684</v>
      </c>
      <c r="B16" s="2428"/>
      <c r="C16" s="2428"/>
      <c r="D16" s="2429"/>
    </row>
    <row r="17" spans="1:10" s="669" customFormat="1" ht="12.75" customHeight="1" x14ac:dyDescent="0.2">
      <c r="A17" s="1154" t="s">
        <v>1794</v>
      </c>
      <c r="B17" s="1155"/>
      <c r="C17" s="1156"/>
      <c r="D17" s="1157"/>
    </row>
    <row r="18" spans="1:10" s="669"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436" t="s">
        <v>332</v>
      </c>
      <c r="D21" s="2437"/>
    </row>
    <row r="22" spans="1:10" ht="12.75" x14ac:dyDescent="0.2">
      <c r="A22" s="1137"/>
      <c r="B22" s="1138">
        <v>2</v>
      </c>
      <c r="C22" s="2434" t="s">
        <v>1605</v>
      </c>
      <c r="D22" s="2435"/>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897</v>
      </c>
      <c r="D28" s="1105" t="str">
        <f>IF('Aud Quest 2'!B53="X",IF('Aud Quest 2'!F53&gt;"00/00/00 ","Enter Effective Date","ok"))</f>
        <v>ok</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438" t="s">
        <v>557</v>
      </c>
      <c r="D43" s="2439"/>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430" t="s">
        <v>817</v>
      </c>
      <c r="D56" s="2431"/>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2048</v>
      </c>
      <c r="D66" s="1123"/>
    </row>
    <row r="67" spans="1:4" x14ac:dyDescent="0.2">
      <c r="A67" s="1117"/>
      <c r="B67" s="1138"/>
      <c r="C67" s="1145" t="s">
        <v>1079</v>
      </c>
      <c r="D67" s="1123"/>
    </row>
    <row r="68" spans="1:4" x14ac:dyDescent="0.2">
      <c r="A68" s="1098"/>
      <c r="B68" s="1108"/>
      <c r="C68" s="1100" t="s">
        <v>2049</v>
      </c>
      <c r="D68" s="1122" t="str">
        <f>IF('Short-Term Long-Term Debt 24'!F49=SUM(,'Acct Summary 7-8'!C33:K33),"OK","ERROR!")</f>
        <v>OK</v>
      </c>
    </row>
    <row r="69" spans="1:4" x14ac:dyDescent="0.2">
      <c r="A69" s="1098"/>
      <c r="B69" s="1108"/>
      <c r="C69" s="1100" t="s">
        <v>2050</v>
      </c>
      <c r="D69" s="1122" t="str">
        <f>IF('Expenditures 15-22'!H170&lt;&gt;'Short-Term Long-Term Debt 24'!H49,"ERROR!","OK")</f>
        <v>OK</v>
      </c>
    </row>
    <row r="70" spans="1:4" x14ac:dyDescent="0.2">
      <c r="A70" s="1096"/>
      <c r="B70" s="1118">
        <f>B66+1</f>
        <v>9</v>
      </c>
      <c r="C70" s="2430" t="s">
        <v>1797</v>
      </c>
      <c r="D70" s="2431"/>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2051</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2052</v>
      </c>
      <c r="D78" s="1122" t="str">
        <f>IF(ISNUMBER('Acct Summary 7-8'!C9),"OK","ENTRY IS REQUIRED!")</f>
        <v>OK</v>
      </c>
    </row>
    <row r="79" spans="1:4" x14ac:dyDescent="0.2">
      <c r="A79" s="1117"/>
      <c r="B79" s="1118">
        <f>B74+1+1</f>
        <v>12</v>
      </c>
      <c r="C79" s="1128" t="s">
        <v>2018</v>
      </c>
      <c r="D79" s="1129" t="str">
        <f>IF(OR(COVER!$B$6="X",'PCTC-OEPP 27-28'!F78&gt;0),"OK","PLEASE ENTER 9 MO ADA.")</f>
        <v>OK</v>
      </c>
    </row>
    <row r="80" spans="1:4" x14ac:dyDescent="0.2">
      <c r="A80" s="1096"/>
      <c r="B80" s="1118">
        <v>13</v>
      </c>
      <c r="C80" s="1128" t="s">
        <v>2053</v>
      </c>
      <c r="D80" s="1129" t="str">
        <f>IF('Contracts Paid in CY 29'!D141&gt;0,"OK","PLEASE ENTER CONTRACTS PAID IN CURRENT YEAR.")</f>
        <v>PLEASE ENTER CONTRACTS PAID IN CURRENT YEAR.</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51084001026</v>
      </c>
    </row>
    <row r="3" spans="1:2" x14ac:dyDescent="0.2">
      <c r="A3" t="s">
        <v>1013</v>
      </c>
      <c r="B3" s="138" t="str">
        <f>COVER!A15</f>
        <v>Sangamon</v>
      </c>
    </row>
    <row r="4" spans="1:2" x14ac:dyDescent="0.2">
      <c r="A4" t="s">
        <v>1064</v>
      </c>
      <c r="B4" s="138" t="str">
        <f>COVER!A17</f>
        <v>Tri-City CUSD 1</v>
      </c>
    </row>
    <row r="5" spans="1:2" x14ac:dyDescent="0.2">
      <c r="A5" t="s">
        <v>728</v>
      </c>
      <c r="B5" s="138" t="str">
        <f>COVER!A38</f>
        <v>Jill Larson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066-003847</v>
      </c>
    </row>
    <row r="16" spans="1:2" x14ac:dyDescent="0.2">
      <c r="A16" t="s">
        <v>442</v>
      </c>
      <c r="B16" s="138" t="str">
        <f>COVER!T13</f>
        <v>LMHN, Ltd.</v>
      </c>
    </row>
    <row r="17" spans="1:2" x14ac:dyDescent="0.2">
      <c r="A17" t="s">
        <v>939</v>
      </c>
      <c r="B17" s="138" t="str">
        <f>COVER!T15</f>
        <v>M. Adam Mathias</v>
      </c>
    </row>
    <row r="18" spans="1:2" x14ac:dyDescent="0.2">
      <c r="A18" t="s">
        <v>1212</v>
      </c>
      <c r="B18" s="138" t="str">
        <f>COVER!T17</f>
        <v>900 N Webster St - PO Box 87</v>
      </c>
    </row>
    <row r="19" spans="1:2" x14ac:dyDescent="0.2">
      <c r="A19" t="s">
        <v>941</v>
      </c>
      <c r="B19" s="138" t="str">
        <f>COVER!T25</f>
        <v>adam_cpa@yahoo.com</v>
      </c>
    </row>
    <row r="20" spans="1:2" x14ac:dyDescent="0.2">
      <c r="A20" t="s">
        <v>942</v>
      </c>
      <c r="B20" s="138" t="str">
        <f>COVER!T19</f>
        <v>Taylorville</v>
      </c>
    </row>
    <row r="21" spans="1:2" x14ac:dyDescent="0.2">
      <c r="A21" t="s">
        <v>500</v>
      </c>
      <c r="B21" s="138" t="str">
        <f>COVER!X19</f>
        <v>IL</v>
      </c>
    </row>
    <row r="22" spans="1:2" x14ac:dyDescent="0.2">
      <c r="A22" t="s">
        <v>943</v>
      </c>
      <c r="B22" s="138">
        <f>COVER!Z19</f>
        <v>62568</v>
      </c>
    </row>
    <row r="23" spans="1:2" x14ac:dyDescent="0.2">
      <c r="A23" t="s">
        <v>1214</v>
      </c>
      <c r="B23" s="138" t="str">
        <f>COVER!T21</f>
        <v>217-824-9661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35431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736329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849425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849425</v>
      </c>
      <c r="D92" s="2" t="str">
        <f t="shared" si="0"/>
        <v>Error?</v>
      </c>
    </row>
    <row r="93" spans="1:4" x14ac:dyDescent="0.2">
      <c r="A93" s="5">
        <v>32</v>
      </c>
      <c r="B93" s="138">
        <f>'Assets-Liab 5-6'!C41</f>
        <v>849425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1054637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1068659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1068659</v>
      </c>
      <c r="D123" s="2" t="str">
        <f t="shared" si="0"/>
        <v>Error?</v>
      </c>
    </row>
    <row r="124" spans="1:4" x14ac:dyDescent="0.2">
      <c r="A124" s="5">
        <v>63</v>
      </c>
      <c r="B124" s="138">
        <f>'Assets-Liab 5-6'!D41</f>
        <v>1068659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344517</v>
      </c>
      <c r="D129" s="2" t="str">
        <f t="shared" si="1"/>
        <v>Error?</v>
      </c>
    </row>
    <row r="130" spans="1:4" x14ac:dyDescent="0.2">
      <c r="A130" s="5">
        <v>69</v>
      </c>
      <c r="B130" s="138">
        <f>'Assets-Liab 5-6'!E12</f>
        <v>0</v>
      </c>
      <c r="D130" s="2" t="str">
        <f t="shared" si="1"/>
        <v>Error?</v>
      </c>
    </row>
    <row r="131" spans="1:4" x14ac:dyDescent="0.2">
      <c r="A131" s="5">
        <v>70</v>
      </c>
      <c r="B131" s="138">
        <f>'Assets-Liab 5-6'!E13</f>
        <v>344517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344517</v>
      </c>
      <c r="D140" s="2" t="str">
        <f t="shared" si="1"/>
        <v>Error?</v>
      </c>
    </row>
    <row r="141" spans="1:4" x14ac:dyDescent="0.2">
      <c r="A141" s="5">
        <v>80</v>
      </c>
      <c r="B141" s="138">
        <f>'Assets-Liab 5-6'!E41</f>
        <v>344517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304006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304006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304006</v>
      </c>
      <c r="D170" s="2" t="str">
        <f t="shared" si="1"/>
        <v>Error?</v>
      </c>
    </row>
    <row r="171" spans="1:4" x14ac:dyDescent="0.2">
      <c r="A171" s="5">
        <v>110</v>
      </c>
      <c r="B171" s="138">
        <f>'Assets-Liab 5-6'!F41</f>
        <v>304006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112689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112689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112689</v>
      </c>
      <c r="D189" s="2" t="str">
        <f t="shared" si="1"/>
        <v>Error?</v>
      </c>
    </row>
    <row r="190" spans="1:4" x14ac:dyDescent="0.2">
      <c r="A190" s="5">
        <v>129</v>
      </c>
      <c r="B190" s="138">
        <f>'Assets-Liab 5-6'!G41</f>
        <v>112689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38176</v>
      </c>
      <c r="D273" s="2" t="str">
        <f t="shared" si="3"/>
        <v>Error?</v>
      </c>
    </row>
    <row r="274" spans="1:4" x14ac:dyDescent="0.2">
      <c r="A274" s="5">
        <v>213</v>
      </c>
      <c r="B274" s="138">
        <f>'Assets-Liab 5-6'!M17</f>
        <v>9654452</v>
      </c>
      <c r="D274" s="2" t="str">
        <f t="shared" si="3"/>
        <v>Error?</v>
      </c>
    </row>
    <row r="275" spans="1:4" x14ac:dyDescent="0.2">
      <c r="A275" s="5">
        <v>214</v>
      </c>
      <c r="B275" s="138">
        <f>'Assets-Liab 5-6'!M18</f>
        <v>60781</v>
      </c>
      <c r="D275" s="2" t="str">
        <f t="shared" si="3"/>
        <v>Error?</v>
      </c>
    </row>
    <row r="276" spans="1:4" x14ac:dyDescent="0.2">
      <c r="A276" s="5">
        <v>215</v>
      </c>
      <c r="B276" s="138">
        <f>'Assets-Liab 5-6'!M19</f>
        <v>838982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10617391</v>
      </c>
      <c r="C279" s="2" t="s">
        <v>594</v>
      </c>
      <c r="D279" s="2" t="str">
        <f t="shared" si="3"/>
        <v>Error?</v>
      </c>
    </row>
    <row r="280" spans="1:4" x14ac:dyDescent="0.2">
      <c r="A280" s="5">
        <v>219</v>
      </c>
      <c r="B280" s="138">
        <f>'Assets-Liab 5-6'!M40</f>
        <v>10617391</v>
      </c>
      <c r="D280" s="2" t="str">
        <f t="shared" si="3"/>
        <v>Error?</v>
      </c>
    </row>
    <row r="281" spans="1:4" x14ac:dyDescent="0.2">
      <c r="A281" s="5">
        <v>220</v>
      </c>
      <c r="B281" s="138">
        <f>'Assets-Liab 5-6'!M41</f>
        <v>10617391</v>
      </c>
      <c r="C281" s="2" t="s">
        <v>594</v>
      </c>
      <c r="D281" s="2" t="str">
        <f t="shared" si="3"/>
        <v>Error?</v>
      </c>
    </row>
    <row r="282" spans="1:4" x14ac:dyDescent="0.2">
      <c r="A282" s="5">
        <v>221</v>
      </c>
      <c r="B282" s="138">
        <f>'Assets-Liab 5-6'!N21</f>
        <v>344517</v>
      </c>
      <c r="D282" s="2" t="str">
        <f t="shared" si="3"/>
        <v>Error?</v>
      </c>
    </row>
    <row r="283" spans="1:4" x14ac:dyDescent="0.2">
      <c r="A283" s="5">
        <v>222</v>
      </c>
      <c r="B283" s="138">
        <f>'Assets-Liab 5-6'!N22</f>
        <v>4235483</v>
      </c>
      <c r="D283" s="2" t="str">
        <f t="shared" si="3"/>
        <v>Error?</v>
      </c>
    </row>
    <row r="284" spans="1:4" x14ac:dyDescent="0.2">
      <c r="A284" s="5">
        <v>223</v>
      </c>
      <c r="B284" s="138">
        <f>'Assets-Liab 5-6'!N23</f>
        <v>4580000</v>
      </c>
      <c r="C284" s="2" t="s">
        <v>594</v>
      </c>
      <c r="D284" s="2" t="str">
        <f t="shared" si="3"/>
        <v>Error?</v>
      </c>
    </row>
    <row r="285" spans="1:4" x14ac:dyDescent="0.2">
      <c r="A285" s="5">
        <v>224</v>
      </c>
      <c r="B285" s="138">
        <f>'Assets-Liab 5-6'!N36</f>
        <v>4580000</v>
      </c>
      <c r="D285" s="2" t="str">
        <f t="shared" si="3"/>
        <v>Error?</v>
      </c>
    </row>
    <row r="286" spans="1:4" x14ac:dyDescent="0.2">
      <c r="A286" s="10">
        <v>225</v>
      </c>
      <c r="D286" s="2" t="str">
        <f t="shared" si="3"/>
        <v>OK</v>
      </c>
    </row>
    <row r="287" spans="1:4" x14ac:dyDescent="0.2">
      <c r="A287" s="5">
        <v>226</v>
      </c>
      <c r="B287" s="138">
        <f>'Assets-Liab 5-6'!N37</f>
        <v>4580000</v>
      </c>
      <c r="C287" s="2" t="s">
        <v>594</v>
      </c>
      <c r="D287" s="2" t="str">
        <f t="shared" si="3"/>
        <v>Error?</v>
      </c>
    </row>
    <row r="288" spans="1:4" x14ac:dyDescent="0.2">
      <c r="A288" s="5">
        <v>227</v>
      </c>
      <c r="B288" s="138">
        <f>'Assets-Liab 5-6'!N41</f>
        <v>4580000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1706677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12021</v>
      </c>
      <c r="D717" s="2" t="str">
        <f t="shared" si="10"/>
        <v>Error?</v>
      </c>
    </row>
    <row r="718" spans="1:4" x14ac:dyDescent="0.2">
      <c r="A718" s="5">
        <v>657</v>
      </c>
      <c r="B718" s="138">
        <f>'Expenditures 15-22'!C14</f>
        <v>90118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2195218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48179</v>
      </c>
      <c r="D722" s="2" t="str">
        <f t="shared" si="10"/>
        <v>Error?</v>
      </c>
    </row>
    <row r="723" spans="1:4" x14ac:dyDescent="0.2">
      <c r="A723" s="5">
        <v>662</v>
      </c>
      <c r="B723" s="138">
        <f>'Expenditures 15-22'!C38</f>
        <v>46903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183045</v>
      </c>
      <c r="D726" s="2" t="str">
        <f t="shared" si="10"/>
        <v>Error?</v>
      </c>
    </row>
    <row r="727" spans="1:4" x14ac:dyDescent="0.2">
      <c r="A727" s="5">
        <v>666</v>
      </c>
      <c r="B727" s="138">
        <f>'Expenditures 15-22'!C42</f>
        <v>278127</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132637</v>
      </c>
      <c r="D733" s="2" t="str">
        <f t="shared" si="10"/>
        <v>Error?</v>
      </c>
    </row>
    <row r="734" spans="1:4" x14ac:dyDescent="0.2">
      <c r="A734" s="5">
        <v>673</v>
      </c>
      <c r="B734" s="138">
        <f>'Expenditures 15-22'!C53</f>
        <v>132637</v>
      </c>
      <c r="C734" s="2" t="s">
        <v>594</v>
      </c>
      <c r="D734" s="2" t="str">
        <f t="shared" si="10"/>
        <v>Error?</v>
      </c>
    </row>
    <row r="735" spans="1:4" x14ac:dyDescent="0.2">
      <c r="A735" s="5">
        <v>674</v>
      </c>
      <c r="B735" s="138">
        <f>'Expenditures 15-22'!C55</f>
        <v>233730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233730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55960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47165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103125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747619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2942837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280577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1146</v>
      </c>
      <c r="D775" s="2" t="str">
        <f t="shared" si="11"/>
        <v>Error?</v>
      </c>
    </row>
    <row r="776" spans="1:4" x14ac:dyDescent="0.2">
      <c r="A776" s="5">
        <v>715</v>
      </c>
      <c r="B776" s="138">
        <f>'Expenditures 15-22'!D14</f>
        <v>2112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340638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8914</v>
      </c>
      <c r="D780" s="2" t="str">
        <f t="shared" si="11"/>
        <v>Error?</v>
      </c>
    </row>
    <row r="781" spans="1:4" x14ac:dyDescent="0.2">
      <c r="A781" s="5">
        <v>720</v>
      </c>
      <c r="B781" s="138">
        <f>'Expenditures 15-22'!D38</f>
        <v>9633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24784</v>
      </c>
      <c r="D784" s="2" t="str">
        <f t="shared" si="11"/>
        <v>Error?</v>
      </c>
    </row>
    <row r="785" spans="1:4" x14ac:dyDescent="0.2">
      <c r="A785" s="5">
        <v>724</v>
      </c>
      <c r="B785" s="138">
        <f>'Expenditures 15-22'!D42</f>
        <v>43331</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2317</v>
      </c>
      <c r="D791" s="2" t="str">
        <f t="shared" si="11"/>
        <v>Error?</v>
      </c>
    </row>
    <row r="792" spans="1:4" x14ac:dyDescent="0.2">
      <c r="A792" s="5">
        <v>731</v>
      </c>
      <c r="B792" s="138">
        <f>'Expenditures 15-22'!D53</f>
        <v>2317</v>
      </c>
      <c r="C792" s="2" t="s">
        <v>594</v>
      </c>
      <c r="D792" s="2" t="str">
        <f t="shared" si="11"/>
        <v>Error?</v>
      </c>
    </row>
    <row r="793" spans="1:4" x14ac:dyDescent="0.2">
      <c r="A793" s="5">
        <v>732</v>
      </c>
      <c r="B793" s="138">
        <f>'Expenditures 15-22'!D55</f>
        <v>11992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11992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9416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8319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17735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75375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416013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625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143</v>
      </c>
      <c r="D833" s="2" t="str">
        <f t="shared" si="12"/>
        <v>Error?</v>
      </c>
    </row>
    <row r="834" spans="1:4" x14ac:dyDescent="0.2">
      <c r="A834" s="5">
        <v>773</v>
      </c>
      <c r="B834" s="138">
        <f>'Expenditures 15-22'!E14</f>
        <v>31763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38763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200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200</v>
      </c>
      <c r="C843" s="2" t="s">
        <v>594</v>
      </c>
      <c r="D843" s="2" t="str">
        <f t="shared" si="12"/>
        <v>Error?</v>
      </c>
    </row>
    <row r="844" spans="1:4" x14ac:dyDescent="0.2">
      <c r="A844" s="5">
        <v>783</v>
      </c>
      <c r="B844" s="138">
        <f>'Expenditures 15-22'!E44</f>
        <v>61381</v>
      </c>
      <c r="D844" s="2" t="str">
        <f t="shared" si="12"/>
        <v>Error?</v>
      </c>
    </row>
    <row r="845" spans="1:4" x14ac:dyDescent="0.2">
      <c r="A845" s="5">
        <v>784</v>
      </c>
      <c r="B845" s="138">
        <f>'Expenditures 15-22'!E45</f>
        <v>570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61951</v>
      </c>
      <c r="C847" s="2" t="s">
        <v>594</v>
      </c>
      <c r="D847" s="2" t="str">
        <f t="shared" si="12"/>
        <v>Error?</v>
      </c>
    </row>
    <row r="848" spans="1:4" x14ac:dyDescent="0.2">
      <c r="A848" s="5">
        <v>787</v>
      </c>
      <c r="B848" s="138">
        <f>'Expenditures 15-22'!E49</f>
        <v>26366</v>
      </c>
      <c r="D848" s="2" t="str">
        <f t="shared" si="12"/>
        <v>Error?</v>
      </c>
    </row>
    <row r="849" spans="1:4" x14ac:dyDescent="0.2">
      <c r="A849" s="5">
        <v>788</v>
      </c>
      <c r="B849" s="138">
        <f>'Expenditures 15-22'!E50</f>
        <v>2240</v>
      </c>
      <c r="D849" s="2" t="str">
        <f t="shared" si="12"/>
        <v>Error?</v>
      </c>
    </row>
    <row r="850" spans="1:4" x14ac:dyDescent="0.2">
      <c r="A850" s="5">
        <v>789</v>
      </c>
      <c r="B850" s="138">
        <f>'Expenditures 15-22'!E53</f>
        <v>28606</v>
      </c>
      <c r="C850" s="2" t="s">
        <v>594</v>
      </c>
      <c r="D850" s="2" t="str">
        <f t="shared" si="12"/>
        <v>Error?</v>
      </c>
    </row>
    <row r="851" spans="1:4" x14ac:dyDescent="0.2">
      <c r="A851" s="5">
        <v>790</v>
      </c>
      <c r="B851" s="138">
        <f>'Expenditures 15-22'!E55</f>
        <v>212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71464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71464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162433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201196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65330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4658</v>
      </c>
      <c r="D891" s="2" t="str">
        <f t="shared" si="12"/>
        <v>Error?</v>
      </c>
    </row>
    <row r="892" spans="1:4" x14ac:dyDescent="0.2">
      <c r="A892" s="5">
        <v>831</v>
      </c>
      <c r="B892" s="138">
        <f>'Expenditures 15-22'!F14</f>
        <v>20168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107740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342</v>
      </c>
      <c r="D896" s="2" t="str">
        <f t="shared" si="13"/>
        <v>Error?</v>
      </c>
    </row>
    <row r="897" spans="1:4" x14ac:dyDescent="0.2">
      <c r="A897" s="5">
        <v>836</v>
      </c>
      <c r="B897" s="138">
        <f>'Expenditures 15-22'!F38</f>
        <v>2012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2354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1405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1405</v>
      </c>
      <c r="C905" s="2" t="s">
        <v>594</v>
      </c>
      <c r="D905" s="2" t="str">
        <f t="shared" si="13"/>
        <v>Error?</v>
      </c>
    </row>
    <row r="906" spans="1:4" x14ac:dyDescent="0.2">
      <c r="A906" s="5">
        <v>845</v>
      </c>
      <c r="B906" s="138">
        <f>'Expenditures 15-22'!F49</f>
        <v>19954</v>
      </c>
      <c r="D906" s="2" t="str">
        <f t="shared" si="13"/>
        <v>Error?</v>
      </c>
    </row>
    <row r="907" spans="1:4" x14ac:dyDescent="0.2">
      <c r="A907" s="5">
        <v>846</v>
      </c>
      <c r="B907" s="138">
        <f>'Expenditures 15-22'!F50</f>
        <v>52</v>
      </c>
      <c r="D907" s="2" t="str">
        <f t="shared" si="13"/>
        <v>Error?</v>
      </c>
    </row>
    <row r="908" spans="1:4" x14ac:dyDescent="0.2">
      <c r="A908" s="5">
        <v>847</v>
      </c>
      <c r="B908" s="138">
        <f>'Expenditures 15-22'!F53</f>
        <v>20006</v>
      </c>
      <c r="C908" s="2" t="s">
        <v>594</v>
      </c>
      <c r="D908" s="2" t="str">
        <f t="shared" si="13"/>
        <v>Error?</v>
      </c>
    </row>
    <row r="909" spans="1:4" x14ac:dyDescent="0.2">
      <c r="A909" s="5">
        <v>848</v>
      </c>
      <c r="B909" s="138">
        <f>'Expenditures 15-22'!F55</f>
        <v>609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609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421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3318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3739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28113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135853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20000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41512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41512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6990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100</v>
      </c>
      <c r="D1007" s="2" t="str">
        <f t="shared" si="14"/>
        <v>Error?</v>
      </c>
    </row>
    <row r="1008" spans="1:4" x14ac:dyDescent="0.2">
      <c r="A1008" s="5">
        <v>947</v>
      </c>
      <c r="B1008" s="138">
        <f>'Expenditures 15-22'!H14</f>
        <v>2694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9784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50</v>
      </c>
      <c r="D1012" s="2" t="str">
        <f t="shared" si="14"/>
        <v>Error?</v>
      </c>
    </row>
    <row r="1013" spans="1:4" x14ac:dyDescent="0.2">
      <c r="A1013" s="5">
        <v>952</v>
      </c>
      <c r="B1013" s="138">
        <f>'Expenditures 15-22'!H38</f>
        <v>70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120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23294</v>
      </c>
      <c r="D1022" s="2" t="str">
        <f t="shared" si="14"/>
        <v>Error?</v>
      </c>
    </row>
    <row r="1023" spans="1:4" x14ac:dyDescent="0.2">
      <c r="A1023" s="5">
        <v>962</v>
      </c>
      <c r="B1023" s="138">
        <f>'Expenditures 15-22'!H50</f>
        <v>1901</v>
      </c>
      <c r="D1023" s="2" t="str">
        <f t="shared" ref="D1023:D1086" si="15">IF(ISBLANK(B1023),"OK",IF(A1023-B1023=0,"OK","Error?"))</f>
        <v>Error?</v>
      </c>
    </row>
    <row r="1024" spans="1:4" x14ac:dyDescent="0.2">
      <c r="A1024" s="5">
        <v>963</v>
      </c>
      <c r="B1024" s="138">
        <f>'Expenditures 15-22'!H53</f>
        <v>25195</v>
      </c>
      <c r="C1024" s="2" t="s">
        <v>594</v>
      </c>
      <c r="D1024" s="2" t="str">
        <f t="shared" si="15"/>
        <v>Error?</v>
      </c>
    </row>
    <row r="1025" spans="1:4" x14ac:dyDescent="0.2">
      <c r="A1025" s="5">
        <v>964</v>
      </c>
      <c r="B1025" s="138">
        <f>'Expenditures 15-22'!H55</f>
        <v>1841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1841</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27156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236787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273727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2060199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18068</v>
      </c>
      <c r="C1105" s="2" t="s">
        <v>594</v>
      </c>
      <c r="D1105" s="2" t="str">
        <f t="shared" si="16"/>
        <v>Error?</v>
      </c>
    </row>
    <row r="1106" spans="1:4" x14ac:dyDescent="0.2">
      <c r="A1106" s="5">
        <v>1045</v>
      </c>
      <c r="B1106" s="138">
        <f>'Expenditures 15-22'!K14</f>
        <v>166855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2733655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57685</v>
      </c>
      <c r="C1110" s="2" t="s">
        <v>594</v>
      </c>
      <c r="D1110" s="2" t="str">
        <f t="shared" si="16"/>
        <v>Error?</v>
      </c>
    </row>
    <row r="1111" spans="1:4" x14ac:dyDescent="0.2">
      <c r="A1111" s="5">
        <v>1050</v>
      </c>
      <c r="B1111" s="138">
        <f>'Expenditures 15-22'!K38</f>
        <v>58618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207829</v>
      </c>
      <c r="C1114" s="2" t="s">
        <v>594</v>
      </c>
      <c r="D1114" s="2" t="str">
        <f t="shared" si="16"/>
        <v>Error?</v>
      </c>
    </row>
    <row r="1115" spans="1:4" x14ac:dyDescent="0.2">
      <c r="A1115" s="5">
        <v>1054</v>
      </c>
      <c r="B1115" s="138">
        <f>'Expenditures 15-22'!K42</f>
        <v>324132</v>
      </c>
      <c r="C1115" s="2" t="s">
        <v>594</v>
      </c>
      <c r="D1115" s="2" t="str">
        <f t="shared" si="16"/>
        <v>Error?</v>
      </c>
    </row>
    <row r="1116" spans="1:4" x14ac:dyDescent="0.2">
      <c r="A1116" s="5">
        <v>1055</v>
      </c>
      <c r="B1116" s="138">
        <f>'Expenditures 15-22'!K44</f>
        <v>61381</v>
      </c>
      <c r="C1116" s="2" t="s">
        <v>594</v>
      </c>
      <c r="D1116" s="2" t="str">
        <f t="shared" si="16"/>
        <v>Error?</v>
      </c>
    </row>
    <row r="1117" spans="1:4" x14ac:dyDescent="0.2">
      <c r="A1117" s="5">
        <v>1056</v>
      </c>
      <c r="B1117" s="138">
        <f>'Expenditures 15-22'!K45</f>
        <v>1975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63356</v>
      </c>
      <c r="C1119" s="2" t="s">
        <v>594</v>
      </c>
      <c r="D1119" s="2" t="str">
        <f t="shared" si="16"/>
        <v>Error?</v>
      </c>
    </row>
    <row r="1120" spans="1:4" x14ac:dyDescent="0.2">
      <c r="A1120" s="5">
        <v>1059</v>
      </c>
      <c r="B1120" s="138">
        <f>'Expenditures 15-22'!K49</f>
        <v>69614</v>
      </c>
      <c r="C1120" s="2" t="s">
        <v>594</v>
      </c>
      <c r="D1120" s="2" t="str">
        <f t="shared" si="16"/>
        <v>Error?</v>
      </c>
    </row>
    <row r="1121" spans="1:4" x14ac:dyDescent="0.2">
      <c r="A1121" s="5">
        <v>1060</v>
      </c>
      <c r="B1121" s="138">
        <f>'Expenditures 15-22'!K50</f>
        <v>139147</v>
      </c>
      <c r="C1121" s="2" t="s">
        <v>594</v>
      </c>
      <c r="D1121" s="2" t="str">
        <f t="shared" si="16"/>
        <v>Error?</v>
      </c>
    </row>
    <row r="1122" spans="1:4" x14ac:dyDescent="0.2">
      <c r="A1122" s="5">
        <v>1061</v>
      </c>
      <c r="B1122" s="138">
        <f>'Expenditures 15-22'!K53</f>
        <v>208761</v>
      </c>
      <c r="C1122" s="2" t="s">
        <v>594</v>
      </c>
      <c r="D1122" s="2" t="str">
        <f t="shared" si="16"/>
        <v>Error?</v>
      </c>
    </row>
    <row r="1123" spans="1:4" x14ac:dyDescent="0.2">
      <c r="A1123" s="5">
        <v>1062</v>
      </c>
      <c r="B1123" s="138">
        <f>'Expenditures 15-22'!K55</f>
        <v>248384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248384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65797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130266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196063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1040696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236787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4011138</v>
      </c>
      <c r="C1152" s="2" t="s">
        <v>594</v>
      </c>
      <c r="D1152" s="2" t="str">
        <f t="shared" si="17"/>
        <v>Error?</v>
      </c>
    </row>
    <row r="1153" spans="1:4" x14ac:dyDescent="0.2">
      <c r="A1153" s="5">
        <v>1092</v>
      </c>
      <c r="B1153" s="138">
        <f>'Expenditures 15-22'!K115</f>
        <v>-78485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191937</v>
      </c>
      <c r="D1221" s="2" t="str">
        <f t="shared" si="18"/>
        <v>Error?</v>
      </c>
    </row>
    <row r="1222" spans="1:4" x14ac:dyDescent="0.2">
      <c r="A1222" s="10">
        <v>1161</v>
      </c>
      <c r="D1222" s="2" t="str">
        <f t="shared" si="18"/>
        <v>OK</v>
      </c>
    </row>
    <row r="1223" spans="1:4" x14ac:dyDescent="0.2">
      <c r="A1223" s="5">
        <v>1162</v>
      </c>
      <c r="B1223" s="138">
        <f>'Expenditures 15-22'!C127</f>
        <v>191937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191937</v>
      </c>
      <c r="C1225" s="2" t="s">
        <v>594</v>
      </c>
      <c r="D1225" s="2" t="str">
        <f t="shared" si="18"/>
        <v>Error?</v>
      </c>
    </row>
    <row r="1226" spans="1:4" x14ac:dyDescent="0.2">
      <c r="A1226" s="5">
        <v>1165</v>
      </c>
      <c r="B1226" s="138">
        <f>'Expenditures 15-22'!C151</f>
        <v>191937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36585</v>
      </c>
      <c r="D1229" s="2" t="str">
        <f t="shared" si="18"/>
        <v>Error?</v>
      </c>
    </row>
    <row r="1230" spans="1:4" x14ac:dyDescent="0.2">
      <c r="A1230" s="10">
        <v>1169</v>
      </c>
      <c r="D1230" s="2" t="str">
        <f t="shared" si="18"/>
        <v>OK</v>
      </c>
    </row>
    <row r="1231" spans="1:4" x14ac:dyDescent="0.2">
      <c r="A1231" s="5">
        <v>1170</v>
      </c>
      <c r="B1231" s="138">
        <f>'Expenditures 15-22'!D127</f>
        <v>36585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36585</v>
      </c>
      <c r="C1233" s="2" t="s">
        <v>594</v>
      </c>
      <c r="D1233" s="2" t="str">
        <f t="shared" si="18"/>
        <v>Error?</v>
      </c>
    </row>
    <row r="1234" spans="1:4" x14ac:dyDescent="0.2">
      <c r="A1234" s="5">
        <v>1173</v>
      </c>
      <c r="B1234" s="138">
        <f>'Expenditures 15-22'!D151</f>
        <v>36585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85057</v>
      </c>
      <c r="D1237" s="2" t="str">
        <f t="shared" si="18"/>
        <v>Error?</v>
      </c>
    </row>
    <row r="1238" spans="1:4" x14ac:dyDescent="0.2">
      <c r="A1238" s="10">
        <v>1177</v>
      </c>
      <c r="D1238" s="2" t="str">
        <f t="shared" si="18"/>
        <v>OK</v>
      </c>
    </row>
    <row r="1239" spans="1:4" x14ac:dyDescent="0.2">
      <c r="A1239" s="5">
        <v>1178</v>
      </c>
      <c r="B1239" s="138">
        <f>'Expenditures 15-22'!E127</f>
        <v>85057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85057</v>
      </c>
      <c r="C1241" s="2" t="s">
        <v>594</v>
      </c>
      <c r="D1241" s="2" t="str">
        <f t="shared" si="18"/>
        <v>Error?</v>
      </c>
    </row>
    <row r="1242" spans="1:4" x14ac:dyDescent="0.2">
      <c r="A1242" s="5">
        <v>1181</v>
      </c>
      <c r="B1242" s="138">
        <f>'Expenditures 15-22'!E151</f>
        <v>85057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126997</v>
      </c>
      <c r="D1245" s="2" t="str">
        <f t="shared" si="18"/>
        <v>Error?</v>
      </c>
    </row>
    <row r="1246" spans="1:4" x14ac:dyDescent="0.2">
      <c r="A1246" s="10">
        <v>1185</v>
      </c>
      <c r="D1246" s="2" t="str">
        <f t="shared" si="18"/>
        <v>OK</v>
      </c>
    </row>
    <row r="1247" spans="1:4" x14ac:dyDescent="0.2">
      <c r="A1247" s="5">
        <v>1186</v>
      </c>
      <c r="B1247" s="138">
        <f>'Expenditures 15-22'!F127</f>
        <v>126997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126997</v>
      </c>
      <c r="C1249" s="2" t="s">
        <v>594</v>
      </c>
      <c r="D1249" s="2" t="str">
        <f t="shared" si="18"/>
        <v>Error?</v>
      </c>
    </row>
    <row r="1250" spans="1:4" x14ac:dyDescent="0.2">
      <c r="A1250" s="5">
        <v>1189</v>
      </c>
      <c r="B1250" s="138">
        <f>'Expenditures 15-22'!F151</f>
        <v>126997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25000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25000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25000</v>
      </c>
      <c r="C1258" s="2" t="s">
        <v>594</v>
      </c>
      <c r="D1258" s="2" t="str">
        <f t="shared" si="18"/>
        <v>Error?</v>
      </c>
    </row>
    <row r="1259" spans="1:4" x14ac:dyDescent="0.2">
      <c r="A1259" s="5">
        <v>1198</v>
      </c>
      <c r="B1259" s="138">
        <f>'Expenditures 15-22'!G151</f>
        <v>25000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465576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465576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465576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465576</v>
      </c>
      <c r="C1288" s="2" t="s">
        <v>594</v>
      </c>
      <c r="D1288" s="2" t="str">
        <f t="shared" si="19"/>
        <v>Error?</v>
      </c>
    </row>
    <row r="1289" spans="1:4" x14ac:dyDescent="0.2">
      <c r="A1289" s="5">
        <v>1228</v>
      </c>
      <c r="B1289" s="138">
        <f>'Expenditures 15-22'!K152</f>
        <v>434275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187360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430000</v>
      </c>
      <c r="D1315" s="2" t="str">
        <f t="shared" si="19"/>
        <v>Error?</v>
      </c>
    </row>
    <row r="1316" spans="1:4" x14ac:dyDescent="0.2">
      <c r="A1316" s="5">
        <v>1255</v>
      </c>
      <c r="B1316" s="138">
        <f>'Expenditures 15-22'!H171</f>
        <v>802</v>
      </c>
      <c r="D1316" s="2" t="str">
        <f t="shared" si="19"/>
        <v>Error?</v>
      </c>
    </row>
    <row r="1317" spans="1:4" x14ac:dyDescent="0.2">
      <c r="A1317" s="5">
        <v>1256</v>
      </c>
      <c r="B1317" s="138">
        <f>'Expenditures 15-22'!H172</f>
        <v>618162</v>
      </c>
      <c r="C1317" s="2" t="s">
        <v>594</v>
      </c>
      <c r="D1317" s="2" t="str">
        <f t="shared" si="19"/>
        <v>Error?</v>
      </c>
    </row>
    <row r="1318" spans="1:4" x14ac:dyDescent="0.2">
      <c r="A1318" s="5">
        <v>1257</v>
      </c>
      <c r="B1318" s="138">
        <f>'Expenditures 15-22'!H174</f>
        <v>618162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187360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430000</v>
      </c>
      <c r="C1329" s="2" t="s">
        <v>594</v>
      </c>
      <c r="D1329" s="2" t="str">
        <f t="shared" si="19"/>
        <v>Error?</v>
      </c>
    </row>
    <row r="1330" spans="1:4" x14ac:dyDescent="0.2">
      <c r="A1330" s="5">
        <v>1269</v>
      </c>
      <c r="B1330" s="138">
        <f>'Expenditures 15-22'!K171</f>
        <v>802</v>
      </c>
      <c r="C1330" s="2" t="s">
        <v>594</v>
      </c>
      <c r="D1330" s="2" t="str">
        <f t="shared" si="19"/>
        <v>Error?</v>
      </c>
    </row>
    <row r="1331" spans="1:4" x14ac:dyDescent="0.2">
      <c r="A1331" s="5">
        <v>1270</v>
      </c>
      <c r="B1331" s="138">
        <f>'Expenditures 15-22'!K172</f>
        <v>618162</v>
      </c>
      <c r="C1331" s="2" t="s">
        <v>594</v>
      </c>
      <c r="D1331" s="2" t="str">
        <f t="shared" si="19"/>
        <v>Error?</v>
      </c>
    </row>
    <row r="1332" spans="1:4" x14ac:dyDescent="0.2">
      <c r="A1332" s="5">
        <v>1271</v>
      </c>
      <c r="B1332" s="138">
        <f>'Expenditures 15-22'!K174</f>
        <v>618162</v>
      </c>
      <c r="C1332" s="2" t="s">
        <v>594</v>
      </c>
      <c r="D1332" s="2" t="str">
        <f t="shared" si="19"/>
        <v>Error?</v>
      </c>
    </row>
    <row r="1333" spans="1:4" x14ac:dyDescent="0.2">
      <c r="A1333" s="5">
        <v>1272</v>
      </c>
      <c r="B1333" s="138">
        <f>'Expenditures 15-22'!K175</f>
        <v>20669</v>
      </c>
      <c r="C1333" s="2" t="s">
        <v>594</v>
      </c>
      <c r="D1333" s="2" t="str">
        <f t="shared" si="19"/>
        <v>Error?</v>
      </c>
    </row>
    <row r="1334" spans="1:4" x14ac:dyDescent="0.2">
      <c r="A1334" s="10">
        <v>1273</v>
      </c>
      <c r="D1334" s="2" t="str">
        <f t="shared" si="19"/>
        <v>OK</v>
      </c>
    </row>
    <row r="1335" spans="1:4" x14ac:dyDescent="0.2">
      <c r="A1335" s="5">
        <v>1274</v>
      </c>
      <c r="B1335" s="138">
        <f>'Expenditures 15-22'!C182</f>
        <v>194964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194964</v>
      </c>
      <c r="C1339" s="2" t="s">
        <v>594</v>
      </c>
      <c r="D1339" s="2" t="str">
        <f t="shared" si="19"/>
        <v>Error?</v>
      </c>
    </row>
    <row r="1340" spans="1:4" x14ac:dyDescent="0.2">
      <c r="A1340" s="5">
        <v>1279</v>
      </c>
      <c r="B1340" s="138">
        <f>'Expenditures 15-22'!C210</f>
        <v>194964</v>
      </c>
      <c r="C1340" s="2" t="s">
        <v>594</v>
      </c>
      <c r="D1340" s="2" t="str">
        <f t="shared" si="19"/>
        <v>Error?</v>
      </c>
    </row>
    <row r="1341" spans="1:4" x14ac:dyDescent="0.2">
      <c r="A1341" s="5">
        <v>1280</v>
      </c>
      <c r="B1341" s="138">
        <f>'Expenditures 15-22'!D182</f>
        <v>11762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11762</v>
      </c>
      <c r="C1345" s="2" t="s">
        <v>594</v>
      </c>
      <c r="D1345" s="2" t="str">
        <f t="shared" si="20"/>
        <v>Error?</v>
      </c>
    </row>
    <row r="1346" spans="1:4" x14ac:dyDescent="0.2">
      <c r="A1346" s="5">
        <v>1285</v>
      </c>
      <c r="B1346" s="138">
        <f>'Expenditures 15-22'!D210</f>
        <v>11762</v>
      </c>
      <c r="C1346" s="2" t="s">
        <v>594</v>
      </c>
      <c r="D1346" s="2" t="str">
        <f t="shared" si="20"/>
        <v>Error?</v>
      </c>
    </row>
    <row r="1347" spans="1:4" x14ac:dyDescent="0.2">
      <c r="A1347" s="5">
        <v>1286</v>
      </c>
      <c r="B1347" s="138">
        <f>'Expenditures 15-22'!E182</f>
        <v>133299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133299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133299</v>
      </c>
      <c r="C1353" s="2" t="s">
        <v>594</v>
      </c>
      <c r="D1353" s="2" t="str">
        <f t="shared" si="20"/>
        <v>Error?</v>
      </c>
    </row>
    <row r="1354" spans="1:4" x14ac:dyDescent="0.2">
      <c r="A1354" s="5">
        <v>1293</v>
      </c>
      <c r="B1354" s="138">
        <f>'Expenditures 15-22'!F182</f>
        <v>59172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59172</v>
      </c>
      <c r="C1358" s="2" t="s">
        <v>594</v>
      </c>
      <c r="D1358" s="2" t="str">
        <f t="shared" si="20"/>
        <v>Error?</v>
      </c>
    </row>
    <row r="1359" spans="1:4" x14ac:dyDescent="0.2">
      <c r="A1359" s="5">
        <v>1298</v>
      </c>
      <c r="B1359" s="138">
        <f>'Expenditures 15-22'!F210</f>
        <v>59172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399197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399197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399197</v>
      </c>
      <c r="C1388" s="2" t="s">
        <v>594</v>
      </c>
      <c r="D1388" s="2" t="str">
        <f t="shared" si="20"/>
        <v>Error?</v>
      </c>
    </row>
    <row r="1389" spans="1:4" x14ac:dyDescent="0.2">
      <c r="A1389" s="5">
        <v>1328</v>
      </c>
      <c r="B1389" s="138">
        <f>'Expenditures 15-22'!K211</f>
        <v>6251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173</v>
      </c>
      <c r="D1407" s="2" t="str">
        <f t="shared" ref="D1407:D1470" si="21">IF(ISBLANK(B1407),"OK",IF(A1407-B1407=0,"OK","Error?"))</f>
        <v>Error?</v>
      </c>
    </row>
    <row r="1408" spans="1:4" x14ac:dyDescent="0.2">
      <c r="A1408" s="5">
        <v>1347</v>
      </c>
      <c r="B1408" s="138">
        <f>'Expenditures 15-22'!D223</f>
        <v>2830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37262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658</v>
      </c>
      <c r="D1412" s="2" t="str">
        <f t="shared" si="21"/>
        <v>Error?</v>
      </c>
    </row>
    <row r="1413" spans="1:4" x14ac:dyDescent="0.2">
      <c r="A1413" s="5">
        <v>1352</v>
      </c>
      <c r="B1413" s="138">
        <f>'Expenditures 15-22'!D234</f>
        <v>4408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31772</v>
      </c>
      <c r="D1416" s="2" t="str">
        <f t="shared" si="21"/>
        <v>Error?</v>
      </c>
    </row>
    <row r="1417" spans="1:4" x14ac:dyDescent="0.2">
      <c r="A1417" s="5">
        <v>1356</v>
      </c>
      <c r="B1417" s="138">
        <f>'Expenditures 15-22'!D238</f>
        <v>36838</v>
      </c>
      <c r="C1417" s="2" t="s">
        <v>594</v>
      </c>
      <c r="D1417" s="2" t="str">
        <f t="shared" si="21"/>
        <v>Error?</v>
      </c>
    </row>
    <row r="1418" spans="1:4" x14ac:dyDescent="0.2">
      <c r="A1418" s="5">
        <v>1357</v>
      </c>
      <c r="B1418" s="138">
        <f>'Expenditures 15-22'!D240</f>
        <v>25</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v>
      </c>
      <c r="C1421" s="2" t="s">
        <v>594</v>
      </c>
      <c r="D1421" s="2" t="str">
        <f t="shared" si="21"/>
        <v>Error?</v>
      </c>
    </row>
    <row r="1422" spans="1:4" x14ac:dyDescent="0.2">
      <c r="A1422" s="5">
        <v>1361</v>
      </c>
      <c r="B1422" s="138">
        <f>'Expenditures 15-22'!D245</f>
        <v>7</v>
      </c>
      <c r="D1422" s="2" t="str">
        <f t="shared" si="21"/>
        <v>Error?</v>
      </c>
    </row>
    <row r="1423" spans="1:4" x14ac:dyDescent="0.2">
      <c r="A1423" s="5">
        <v>1362</v>
      </c>
      <c r="B1423" s="138">
        <f>'Expenditures 15-22'!D246</f>
        <v>1898</v>
      </c>
      <c r="D1423" s="2" t="str">
        <f t="shared" si="21"/>
        <v>Error?</v>
      </c>
    </row>
    <row r="1424" spans="1:4" x14ac:dyDescent="0.2">
      <c r="A1424" s="5">
        <v>1363</v>
      </c>
      <c r="B1424" s="138">
        <f>'Expenditures 15-22'!D257</f>
        <v>1905</v>
      </c>
      <c r="C1424" s="2" t="s">
        <v>594</v>
      </c>
      <c r="D1424" s="2" t="str">
        <f t="shared" si="21"/>
        <v>Error?</v>
      </c>
    </row>
    <row r="1425" spans="1:4" x14ac:dyDescent="0.2">
      <c r="A1425" s="5">
        <v>1364</v>
      </c>
      <c r="B1425" s="138">
        <f>'Expenditures 15-22'!D259</f>
        <v>14320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14320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11245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33199</v>
      </c>
      <c r="D1431" s="2" t="str">
        <f t="shared" si="21"/>
        <v>Error?</v>
      </c>
    </row>
    <row r="1432" spans="1:4" x14ac:dyDescent="0.2">
      <c r="A1432" s="5">
        <v>1371</v>
      </c>
      <c r="B1432" s="138">
        <f>'Expenditures 15-22'!D267</f>
        <v>24947</v>
      </c>
      <c r="D1432" s="2" t="str">
        <f t="shared" si="21"/>
        <v>Error?</v>
      </c>
    </row>
    <row r="1433" spans="1:4" x14ac:dyDescent="0.2">
      <c r="A1433" s="5">
        <v>1372</v>
      </c>
      <c r="B1433" s="138">
        <f>'Expenditures 15-22'!D268</f>
        <v>8399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77790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130878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168140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173</v>
      </c>
      <c r="C1471" s="2" t="s">
        <v>594</v>
      </c>
      <c r="D1471" s="2" t="str">
        <f t="shared" ref="D1471:D1534" si="22">IF(ISBLANK(B1471),"OK",IF(A1471-B1471=0,"OK","Error?"))</f>
        <v>Error?</v>
      </c>
    </row>
    <row r="1472" spans="1:4" x14ac:dyDescent="0.2">
      <c r="A1472" s="5">
        <v>1411</v>
      </c>
      <c r="B1472" s="138">
        <f>'Expenditures 15-22'!K223</f>
        <v>2830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37262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658</v>
      </c>
      <c r="C1476" s="2" t="s">
        <v>594</v>
      </c>
      <c r="D1476" s="2" t="str">
        <f t="shared" si="22"/>
        <v>Error?</v>
      </c>
    </row>
    <row r="1477" spans="1:4" x14ac:dyDescent="0.2">
      <c r="A1477" s="5">
        <v>1416</v>
      </c>
      <c r="B1477" s="138">
        <f>'Expenditures 15-22'!K234</f>
        <v>4408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31772</v>
      </c>
      <c r="C1480" s="2" t="s">
        <v>594</v>
      </c>
      <c r="D1480" s="2" t="str">
        <f t="shared" si="22"/>
        <v>Error?</v>
      </c>
    </row>
    <row r="1481" spans="1:4" x14ac:dyDescent="0.2">
      <c r="A1481" s="5">
        <v>1420</v>
      </c>
      <c r="B1481" s="138">
        <f>'Expenditures 15-22'!K238</f>
        <v>36838</v>
      </c>
      <c r="C1481" s="2" t="s">
        <v>594</v>
      </c>
      <c r="D1481" s="2" t="str">
        <f t="shared" si="22"/>
        <v>Error?</v>
      </c>
    </row>
    <row r="1482" spans="1:4" x14ac:dyDescent="0.2">
      <c r="A1482" s="5">
        <v>1421</v>
      </c>
      <c r="B1482" s="138">
        <f>'Expenditures 15-22'!K240</f>
        <v>25</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25</v>
      </c>
      <c r="C1485" s="2" t="s">
        <v>594</v>
      </c>
      <c r="D1485" s="2" t="str">
        <f t="shared" si="22"/>
        <v>Error?</v>
      </c>
    </row>
    <row r="1486" spans="1:4" x14ac:dyDescent="0.2">
      <c r="A1486" s="5">
        <v>1425</v>
      </c>
      <c r="B1486" s="138">
        <f>'Expenditures 15-22'!K245</f>
        <v>7</v>
      </c>
      <c r="C1486" s="2" t="s">
        <v>594</v>
      </c>
      <c r="D1486" s="2" t="str">
        <f t="shared" si="22"/>
        <v>Error?</v>
      </c>
    </row>
    <row r="1487" spans="1:4" x14ac:dyDescent="0.2">
      <c r="A1487" s="5">
        <v>1426</v>
      </c>
      <c r="B1487" s="138">
        <f>'Expenditures 15-22'!K246</f>
        <v>1898</v>
      </c>
      <c r="C1487" s="2" t="s">
        <v>594</v>
      </c>
      <c r="D1487" s="2" t="str">
        <f t="shared" si="22"/>
        <v>Error?</v>
      </c>
    </row>
    <row r="1488" spans="1:4" x14ac:dyDescent="0.2">
      <c r="A1488" s="5">
        <v>1427</v>
      </c>
      <c r="B1488" s="138">
        <f>'Expenditures 15-22'!K257</f>
        <v>1905</v>
      </c>
      <c r="C1488" s="2" t="s">
        <v>594</v>
      </c>
      <c r="D1488" s="2" t="str">
        <f t="shared" si="22"/>
        <v>Error?</v>
      </c>
    </row>
    <row r="1489" spans="1:4" x14ac:dyDescent="0.2">
      <c r="A1489" s="5">
        <v>1428</v>
      </c>
      <c r="B1489" s="138">
        <f>'Expenditures 15-22'!K259</f>
        <v>14320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14320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11245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33199</v>
      </c>
      <c r="C1495" s="2" t="s">
        <v>594</v>
      </c>
      <c r="D1495" s="2" t="str">
        <f t="shared" si="22"/>
        <v>Error?</v>
      </c>
    </row>
    <row r="1496" spans="1:4" x14ac:dyDescent="0.2">
      <c r="A1496" s="5">
        <v>1435</v>
      </c>
      <c r="B1496" s="138">
        <f>'Expenditures 15-22'!K267</f>
        <v>24947</v>
      </c>
      <c r="C1496" s="2" t="s">
        <v>594</v>
      </c>
      <c r="D1496" s="2" t="str">
        <f t="shared" si="22"/>
        <v>Error?</v>
      </c>
    </row>
    <row r="1497" spans="1:4" x14ac:dyDescent="0.2">
      <c r="A1497" s="5">
        <v>1436</v>
      </c>
      <c r="B1497" s="138">
        <f>'Expenditures 15-22'!K268</f>
        <v>8399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77790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130878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168140</v>
      </c>
      <c r="C1517" s="2" t="s">
        <v>594</v>
      </c>
      <c r="D1517" s="2" t="str">
        <f t="shared" si="22"/>
        <v>Error?</v>
      </c>
    </row>
    <row r="1518" spans="1:4" x14ac:dyDescent="0.2">
      <c r="A1518" s="5">
        <v>1457</v>
      </c>
      <c r="B1518" s="138">
        <f>'Expenditures 15-22'!K296</f>
        <v>72015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927910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849425</v>
      </c>
      <c r="C1630" s="2" t="s">
        <v>594</v>
      </c>
      <c r="D1630" s="2" t="str">
        <f t="shared" si="24"/>
        <v>Error?</v>
      </c>
    </row>
    <row r="1631" spans="1:4" x14ac:dyDescent="0.2">
      <c r="A1631" s="5">
        <v>1570</v>
      </c>
      <c r="B1631" s="138">
        <f>'Acct Summary 7-8'!D79</f>
        <v>634384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1068659</v>
      </c>
      <c r="C1644" s="2" t="s">
        <v>594</v>
      </c>
      <c r="D1644" s="2" t="str">
        <f t="shared" si="24"/>
        <v>Error?</v>
      </c>
    </row>
    <row r="1645" spans="1:4" x14ac:dyDescent="0.2">
      <c r="A1645" s="5">
        <v>1584</v>
      </c>
      <c r="B1645" s="138">
        <f>'Acct Summary 7-8'!E79</f>
        <v>323848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344517</v>
      </c>
      <c r="C1658" s="2" t="s">
        <v>594</v>
      </c>
      <c r="D1658" s="2" t="str">
        <f t="shared" si="24"/>
        <v>Error?</v>
      </c>
    </row>
    <row r="1659" spans="1:4" x14ac:dyDescent="0.2">
      <c r="A1659" s="5">
        <v>1598</v>
      </c>
      <c r="B1659" s="138">
        <f>'Acct Summary 7-8'!F79</f>
        <v>292255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304006</v>
      </c>
      <c r="C1672" s="2" t="s">
        <v>594</v>
      </c>
      <c r="D1672" s="2" t="str">
        <f t="shared" si="25"/>
        <v>Error?</v>
      </c>
    </row>
    <row r="1673" spans="1:4" x14ac:dyDescent="0.2">
      <c r="A1673" s="5">
        <v>1612</v>
      </c>
      <c r="B1673" s="138">
        <f>'Acct Summary 7-8'!G79</f>
        <v>40674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112689</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2425026</v>
      </c>
      <c r="C1744" s="2" t="s">
        <v>594</v>
      </c>
      <c r="D1744" s="2" t="str">
        <f t="shared" si="26"/>
        <v>Error?</v>
      </c>
    </row>
    <row r="1745" spans="1:5" x14ac:dyDescent="0.2">
      <c r="A1745" s="5">
        <v>1684</v>
      </c>
      <c r="B1745" s="138">
        <f>'Tax Sched 23'!B5</f>
        <v>312019</v>
      </c>
      <c r="C1745" s="2" t="s">
        <v>594</v>
      </c>
      <c r="D1745" s="2" t="str">
        <f t="shared" si="26"/>
        <v>Error?</v>
      </c>
    </row>
    <row r="1746" spans="1:5" x14ac:dyDescent="0.2">
      <c r="A1746" s="5">
        <v>1685</v>
      </c>
      <c r="B1746" s="138">
        <f>'Tax Sched 23'!B6</f>
        <v>638265</v>
      </c>
      <c r="C1746" s="2" t="s">
        <v>594</v>
      </c>
      <c r="D1746" s="2" t="str">
        <f t="shared" si="26"/>
        <v>Error?</v>
      </c>
    </row>
    <row r="1747" spans="1:5" x14ac:dyDescent="0.2">
      <c r="A1747" s="5">
        <v>1686</v>
      </c>
      <c r="B1747" s="138">
        <f>'Tax Sched 23'!B7</f>
        <v>208041</v>
      </c>
      <c r="C1747" s="2" t="s">
        <v>594</v>
      </c>
      <c r="D1747" s="2" t="str">
        <f t="shared" si="26"/>
        <v>Error?</v>
      </c>
    </row>
    <row r="1748" spans="1:5" x14ac:dyDescent="0.2">
      <c r="A1748" s="5">
        <v>1687</v>
      </c>
      <c r="B1748" s="138">
        <f>'Tax Sched 23'!B8</f>
        <v>63761</v>
      </c>
      <c r="C1748" s="2" t="s">
        <v>594</v>
      </c>
      <c r="D1748" s="2" t="str">
        <f t="shared" si="26"/>
        <v>Error?</v>
      </c>
    </row>
    <row r="1749" spans="1:5" x14ac:dyDescent="0.2">
      <c r="A1749" s="5">
        <v>1688</v>
      </c>
      <c r="B1749" s="138">
        <f>'Tax Sched 23'!B10</f>
        <v>20848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100609</v>
      </c>
      <c r="C1752" s="2" t="s">
        <v>594</v>
      </c>
      <c r="D1752" s="2" t="str">
        <f t="shared" si="26"/>
        <v>Error?</v>
      </c>
    </row>
    <row r="1753" spans="1:5" x14ac:dyDescent="0.2">
      <c r="A1753" s="5">
        <v>1692</v>
      </c>
      <c r="B1753" s="138">
        <f>'Tax Sched 23'!B12</f>
        <v>48686</v>
      </c>
      <c r="C1753" s="2" t="s">
        <v>594</v>
      </c>
      <c r="D1753" s="2" t="str">
        <f t="shared" si="26"/>
        <v>Error?</v>
      </c>
    </row>
    <row r="1754" spans="1:5" x14ac:dyDescent="0.2">
      <c r="A1754" s="5">
        <v>1693</v>
      </c>
      <c r="B1754" s="138">
        <f>'Tax Sched 23'!B14</f>
        <v>34743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3915758</v>
      </c>
      <c r="C1759" s="2" t="s">
        <v>594</v>
      </c>
      <c r="D1759" s="2" t="str">
        <f t="shared" si="26"/>
        <v>Error?</v>
      </c>
    </row>
    <row r="1760" spans="1:5" x14ac:dyDescent="0.2">
      <c r="A1760" s="5">
        <v>1699</v>
      </c>
      <c r="B1760" s="138">
        <f>'Tax Sched 23'!D4</f>
        <v>1091161</v>
      </c>
      <c r="C1760" s="2" t="s">
        <v>594</v>
      </c>
      <c r="D1760" s="2" t="str">
        <f t="shared" si="26"/>
        <v>Error?</v>
      </c>
    </row>
    <row r="1761" spans="1:5" x14ac:dyDescent="0.2">
      <c r="A1761" s="5">
        <v>1700</v>
      </c>
      <c r="B1761" s="138">
        <f>'Tax Sched 23'!D5</f>
        <v>140369</v>
      </c>
      <c r="C1761" s="2" t="s">
        <v>594</v>
      </c>
      <c r="D1761" s="2" t="str">
        <f t="shared" si="26"/>
        <v>Error?</v>
      </c>
    </row>
    <row r="1762" spans="1:5" s="8" customFormat="1" x14ac:dyDescent="0.2">
      <c r="A1762" s="5">
        <v>1701</v>
      </c>
      <c r="B1762" s="138">
        <f>'Tax Sched 23'!D6</f>
        <v>290568</v>
      </c>
      <c r="C1762" s="2" t="s">
        <v>594</v>
      </c>
      <c r="D1762" s="2" t="str">
        <f t="shared" si="26"/>
        <v>Error?</v>
      </c>
      <c r="E1762" s="9"/>
    </row>
    <row r="1763" spans="1:5" x14ac:dyDescent="0.2">
      <c r="A1763" s="5">
        <v>1702</v>
      </c>
      <c r="B1763" s="138">
        <f>'Tax Sched 23'!D7</f>
        <v>93592</v>
      </c>
      <c r="C1763" s="2" t="s">
        <v>594</v>
      </c>
      <c r="D1763" s="2" t="str">
        <f t="shared" si="26"/>
        <v>Error?</v>
      </c>
    </row>
    <row r="1764" spans="1:5" x14ac:dyDescent="0.2">
      <c r="A1764" s="5">
        <v>1703</v>
      </c>
      <c r="B1764" s="138">
        <f>'Tax Sched 23'!D8</f>
        <v>28681</v>
      </c>
      <c r="C1764" s="2" t="s">
        <v>594</v>
      </c>
      <c r="D1764" s="2" t="str">
        <f t="shared" si="26"/>
        <v>Error?</v>
      </c>
    </row>
    <row r="1765" spans="1:5" x14ac:dyDescent="0.2">
      <c r="A1765" s="5">
        <v>1704</v>
      </c>
      <c r="B1765" s="138">
        <f>'Tax Sched 23'!D10</f>
        <v>9371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45259</v>
      </c>
      <c r="C1768" s="2" t="s">
        <v>594</v>
      </c>
      <c r="D1768" s="2" t="str">
        <f t="shared" si="26"/>
        <v>Error?</v>
      </c>
    </row>
    <row r="1769" spans="1:5" x14ac:dyDescent="0.2">
      <c r="A1769" s="5">
        <v>1708</v>
      </c>
      <c r="B1769" s="138">
        <f>'Tax Sched 23'!D12</f>
        <v>21890</v>
      </c>
      <c r="C1769" s="2" t="s">
        <v>594</v>
      </c>
      <c r="D1769" s="2" t="str">
        <f t="shared" si="26"/>
        <v>Error?</v>
      </c>
    </row>
    <row r="1770" spans="1:5" x14ac:dyDescent="0.2">
      <c r="A1770" s="5">
        <v>1709</v>
      </c>
      <c r="B1770" s="138">
        <f>'Tax Sched 23'!D14</f>
        <v>15630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1765201</v>
      </c>
      <c r="C1775" s="2" t="s">
        <v>594</v>
      </c>
      <c r="D1775" s="2" t="str">
        <f t="shared" si="26"/>
        <v>Error?</v>
      </c>
    </row>
    <row r="1776" spans="1:5" x14ac:dyDescent="0.2">
      <c r="A1776" s="5">
        <v>1715</v>
      </c>
      <c r="B1776" s="138">
        <f>'Tax Sched 23'!C4</f>
        <v>1333865</v>
      </c>
      <c r="D1776" s="2" t="str">
        <f t="shared" si="26"/>
        <v>Error?</v>
      </c>
    </row>
    <row r="1777" spans="1:4" x14ac:dyDescent="0.2">
      <c r="A1777" s="5">
        <v>1716</v>
      </c>
      <c r="B1777" s="138">
        <f>'Tax Sched 23'!C5</f>
        <v>171650</v>
      </c>
      <c r="D1777" s="2" t="str">
        <f t="shared" si="26"/>
        <v>Error?</v>
      </c>
    </row>
    <row r="1778" spans="1:4" x14ac:dyDescent="0.2">
      <c r="A1778" s="5">
        <v>1717</v>
      </c>
      <c r="B1778" s="138">
        <f>'Tax Sched 23'!C6</f>
        <v>347697</v>
      </c>
      <c r="D1778" s="2" t="str">
        <f t="shared" si="26"/>
        <v>Error?</v>
      </c>
    </row>
    <row r="1779" spans="1:4" x14ac:dyDescent="0.2">
      <c r="A1779" s="5">
        <v>1718</v>
      </c>
      <c r="B1779" s="138">
        <f>'Tax Sched 23'!C7</f>
        <v>114449</v>
      </c>
      <c r="D1779" s="2" t="str">
        <f t="shared" si="26"/>
        <v>Error?</v>
      </c>
    </row>
    <row r="1780" spans="1:4" x14ac:dyDescent="0.2">
      <c r="A1780" s="5">
        <v>1719</v>
      </c>
      <c r="B1780" s="138">
        <f>'Tax Sched 23'!C8</f>
        <v>35080</v>
      </c>
      <c r="D1780" s="2" t="str">
        <f t="shared" si="26"/>
        <v>Error?</v>
      </c>
    </row>
    <row r="1781" spans="1:4" x14ac:dyDescent="0.2">
      <c r="A1781" s="5">
        <v>1720</v>
      </c>
      <c r="B1781" s="138">
        <f>'Tax Sched 23'!C10</f>
        <v>11477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55350</v>
      </c>
      <c r="D1784" s="2" t="str">
        <f t="shared" si="26"/>
        <v>Error?</v>
      </c>
    </row>
    <row r="1785" spans="1:4" x14ac:dyDescent="0.2">
      <c r="A1785" s="5">
        <v>1724</v>
      </c>
      <c r="B1785" s="138">
        <f>'Tax Sched 23'!C12</f>
        <v>26796</v>
      </c>
      <c r="D1785" s="2" t="str">
        <f t="shared" si="26"/>
        <v>Error?</v>
      </c>
    </row>
    <row r="1786" spans="1:4" x14ac:dyDescent="0.2">
      <c r="A1786" s="5">
        <v>1725</v>
      </c>
      <c r="B1786" s="138">
        <f>'Tax Sched 23'!C14</f>
        <v>19113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2150557</v>
      </c>
      <c r="C1791" s="2" t="s">
        <v>594</v>
      </c>
      <c r="D1791" s="2" t="str">
        <f t="shared" ref="D1791:D1854" si="27">IF(ISBLANK(B1791),"OK",IF(A1791-B1791=0,"OK","Error?"))</f>
        <v>Error?</v>
      </c>
    </row>
    <row r="1792" spans="1:4" x14ac:dyDescent="0.2">
      <c r="A1792" s="5">
        <v>1731</v>
      </c>
      <c r="B1792" s="138">
        <f>'Tax Sched 23'!F4</f>
        <v>1043712</v>
      </c>
      <c r="C1792" s="2" t="s">
        <v>594</v>
      </c>
      <c r="D1792" s="2" t="str">
        <f t="shared" si="27"/>
        <v>Error?</v>
      </c>
    </row>
    <row r="1793" spans="1:4" x14ac:dyDescent="0.2">
      <c r="A1793" s="5">
        <v>1732</v>
      </c>
      <c r="B1793" s="138">
        <f>'Tax Sched 23'!F5</f>
        <v>134312</v>
      </c>
      <c r="C1793" s="2" t="s">
        <v>594</v>
      </c>
      <c r="D1793" s="2" t="str">
        <f t="shared" si="27"/>
        <v>Error?</v>
      </c>
    </row>
    <row r="1794" spans="1:4" x14ac:dyDescent="0.2">
      <c r="A1794" s="5">
        <v>1733</v>
      </c>
      <c r="B1794" s="138">
        <f>'Tax Sched 23'!F6</f>
        <v>272063</v>
      </c>
      <c r="C1794" s="2" t="s">
        <v>594</v>
      </c>
      <c r="D1794" s="2" t="str">
        <f t="shared" si="27"/>
        <v>Error?</v>
      </c>
    </row>
    <row r="1795" spans="1:4" x14ac:dyDescent="0.2">
      <c r="A1795" s="5">
        <v>1734</v>
      </c>
      <c r="B1795" s="138">
        <f>'Tax Sched 23'!F7</f>
        <v>89553</v>
      </c>
      <c r="C1795" s="2" t="s">
        <v>594</v>
      </c>
      <c r="D1795" s="2" t="str">
        <f t="shared" si="27"/>
        <v>Error?</v>
      </c>
    </row>
    <row r="1796" spans="1:4" x14ac:dyDescent="0.2">
      <c r="A1796" s="5">
        <v>1735</v>
      </c>
      <c r="B1796" s="138">
        <f>'Tax Sched 23'!F8</f>
        <v>27449</v>
      </c>
      <c r="C1796" s="2" t="s">
        <v>594</v>
      </c>
      <c r="D1796" s="2" t="str">
        <f t="shared" si="27"/>
        <v>Error?</v>
      </c>
    </row>
    <row r="1797" spans="1:4" x14ac:dyDescent="0.2">
      <c r="A1797" s="5">
        <v>1736</v>
      </c>
      <c r="B1797" s="138">
        <f>'Tax Sched 23'!F10</f>
        <v>8981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43310</v>
      </c>
      <c r="C1800" s="2" t="s">
        <v>594</v>
      </c>
      <c r="D1800" s="2" t="str">
        <f t="shared" si="27"/>
        <v>Error?</v>
      </c>
    </row>
    <row r="1801" spans="1:4" x14ac:dyDescent="0.2">
      <c r="A1801" s="5">
        <v>1740</v>
      </c>
      <c r="B1801" s="138">
        <f>'Tax Sched 23'!F12</f>
        <v>20967</v>
      </c>
      <c r="C1801" s="2" t="s">
        <v>594</v>
      </c>
      <c r="D1801" s="2" t="str">
        <f t="shared" si="27"/>
        <v>Error?</v>
      </c>
    </row>
    <row r="1802" spans="1:4" x14ac:dyDescent="0.2">
      <c r="A1802" s="5">
        <v>1741</v>
      </c>
      <c r="B1802" s="138">
        <f>'Tax Sched 23'!F14</f>
        <v>14956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1682752</v>
      </c>
      <c r="C1807" s="2" t="s">
        <v>594</v>
      </c>
      <c r="D1807" s="2" t="str">
        <f t="shared" si="27"/>
        <v>Error?</v>
      </c>
    </row>
    <row r="1808" spans="1:4" x14ac:dyDescent="0.2">
      <c r="A1808" s="5">
        <v>1747</v>
      </c>
      <c r="B1808" s="138">
        <f>'Tax Sched 23'!E4</f>
        <v>2377577</v>
      </c>
      <c r="D1808" s="2" t="str">
        <f t="shared" si="27"/>
        <v>Error?</v>
      </c>
    </row>
    <row r="1809" spans="1:4" x14ac:dyDescent="0.2">
      <c r="A1809" s="5">
        <v>1748</v>
      </c>
      <c r="B1809" s="138">
        <f>'Tax Sched 23'!E5</f>
        <v>305962</v>
      </c>
      <c r="D1809" s="2" t="str">
        <f t="shared" si="27"/>
        <v>Error?</v>
      </c>
    </row>
    <row r="1810" spans="1:4" x14ac:dyDescent="0.2">
      <c r="A1810" s="5">
        <v>1749</v>
      </c>
      <c r="B1810" s="138">
        <f>'Tax Sched 23'!E6</f>
        <v>619760</v>
      </c>
      <c r="D1810" s="2" t="str">
        <f t="shared" si="27"/>
        <v>Error?</v>
      </c>
    </row>
    <row r="1811" spans="1:4" x14ac:dyDescent="0.2">
      <c r="A1811" s="5">
        <v>1750</v>
      </c>
      <c r="B1811" s="138">
        <f>'Tax Sched 23'!E7</f>
        <v>204002</v>
      </c>
      <c r="D1811" s="2" t="str">
        <f t="shared" si="27"/>
        <v>Error?</v>
      </c>
    </row>
    <row r="1812" spans="1:4" x14ac:dyDescent="0.2">
      <c r="A1812" s="5">
        <v>1751</v>
      </c>
      <c r="B1812" s="138">
        <f>'Tax Sched 23'!E8</f>
        <v>62529</v>
      </c>
      <c r="D1812" s="2" t="str">
        <f t="shared" si="27"/>
        <v>Error?</v>
      </c>
    </row>
    <row r="1813" spans="1:4" x14ac:dyDescent="0.2">
      <c r="A1813" s="5">
        <v>1752</v>
      </c>
      <c r="B1813" s="138">
        <f>'Tax Sched 23'!E10</f>
        <v>20458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98660</v>
      </c>
      <c r="D1816" s="2" t="str">
        <f t="shared" si="27"/>
        <v>Error?</v>
      </c>
    </row>
    <row r="1817" spans="1:4" x14ac:dyDescent="0.2">
      <c r="A1817" s="5">
        <v>1756</v>
      </c>
      <c r="B1817" s="138">
        <f>'Tax Sched 23'!E12</f>
        <v>47763</v>
      </c>
      <c r="D1817" s="2" t="str">
        <f t="shared" si="27"/>
        <v>Error?</v>
      </c>
    </row>
    <row r="1818" spans="1:4" x14ac:dyDescent="0.2">
      <c r="A1818" s="5">
        <v>1757</v>
      </c>
      <c r="B1818" s="138">
        <f>'Tax Sched 23'!E14</f>
        <v>34069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3833309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5010000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34743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34743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34743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38176</v>
      </c>
      <c r="D2008" s="2" t="str">
        <f t="shared" si="30"/>
        <v>Error?</v>
      </c>
    </row>
    <row r="2009" spans="1:4" x14ac:dyDescent="0.2">
      <c r="A2009" s="5">
        <v>1948</v>
      </c>
      <c r="B2009" s="138">
        <f>'Cap Outlay Deprec 26'!C8</f>
        <v>9654453</v>
      </c>
      <c r="D2009" s="2" t="str">
        <f t="shared" si="30"/>
        <v>Error?</v>
      </c>
    </row>
    <row r="2010" spans="1:4" x14ac:dyDescent="0.2">
      <c r="A2010" s="5">
        <v>1949</v>
      </c>
      <c r="B2010" s="138">
        <f>'Cap Outlay Deprec 26'!C10</f>
        <v>60781</v>
      </c>
      <c r="D2010" s="2" t="str">
        <f t="shared" si="30"/>
        <v>Error?</v>
      </c>
    </row>
    <row r="2011" spans="1:4" x14ac:dyDescent="0.2">
      <c r="A2011" s="5">
        <v>1950</v>
      </c>
      <c r="B2011" s="138">
        <f>'Cap Outlay Deprec 26'!C12</f>
        <v>634674</v>
      </c>
      <c r="D2011" s="2" t="str">
        <f t="shared" si="30"/>
        <v>Error?</v>
      </c>
    </row>
    <row r="2012" spans="1:4" x14ac:dyDescent="0.2">
      <c r="A2012" s="5">
        <v>1951</v>
      </c>
      <c r="B2012" s="138">
        <f>'Cap Outlay Deprec 26'!C13</f>
        <v>232978</v>
      </c>
      <c r="D2012" s="2" t="str">
        <f t="shared" si="30"/>
        <v>Error?</v>
      </c>
    </row>
    <row r="2013" spans="1:4" x14ac:dyDescent="0.2">
      <c r="A2013" s="5">
        <v>1952</v>
      </c>
      <c r="B2013" s="138">
        <f>'Cap Outlay Deprec 26'!C16</f>
        <v>10621062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21512</v>
      </c>
      <c r="D2017" s="2" t="str">
        <f t="shared" si="30"/>
        <v>Error?</v>
      </c>
    </row>
    <row r="2018" spans="1:4" x14ac:dyDescent="0.2">
      <c r="A2018" s="5">
        <v>1957</v>
      </c>
      <c r="B2018" s="138">
        <f>'Cap Outlay Deprec 26'!D13</f>
        <v>20000</v>
      </c>
      <c r="D2018" s="2" t="str">
        <f t="shared" si="30"/>
        <v>Error?</v>
      </c>
    </row>
    <row r="2019" spans="1:4" x14ac:dyDescent="0.2">
      <c r="A2019" s="5">
        <v>1958</v>
      </c>
      <c r="B2019" s="138">
        <f>'Cap Outlay Deprec 26'!D16</f>
        <v>66512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1</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v>
      </c>
      <c r="D2023" s="2" t="str">
        <f t="shared" si="30"/>
        <v>Error?</v>
      </c>
    </row>
    <row r="2024" spans="1:4" x14ac:dyDescent="0.2">
      <c r="A2024" s="5">
        <v>1963</v>
      </c>
      <c r="B2024" s="138">
        <f>'Cap Outlay Deprec 26'!E13</f>
        <v>70181</v>
      </c>
      <c r="D2024" s="2" t="str">
        <f t="shared" si="30"/>
        <v>Error?</v>
      </c>
    </row>
    <row r="2025" spans="1:4" x14ac:dyDescent="0.2">
      <c r="A2025" s="5">
        <v>1964</v>
      </c>
      <c r="B2025" s="138">
        <f>'Cap Outlay Deprec 26'!E16</f>
        <v>70183</v>
      </c>
      <c r="C2025" s="2" t="s">
        <v>594</v>
      </c>
      <c r="D2025" s="2" t="str">
        <f t="shared" si="30"/>
        <v>Error?</v>
      </c>
    </row>
    <row r="2026" spans="1:4" x14ac:dyDescent="0.2">
      <c r="A2026" s="5">
        <v>1965</v>
      </c>
      <c r="B2026" s="138">
        <f>'Cap Outlay Deprec 26'!F5</f>
        <v>38176</v>
      </c>
      <c r="C2026" s="2" t="s">
        <v>594</v>
      </c>
      <c r="D2026" s="2" t="str">
        <f t="shared" si="30"/>
        <v>Error?</v>
      </c>
    </row>
    <row r="2027" spans="1:4" x14ac:dyDescent="0.2">
      <c r="A2027" s="5">
        <v>1966</v>
      </c>
      <c r="B2027" s="138">
        <f>'Cap Outlay Deprec 26'!F8</f>
        <v>9654452</v>
      </c>
      <c r="C2027" s="2" t="s">
        <v>594</v>
      </c>
      <c r="D2027" s="2" t="str">
        <f t="shared" si="30"/>
        <v>Error?</v>
      </c>
    </row>
    <row r="2028" spans="1:4" x14ac:dyDescent="0.2">
      <c r="A2028" s="5">
        <v>1967</v>
      </c>
      <c r="B2028" s="138">
        <f>'Cap Outlay Deprec 26'!F10</f>
        <v>60781</v>
      </c>
      <c r="C2028" s="2" t="s">
        <v>594</v>
      </c>
      <c r="D2028" s="2" t="str">
        <f t="shared" si="30"/>
        <v>Error?</v>
      </c>
    </row>
    <row r="2029" spans="1:4" x14ac:dyDescent="0.2">
      <c r="A2029" s="5">
        <v>1968</v>
      </c>
      <c r="B2029" s="138">
        <f>'Cap Outlay Deprec 26'!F12</f>
        <v>656185</v>
      </c>
      <c r="C2029" s="2" t="s">
        <v>594</v>
      </c>
      <c r="D2029" s="2" t="str">
        <f t="shared" si="30"/>
        <v>Error?</v>
      </c>
    </row>
    <row r="2030" spans="1:4" x14ac:dyDescent="0.2">
      <c r="A2030" s="5">
        <v>1969</v>
      </c>
      <c r="B2030" s="138">
        <f>'Cap Outlay Deprec 26'!F13</f>
        <v>182797</v>
      </c>
      <c r="C2030" s="2" t="s">
        <v>594</v>
      </c>
      <c r="D2030" s="2" t="str">
        <f t="shared" si="30"/>
        <v>Error?</v>
      </c>
    </row>
    <row r="2031" spans="1:4" x14ac:dyDescent="0.2">
      <c r="A2031" s="5">
        <v>1970</v>
      </c>
      <c r="B2031" s="138">
        <f>'Cap Outlay Deprec 26'!F16</f>
        <v>10617391</v>
      </c>
      <c r="C2031" s="2" t="s">
        <v>594</v>
      </c>
      <c r="D2031" s="2" t="str">
        <f t="shared" si="30"/>
        <v>Error?</v>
      </c>
    </row>
    <row r="2032" spans="1:4" x14ac:dyDescent="0.2">
      <c r="A2032" s="10">
        <v>1971</v>
      </c>
      <c r="D2032" s="2" t="str">
        <f t="shared" si="30"/>
        <v>OK</v>
      </c>
    </row>
    <row r="2033" spans="1:4" x14ac:dyDescent="0.2">
      <c r="A2033" s="5">
        <v>1972</v>
      </c>
      <c r="B2033" s="138">
        <f>'Cap Outlay Deprec 26'!H8</f>
        <v>3466135</v>
      </c>
      <c r="D2033" s="2" t="str">
        <f t="shared" si="30"/>
        <v>Error?</v>
      </c>
    </row>
    <row r="2034" spans="1:4" x14ac:dyDescent="0.2">
      <c r="A2034" s="5">
        <v>1973</v>
      </c>
      <c r="B2034" s="138">
        <f>'Cap Outlay Deprec 26'!H10</f>
        <v>50923</v>
      </c>
      <c r="D2034" s="2" t="str">
        <f t="shared" si="30"/>
        <v>Error?</v>
      </c>
    </row>
    <row r="2035" spans="1:4" x14ac:dyDescent="0.2">
      <c r="A2035" s="5">
        <v>1974</v>
      </c>
      <c r="B2035" s="138">
        <f>'Cap Outlay Deprec 26'!H12</f>
        <v>446333</v>
      </c>
      <c r="D2035" s="2" t="str">
        <f t="shared" si="30"/>
        <v>Error?</v>
      </c>
    </row>
    <row r="2036" spans="1:4" x14ac:dyDescent="0.2">
      <c r="A2036" s="5">
        <v>1975</v>
      </c>
      <c r="B2036" s="138">
        <f>'Cap Outlay Deprec 26'!H13</f>
        <v>228208</v>
      </c>
      <c r="D2036" s="2" t="str">
        <f t="shared" si="30"/>
        <v>Error?</v>
      </c>
    </row>
    <row r="2037" spans="1:4" x14ac:dyDescent="0.2">
      <c r="A2037" s="5">
        <v>1976</v>
      </c>
      <c r="B2037" s="138">
        <f>'Cap Outlay Deprec 26'!H16</f>
        <v>4191599</v>
      </c>
      <c r="C2037" s="2" t="s">
        <v>594</v>
      </c>
      <c r="D2037" s="2" t="str">
        <f t="shared" si="30"/>
        <v>Error?</v>
      </c>
    </row>
    <row r="2038" spans="1:4" x14ac:dyDescent="0.2">
      <c r="A2038" s="10">
        <v>1977</v>
      </c>
      <c r="D2038" s="2" t="str">
        <f t="shared" si="30"/>
        <v>OK</v>
      </c>
    </row>
    <row r="2039" spans="1:4" x14ac:dyDescent="0.2">
      <c r="A2039" s="5">
        <v>1978</v>
      </c>
      <c r="B2039" s="138">
        <f>'Cap Outlay Deprec 26'!I8</f>
        <v>164843</v>
      </c>
      <c r="D2039" s="2" t="str">
        <f t="shared" si="30"/>
        <v>Error?</v>
      </c>
    </row>
    <row r="2040" spans="1:4" x14ac:dyDescent="0.2">
      <c r="A2040" s="5">
        <v>1979</v>
      </c>
      <c r="B2040" s="138">
        <f>'Cap Outlay Deprec 26'!I10</f>
        <v>2873</v>
      </c>
      <c r="D2040" s="2" t="str">
        <f t="shared" si="30"/>
        <v>Error?</v>
      </c>
    </row>
    <row r="2041" spans="1:4" x14ac:dyDescent="0.2">
      <c r="A2041" s="5">
        <v>1980</v>
      </c>
      <c r="B2041" s="138">
        <f>'Cap Outlay Deprec 26'!I12</f>
        <v>50887</v>
      </c>
      <c r="D2041" s="2" t="str">
        <f t="shared" si="30"/>
        <v>Error?</v>
      </c>
    </row>
    <row r="2042" spans="1:4" x14ac:dyDescent="0.2">
      <c r="A2042" s="5">
        <v>1981</v>
      </c>
      <c r="B2042" s="138">
        <f>'Cap Outlay Deprec 26'!I13</f>
        <v>5180</v>
      </c>
      <c r="D2042" s="2" t="str">
        <f t="shared" si="30"/>
        <v>Error?</v>
      </c>
    </row>
    <row r="2043" spans="1:4" x14ac:dyDescent="0.2">
      <c r="A2043" s="5">
        <v>1982</v>
      </c>
      <c r="B2043" s="138">
        <f>'Cap Outlay Deprec 26'!I16</f>
        <v>223783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70181</v>
      </c>
      <c r="D2048" s="2" t="str">
        <f t="shared" si="31"/>
        <v>Error?</v>
      </c>
    </row>
    <row r="2049" spans="1:4" x14ac:dyDescent="0.2">
      <c r="A2049" s="5">
        <v>1988</v>
      </c>
      <c r="B2049" s="138">
        <f>'Cap Outlay Deprec 26'!J16</f>
        <v>70181</v>
      </c>
      <c r="C2049" s="2" t="s">
        <v>594</v>
      </c>
      <c r="D2049" s="2" t="str">
        <f t="shared" si="31"/>
        <v>Error?</v>
      </c>
    </row>
    <row r="2050" spans="1:4" x14ac:dyDescent="0.2">
      <c r="A2050" s="10">
        <v>1989</v>
      </c>
      <c r="D2050" s="2" t="str">
        <f t="shared" si="31"/>
        <v>OK</v>
      </c>
    </row>
    <row r="2051" spans="1:4" x14ac:dyDescent="0.2">
      <c r="A2051" s="5">
        <v>1990</v>
      </c>
      <c r="B2051" s="138">
        <f>'Cap Outlay Deprec 26'!K8</f>
        <v>3630978</v>
      </c>
      <c r="C2051" s="2" t="s">
        <v>594</v>
      </c>
      <c r="D2051" s="2" t="str">
        <f t="shared" si="31"/>
        <v>Error?</v>
      </c>
    </row>
    <row r="2052" spans="1:4" x14ac:dyDescent="0.2">
      <c r="A2052" s="5">
        <v>1991</v>
      </c>
      <c r="B2052" s="138">
        <f>'Cap Outlay Deprec 26'!K10</f>
        <v>53796</v>
      </c>
      <c r="C2052" s="2" t="s">
        <v>594</v>
      </c>
      <c r="D2052" s="2" t="str">
        <f t="shared" si="31"/>
        <v>Error?</v>
      </c>
    </row>
    <row r="2053" spans="1:4" x14ac:dyDescent="0.2">
      <c r="A2053" s="5">
        <v>1992</v>
      </c>
      <c r="B2053" s="138">
        <f>'Cap Outlay Deprec 26'!K12</f>
        <v>497220</v>
      </c>
      <c r="C2053" s="2" t="s">
        <v>594</v>
      </c>
      <c r="D2053" s="2" t="str">
        <f t="shared" si="31"/>
        <v>Error?</v>
      </c>
    </row>
    <row r="2054" spans="1:4" x14ac:dyDescent="0.2">
      <c r="A2054" s="5">
        <v>1993</v>
      </c>
      <c r="B2054" s="138">
        <f>'Cap Outlay Deprec 26'!K13</f>
        <v>163207</v>
      </c>
      <c r="C2054" s="2" t="s">
        <v>594</v>
      </c>
      <c r="D2054" s="2" t="str">
        <f t="shared" si="31"/>
        <v>Error?</v>
      </c>
    </row>
    <row r="2055" spans="1:4" x14ac:dyDescent="0.2">
      <c r="A2055" s="5">
        <v>1994</v>
      </c>
      <c r="B2055" s="138">
        <f>'Cap Outlay Deprec 26'!K16</f>
        <v>4345201</v>
      </c>
      <c r="C2055" s="2" t="s">
        <v>594</v>
      </c>
      <c r="D2055" s="2" t="str">
        <f t="shared" si="31"/>
        <v>Error?</v>
      </c>
    </row>
    <row r="2056" spans="1:4" x14ac:dyDescent="0.2">
      <c r="A2056" s="5">
        <v>1995</v>
      </c>
      <c r="B2056" s="138">
        <f>'Cap Outlay Deprec 26'!L5</f>
        <v>38176</v>
      </c>
      <c r="C2056" s="2" t="s">
        <v>594</v>
      </c>
      <c r="D2056" s="2" t="str">
        <f t="shared" si="31"/>
        <v>Error?</v>
      </c>
    </row>
    <row r="2057" spans="1:4" x14ac:dyDescent="0.2">
      <c r="A2057" s="5">
        <v>1996</v>
      </c>
      <c r="B2057" s="138">
        <f>'Cap Outlay Deprec 26'!L8</f>
        <v>6023474</v>
      </c>
      <c r="C2057" s="2" t="s">
        <v>594</v>
      </c>
      <c r="D2057" s="2" t="str">
        <f t="shared" si="31"/>
        <v>Error?</v>
      </c>
    </row>
    <row r="2058" spans="1:4" x14ac:dyDescent="0.2">
      <c r="A2058" s="5">
        <v>1997</v>
      </c>
      <c r="B2058" s="138">
        <f>'Cap Outlay Deprec 26'!L10</f>
        <v>6985</v>
      </c>
      <c r="C2058" s="2" t="s">
        <v>594</v>
      </c>
      <c r="D2058" s="2" t="str">
        <f t="shared" si="31"/>
        <v>Error?</v>
      </c>
    </row>
    <row r="2059" spans="1:4" x14ac:dyDescent="0.2">
      <c r="A2059" s="5">
        <v>1998</v>
      </c>
      <c r="B2059" s="138">
        <f>'Cap Outlay Deprec 26'!L12</f>
        <v>158965</v>
      </c>
      <c r="C2059" s="2" t="s">
        <v>594</v>
      </c>
      <c r="D2059" s="2" t="str">
        <f t="shared" si="31"/>
        <v>Error?</v>
      </c>
    </row>
    <row r="2060" spans="1:4" x14ac:dyDescent="0.2">
      <c r="A2060" s="5">
        <v>1999</v>
      </c>
      <c r="B2060" s="138">
        <f>'Cap Outlay Deprec 26'!L13</f>
        <v>19590</v>
      </c>
      <c r="C2060" s="2" t="s">
        <v>594</v>
      </c>
      <c r="D2060" s="2" t="str">
        <f t="shared" si="31"/>
        <v>Error?</v>
      </c>
    </row>
    <row r="2061" spans="1:4" x14ac:dyDescent="0.2">
      <c r="A2061" s="5">
        <v>2000</v>
      </c>
      <c r="B2061" s="138">
        <f>'Cap Outlay Deprec 26'!L16</f>
        <v>6272190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236787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236787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2686797</v>
      </c>
      <c r="C2551" s="2" t="s">
        <v>594</v>
      </c>
      <c r="D2551" s="2" t="str">
        <f t="shared" si="38"/>
        <v>Error?</v>
      </c>
    </row>
    <row r="2552" spans="1:4" x14ac:dyDescent="0.2">
      <c r="A2552" s="10">
        <v>2491</v>
      </c>
      <c r="D2552" s="2" t="str">
        <f t="shared" si="38"/>
        <v>OK</v>
      </c>
    </row>
    <row r="2553" spans="1:4" x14ac:dyDescent="0.2">
      <c r="A2553" s="5">
        <v>2492</v>
      </c>
      <c r="B2553" s="138">
        <f>'Acct Summary 7-8'!C6</f>
        <v>913742</v>
      </c>
      <c r="C2553" s="2" t="s">
        <v>594</v>
      </c>
      <c r="D2553" s="2" t="str">
        <f t="shared" si="38"/>
        <v>Error?</v>
      </c>
    </row>
    <row r="2554" spans="1:4" x14ac:dyDescent="0.2">
      <c r="A2554" s="5">
        <v>2493</v>
      </c>
      <c r="B2554" s="138">
        <f>'Acct Summary 7-8'!C7</f>
        <v>332114</v>
      </c>
      <c r="C2554" s="2" t="s">
        <v>594</v>
      </c>
      <c r="D2554" s="2" t="str">
        <f t="shared" si="38"/>
        <v>Error?</v>
      </c>
    </row>
    <row r="2555" spans="1:4" x14ac:dyDescent="0.2">
      <c r="A2555" s="5">
        <v>2494</v>
      </c>
      <c r="B2555" s="138">
        <f>'Acct Summary 7-8'!C8</f>
        <v>3932653</v>
      </c>
      <c r="C2555" s="2" t="s">
        <v>594</v>
      </c>
      <c r="D2555" s="2" t="str">
        <f t="shared" si="38"/>
        <v>Error?</v>
      </c>
    </row>
    <row r="2556" spans="1:4" x14ac:dyDescent="0.2">
      <c r="A2556" s="5">
        <v>2495</v>
      </c>
      <c r="B2556" s="138">
        <f>'Acct Summary 7-8'!C12</f>
        <v>2733655</v>
      </c>
      <c r="C2556" s="2" t="s">
        <v>594</v>
      </c>
      <c r="D2556" s="2" t="str">
        <f t="shared" si="38"/>
        <v>Error?</v>
      </c>
    </row>
    <row r="2557" spans="1:4" x14ac:dyDescent="0.2">
      <c r="A2557" s="5">
        <v>2496</v>
      </c>
      <c r="B2557" s="138">
        <f>'Acct Summary 7-8'!C13</f>
        <v>1040696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236787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4011138</v>
      </c>
      <c r="C2561" s="2" t="s">
        <v>594</v>
      </c>
      <c r="D2561" s="2" t="str">
        <f t="shared" si="39"/>
        <v>Error?</v>
      </c>
    </row>
    <row r="2562" spans="1:4" x14ac:dyDescent="0.2">
      <c r="A2562" s="5">
        <v>2501</v>
      </c>
      <c r="B2562" s="138">
        <f>'Acct Summary 7-8'!C20</f>
        <v>-78485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432821</v>
      </c>
      <c r="C2564" s="2" t="s">
        <v>594</v>
      </c>
      <c r="D2564" s="2" t="str">
        <f t="shared" si="39"/>
        <v>Error?</v>
      </c>
    </row>
    <row r="2565" spans="1:4" x14ac:dyDescent="0.2">
      <c r="A2565" s="10">
        <v>2504</v>
      </c>
      <c r="D2565" s="2" t="str">
        <f t="shared" si="39"/>
        <v>OK</v>
      </c>
    </row>
    <row r="2566" spans="1:4" x14ac:dyDescent="0.2">
      <c r="A2566" s="5">
        <v>2505</v>
      </c>
      <c r="B2566" s="138">
        <f>'Acct Summary 7-8'!D6</f>
        <v>467030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899851</v>
      </c>
      <c r="C2568" s="2" t="s">
        <v>594</v>
      </c>
      <c r="D2568" s="2" t="str">
        <f t="shared" si="39"/>
        <v>Error?</v>
      </c>
    </row>
    <row r="2569" spans="1:4" x14ac:dyDescent="0.2">
      <c r="A2569" s="5">
        <v>2508</v>
      </c>
      <c r="B2569" s="138">
        <f>'Acct Summary 7-8'!D13</f>
        <v>465576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465576</v>
      </c>
      <c r="C2573" s="2" t="s">
        <v>594</v>
      </c>
      <c r="D2573" s="2" t="str">
        <f t="shared" si="39"/>
        <v>Error?</v>
      </c>
    </row>
    <row r="2574" spans="1:4" x14ac:dyDescent="0.2">
      <c r="A2574" s="5">
        <v>2513</v>
      </c>
      <c r="B2574" s="138">
        <f>'Acct Summary 7-8'!D20</f>
        <v>434275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210331</v>
      </c>
      <c r="C2591" s="2" t="s">
        <v>594</v>
      </c>
      <c r="D2591" s="2" t="str">
        <f t="shared" si="39"/>
        <v>Error?</v>
      </c>
    </row>
    <row r="2592" spans="1:4" x14ac:dyDescent="0.2">
      <c r="A2592" s="10">
        <v>2531</v>
      </c>
      <c r="D2592" s="2" t="str">
        <f t="shared" si="39"/>
        <v>OK</v>
      </c>
    </row>
    <row r="2593" spans="1:4" x14ac:dyDescent="0.2">
      <c r="A2593" s="5">
        <v>2532</v>
      </c>
      <c r="B2593" s="138">
        <f>'Acct Summary 7-8'!F6</f>
        <v>195117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405448</v>
      </c>
      <c r="C2595" s="2" t="s">
        <v>594</v>
      </c>
      <c r="D2595" s="2" t="str">
        <f t="shared" si="39"/>
        <v>Error?</v>
      </c>
    </row>
    <row r="2596" spans="1:4" x14ac:dyDescent="0.2">
      <c r="A2596" s="5">
        <v>2535</v>
      </c>
      <c r="B2596" s="138">
        <f>'Acct Summary 7-8'!F13</f>
        <v>399197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399197</v>
      </c>
      <c r="C2600" s="2" t="s">
        <v>594</v>
      </c>
      <c r="D2600" s="2" t="str">
        <f t="shared" si="39"/>
        <v>Error?</v>
      </c>
    </row>
    <row r="2601" spans="1:4" x14ac:dyDescent="0.2">
      <c r="A2601" s="5">
        <v>2540</v>
      </c>
      <c r="B2601" s="138">
        <f>'Acct Summary 7-8'!F20</f>
        <v>6251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129907</v>
      </c>
      <c r="C2603" s="2" t="s">
        <v>594</v>
      </c>
      <c r="D2603" s="2" t="str">
        <f t="shared" si="39"/>
        <v>Error?</v>
      </c>
    </row>
    <row r="2604" spans="1:4" x14ac:dyDescent="0.2">
      <c r="A2604" s="5">
        <v>2543</v>
      </c>
      <c r="B2604" s="138">
        <f>'Acct Summary 7-8'!G6</f>
        <v>110248</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240155</v>
      </c>
      <c r="C2606" s="2" t="s">
        <v>594</v>
      </c>
      <c r="D2606" s="2" t="str">
        <f t="shared" si="39"/>
        <v>Error?</v>
      </c>
    </row>
    <row r="2607" spans="1:4" x14ac:dyDescent="0.2">
      <c r="A2607" s="5">
        <v>2546</v>
      </c>
      <c r="B2607" s="138">
        <f>'Acct Summary 7-8'!G12</f>
        <v>37262</v>
      </c>
      <c r="C2607" s="2" t="s">
        <v>594</v>
      </c>
      <c r="D2607" s="2" t="str">
        <f t="shared" si="39"/>
        <v>Error?</v>
      </c>
    </row>
    <row r="2608" spans="1:4" x14ac:dyDescent="0.2">
      <c r="A2608" s="5">
        <v>2547</v>
      </c>
      <c r="B2608" s="138">
        <f>'Acct Summary 7-8'!G13</f>
        <v>130878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168140</v>
      </c>
      <c r="C2612" s="2" t="s">
        <v>594</v>
      </c>
      <c r="D2612" s="2" t="str">
        <f t="shared" si="39"/>
        <v>Error?</v>
      </c>
    </row>
    <row r="2613" spans="1:4" x14ac:dyDescent="0.2">
      <c r="A2613" s="5">
        <v>2552</v>
      </c>
      <c r="B2613" s="138">
        <f>'Acct Summary 7-8'!G20</f>
        <v>72015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638831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638831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618162</v>
      </c>
      <c r="C2634" s="2" t="s">
        <v>594</v>
      </c>
      <c r="D2634" s="2" t="str">
        <f t="shared" si="40"/>
        <v>Error?</v>
      </c>
    </row>
    <row r="2635" spans="1:4" x14ac:dyDescent="0.2">
      <c r="A2635" s="5">
        <v>2574</v>
      </c>
      <c r="B2635" s="138">
        <f>'Acct Summary 7-8'!E17</f>
        <v>618162</v>
      </c>
      <c r="C2635" s="2" t="s">
        <v>594</v>
      </c>
      <c r="D2635" s="2" t="str">
        <f t="shared" si="40"/>
        <v>Error?</v>
      </c>
    </row>
    <row r="2636" spans="1:4" x14ac:dyDescent="0.2">
      <c r="A2636" s="5">
        <v>2575</v>
      </c>
      <c r="B2636" s="138">
        <f>'Acct Summary 7-8'!E20</f>
        <v>20669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25000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422714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422714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23500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79322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422714</v>
      </c>
      <c r="D2912" s="2" t="str">
        <f t="shared" si="44"/>
        <v>Error?</v>
      </c>
    </row>
    <row r="2913" spans="1:4" x14ac:dyDescent="0.2">
      <c r="A2913" s="5">
        <v>2852</v>
      </c>
      <c r="B2913" s="138">
        <f>'Assets-Liab 5-6'!I41</f>
        <v>422714</v>
      </c>
      <c r="C2913" s="2" t="s">
        <v>594</v>
      </c>
      <c r="D2913" s="2" t="str">
        <f t="shared" si="44"/>
        <v>Error?</v>
      </c>
    </row>
    <row r="2914" spans="1:4" x14ac:dyDescent="0.2">
      <c r="A2914" s="5">
        <v>2853</v>
      </c>
      <c r="B2914" s="138">
        <f>'Assets-Liab 5-6'!L33</f>
        <v>79322</v>
      </c>
      <c r="D2914" s="2" t="str">
        <f t="shared" si="44"/>
        <v>Error?</v>
      </c>
    </row>
    <row r="2915" spans="1:4" x14ac:dyDescent="0.2">
      <c r="A2915" s="10">
        <v>2854</v>
      </c>
      <c r="D2915" s="2" t="str">
        <f t="shared" si="44"/>
        <v>OK</v>
      </c>
    </row>
    <row r="2916" spans="1:4" x14ac:dyDescent="0.2">
      <c r="A2916" s="5">
        <v>2855</v>
      </c>
      <c r="B2916" s="138">
        <f>'Assets-Liab 5-6'!L34</f>
        <v>79322</v>
      </c>
      <c r="C2916" s="2" t="s">
        <v>594</v>
      </c>
      <c r="D2916" s="2" t="str">
        <f t="shared" si="44"/>
        <v>Error?</v>
      </c>
    </row>
    <row r="2917" spans="1:4" x14ac:dyDescent="0.2">
      <c r="A2917" s="5">
        <v>2856</v>
      </c>
      <c r="B2917" s="138">
        <f>'Assets-Liab 5-6'!L41</f>
        <v>79322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217759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19028</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217759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19028</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54032</v>
      </c>
      <c r="D3055" s="2" t="str">
        <f t="shared" si="46"/>
        <v>Error?</v>
      </c>
    </row>
    <row r="3056" spans="1:4" x14ac:dyDescent="0.2">
      <c r="A3056" s="5">
        <v>2995</v>
      </c>
      <c r="B3056" s="138">
        <f>'Expenditures 15-22'!D10</f>
        <v>27221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81253</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21116</v>
      </c>
      <c r="C3225" s="2" t="s">
        <v>594</v>
      </c>
      <c r="D3225" s="2" t="str">
        <f t="shared" si="49"/>
        <v>Error?</v>
      </c>
    </row>
    <row r="3226" spans="1:4" x14ac:dyDescent="0.2">
      <c r="A3226" s="5">
        <v>3165</v>
      </c>
      <c r="B3226" s="138">
        <f>'Acct Summary 7-8'!I8</f>
        <v>21116</v>
      </c>
      <c r="C3226" s="2" t="s">
        <v>594</v>
      </c>
      <c r="D3226" s="2" t="str">
        <f t="shared" si="49"/>
        <v>Error?</v>
      </c>
    </row>
    <row r="3227" spans="1:4" x14ac:dyDescent="0.2">
      <c r="A3227" s="5">
        <v>3166</v>
      </c>
      <c r="B3227" s="138">
        <f>'Acct Summary 7-8'!I20</f>
        <v>21116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-78485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434275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5500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5500</v>
      </c>
      <c r="C3255" s="2" t="s">
        <v>594</v>
      </c>
      <c r="D3255" s="2" t="str">
        <f t="shared" si="49"/>
        <v>Error?</v>
      </c>
    </row>
    <row r="3256" spans="1:4" x14ac:dyDescent="0.2">
      <c r="A3256" s="5">
        <v>3195</v>
      </c>
      <c r="B3256" s="138">
        <f>'Acct Summary 7-8'!F78</f>
        <v>11751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72015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20669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21116</v>
      </c>
      <c r="C3320" s="2" t="s">
        <v>594</v>
      </c>
      <c r="D3320" s="2" t="str">
        <f t="shared" si="50"/>
        <v>Error?</v>
      </c>
    </row>
    <row r="3321" spans="1:4" x14ac:dyDescent="0.2">
      <c r="A3321" s="5">
        <v>3260</v>
      </c>
      <c r="B3321" s="138">
        <f>'Acct Summary 7-8'!I79</f>
        <v>401598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422714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203357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23910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227267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23485</v>
      </c>
      <c r="D3387" s="2" t="str">
        <f t="shared" si="51"/>
        <v>Error?</v>
      </c>
    </row>
    <row r="3388" spans="1:4" x14ac:dyDescent="0.2">
      <c r="A3388" s="5">
        <v>3327</v>
      </c>
      <c r="B3388" s="138">
        <f>'Expenditures 15-22'!D217</f>
        <v>2836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23485</v>
      </c>
      <c r="C3390" s="2" t="s">
        <v>594</v>
      </c>
      <c r="D3390" s="2" t="str">
        <f t="shared" si="51"/>
        <v>Error?</v>
      </c>
    </row>
    <row r="3391" spans="1:4" x14ac:dyDescent="0.2">
      <c r="A3391" s="5">
        <v>3330</v>
      </c>
      <c r="B3391" s="138">
        <f>'Expenditures 15-22'!K217</f>
        <v>2836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113096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14022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55822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63760</v>
      </c>
      <c r="C3446" s="2" t="s">
        <v>594</v>
      </c>
      <c r="D3446" s="2" t="str">
        <f t="shared" si="52"/>
        <v>Error?</v>
      </c>
    </row>
    <row r="3447" spans="1:4" x14ac:dyDescent="0.2">
      <c r="A3447" s="5">
        <v>3386</v>
      </c>
      <c r="B3447" s="138">
        <f>'Tax Sched 23'!D16</f>
        <v>28680</v>
      </c>
      <c r="C3447" s="2" t="s">
        <v>594</v>
      </c>
      <c r="D3447" s="2" t="str">
        <f t="shared" si="52"/>
        <v>Error?</v>
      </c>
    </row>
    <row r="3448" spans="1:4" x14ac:dyDescent="0.2">
      <c r="A3448" s="5">
        <v>3387</v>
      </c>
      <c r="B3448" s="138">
        <f>'Tax Sched 23'!C16</f>
        <v>35080</v>
      </c>
      <c r="D3448" s="2" t="str">
        <f t="shared" si="52"/>
        <v>Error?</v>
      </c>
    </row>
    <row r="3449" spans="1:4" x14ac:dyDescent="0.2">
      <c r="A3449" s="5">
        <v>3388</v>
      </c>
      <c r="B3449" s="138">
        <f>'Tax Sched 23'!F16</f>
        <v>27449</v>
      </c>
      <c r="C3449" s="2" t="s">
        <v>594</v>
      </c>
      <c r="D3449" s="2" t="str">
        <f t="shared" si="52"/>
        <v>Error?</v>
      </c>
    </row>
    <row r="3450" spans="1:4" x14ac:dyDescent="0.2">
      <c r="A3450" s="5">
        <v>3389</v>
      </c>
      <c r="B3450" s="138">
        <f>'Tax Sched 23'!E16</f>
        <v>62529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25000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25000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25000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5500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5546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234536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240082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240082</v>
      </c>
      <c r="D3567" s="2" t="str">
        <f t="shared" si="54"/>
        <v>Error?</v>
      </c>
    </row>
    <row r="3568" spans="1:4" x14ac:dyDescent="0.2">
      <c r="A3568" s="5">
        <v>3507</v>
      </c>
      <c r="B3568" s="138">
        <f>'Assets-Liab 5-6'!K41</f>
        <v>240082</v>
      </c>
      <c r="C3568" s="2" t="s">
        <v>594</v>
      </c>
      <c r="D3568" s="2" t="str">
        <f t="shared" si="54"/>
        <v>Error?</v>
      </c>
    </row>
    <row r="3569" spans="1:4" x14ac:dyDescent="0.2">
      <c r="A3569" s="5">
        <v>3508</v>
      </c>
      <c r="B3569" s="138">
        <f>'Acct Summary 7-8'!K4</f>
        <v>49071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49071</v>
      </c>
      <c r="C3571" s="2" t="s">
        <v>594</v>
      </c>
      <c r="D3571" s="2" t="str">
        <f t="shared" si="54"/>
        <v>Error?</v>
      </c>
    </row>
    <row r="3572" spans="1:4" x14ac:dyDescent="0.2">
      <c r="A3572" s="5">
        <v>3511</v>
      </c>
      <c r="B3572" s="138">
        <f>'Acct Summary 7-8'!K13</f>
        <v>420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420</v>
      </c>
      <c r="C3575" s="2" t="s">
        <v>594</v>
      </c>
      <c r="D3575" s="2" t="str">
        <f t="shared" si="54"/>
        <v>Error?</v>
      </c>
    </row>
    <row r="3576" spans="1:4" x14ac:dyDescent="0.2">
      <c r="A3576" s="5">
        <v>3515</v>
      </c>
      <c r="B3576" s="138">
        <f>'Acct Summary 7-8'!K20</f>
        <v>48651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48651</v>
      </c>
      <c r="C3588" s="2" t="s">
        <v>594</v>
      </c>
      <c r="D3588" s="2" t="str">
        <f t="shared" si="55"/>
        <v>Error?</v>
      </c>
    </row>
    <row r="3589" spans="1:4" x14ac:dyDescent="0.2">
      <c r="A3589" s="5">
        <v>3528</v>
      </c>
      <c r="B3589" s="138">
        <f>'Acct Summary 7-8'!K79</f>
        <v>191431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240082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420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420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420</v>
      </c>
      <c r="C3642" s="2" t="s">
        <v>594</v>
      </c>
      <c r="D3642" s="2" t="str">
        <f t="shared" si="55"/>
        <v>Error?</v>
      </c>
    </row>
    <row r="3643" spans="1:4" x14ac:dyDescent="0.2">
      <c r="A3643" s="5">
        <v>3582</v>
      </c>
      <c r="B3643" s="138">
        <f>'Expenditures 15-22'!F367</f>
        <v>420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420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420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420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420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48651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130266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3168891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7101544</v>
      </c>
      <c r="C4122" s="2" t="s">
        <v>594</v>
      </c>
      <c r="D4122" s="2" t="str">
        <f t="shared" si="63"/>
        <v>Error?</v>
      </c>
    </row>
    <row r="4123" spans="1:4" x14ac:dyDescent="0.2">
      <c r="A4123" s="5">
        <v>4062</v>
      </c>
      <c r="B4123" s="138">
        <f>'Acct Summary 7-8'!D10</f>
        <v>899851</v>
      </c>
      <c r="C4123" s="2" t="s">
        <v>594</v>
      </c>
      <c r="D4123" s="2" t="str">
        <f t="shared" si="63"/>
        <v>Error?</v>
      </c>
    </row>
    <row r="4124" spans="1:4" x14ac:dyDescent="0.2">
      <c r="A4124" s="5">
        <v>4063</v>
      </c>
      <c r="B4124" s="138">
        <f>'Acct Summary 7-8'!E10</f>
        <v>638831</v>
      </c>
      <c r="C4124" s="2" t="s">
        <v>594</v>
      </c>
      <c r="D4124" s="2" t="str">
        <f t="shared" si="63"/>
        <v>Error?</v>
      </c>
    </row>
    <row r="4125" spans="1:4" x14ac:dyDescent="0.2">
      <c r="A4125" s="5">
        <v>4064</v>
      </c>
      <c r="B4125" s="138">
        <f>'Acct Summary 7-8'!F10</f>
        <v>405448</v>
      </c>
      <c r="C4125" s="2" t="s">
        <v>594</v>
      </c>
      <c r="D4125" s="2" t="str">
        <f t="shared" si="63"/>
        <v>Error?</v>
      </c>
    </row>
    <row r="4126" spans="1:4" x14ac:dyDescent="0.2">
      <c r="A4126" s="5">
        <v>4065</v>
      </c>
      <c r="B4126" s="138">
        <f>'Acct Summary 7-8'!G10</f>
        <v>240155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21116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49071</v>
      </c>
      <c r="C4130" s="2" t="s">
        <v>594</v>
      </c>
      <c r="D4130" s="2" t="str">
        <f t="shared" si="63"/>
        <v>Error?</v>
      </c>
    </row>
    <row r="4131" spans="1:4" x14ac:dyDescent="0.2">
      <c r="A4131" s="5">
        <v>4070</v>
      </c>
      <c r="B4131" s="138">
        <f>'Acct Summary 7-8'!C18</f>
        <v>3168891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7180029</v>
      </c>
      <c r="C4136" s="2" t="s">
        <v>594</v>
      </c>
      <c r="D4136" s="2" t="str">
        <f t="shared" si="63"/>
        <v>Error?</v>
      </c>
    </row>
    <row r="4137" spans="1:4" x14ac:dyDescent="0.2">
      <c r="A4137" s="5">
        <v>4076</v>
      </c>
      <c r="B4137" s="138">
        <f>'Acct Summary 7-8'!D19</f>
        <v>465576</v>
      </c>
      <c r="C4137" s="2" t="s">
        <v>594</v>
      </c>
      <c r="D4137" s="2" t="str">
        <f t="shared" si="63"/>
        <v>Error?</v>
      </c>
    </row>
    <row r="4138" spans="1:4" x14ac:dyDescent="0.2">
      <c r="A4138" s="5">
        <v>4077</v>
      </c>
      <c r="B4138" s="138">
        <f>'Acct Summary 7-8'!E19</f>
        <v>618162</v>
      </c>
      <c r="C4138" s="2" t="s">
        <v>594</v>
      </c>
      <c r="D4138" s="2" t="str">
        <f t="shared" si="63"/>
        <v>Error?</v>
      </c>
    </row>
    <row r="4139" spans="1:4" x14ac:dyDescent="0.2">
      <c r="A4139" s="5">
        <v>4078</v>
      </c>
      <c r="B4139" s="138">
        <f>'Acct Summary 7-8'!F19</f>
        <v>399197</v>
      </c>
      <c r="C4139" s="2" t="s">
        <v>594</v>
      </c>
      <c r="D4139" s="2" t="str">
        <f t="shared" si="63"/>
        <v>Error?</v>
      </c>
    </row>
    <row r="4140" spans="1:4" x14ac:dyDescent="0.2">
      <c r="A4140" s="5">
        <v>4079</v>
      </c>
      <c r="B4140" s="138">
        <f>'Acct Summary 7-8'!G19</f>
        <v>168140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420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4580000</v>
      </c>
      <c r="C4171" s="2" t="s">
        <v>594</v>
      </c>
      <c r="D4171" s="2" t="str">
        <f t="shared" si="64"/>
        <v>Error?</v>
      </c>
    </row>
    <row r="4172" spans="1:4" x14ac:dyDescent="0.2">
      <c r="A4172" s="5">
        <v>4111</v>
      </c>
      <c r="B4172" s="138">
        <f>'Short-Term Long-Term Debt 24'!J49</f>
        <v>4235483</v>
      </c>
      <c r="C4172" s="2" t="s">
        <v>594</v>
      </c>
      <c r="D4172" s="2" t="str">
        <f t="shared" si="64"/>
        <v>Error?</v>
      </c>
    </row>
    <row r="4173" spans="1:4" x14ac:dyDescent="0.2">
      <c r="A4173" s="5">
        <v>4112</v>
      </c>
      <c r="B4173" s="138">
        <f>'Short-Term Long-Term Debt 24'!H49</f>
        <v>430000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573</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2882.2</v>
      </c>
      <c r="C4265" s="2" t="s">
        <v>594</v>
      </c>
      <c r="D4265" s="2" t="str">
        <f t="shared" si="65"/>
        <v>Error?</v>
      </c>
      <c r="E4265" s="128"/>
    </row>
    <row r="4266" spans="1:5" x14ac:dyDescent="0.2">
      <c r="A4266" s="12">
        <v>4205</v>
      </c>
      <c r="B4266" s="138">
        <f>('FP Info 3'!F10)*100000</f>
        <v>370.90000000000003</v>
      </c>
      <c r="C4266" s="2" t="s">
        <v>594</v>
      </c>
      <c r="D4266" s="2" t="str">
        <f t="shared" si="65"/>
        <v>Error?</v>
      </c>
      <c r="E4266" s="128"/>
    </row>
    <row r="4267" spans="1:5" x14ac:dyDescent="0.2">
      <c r="A4267" s="12">
        <v>4206</v>
      </c>
      <c r="B4267" s="138">
        <f>('FP Info 3'!H10)*100000</f>
        <v>247.29999999999998</v>
      </c>
      <c r="C4267" s="2" t="s">
        <v>594</v>
      </c>
      <c r="D4267" s="2" t="str">
        <f t="shared" si="65"/>
        <v>Error?</v>
      </c>
      <c r="E4267" s="128"/>
    </row>
    <row r="4268" spans="1:5" x14ac:dyDescent="0.2">
      <c r="A4268" s="12">
        <v>4207</v>
      </c>
      <c r="B4268" s="138">
        <f>('FP Info 3'!J10)*100000</f>
        <v>3500.0000000000005</v>
      </c>
      <c r="C4268" s="2" t="s">
        <v>594</v>
      </c>
      <c r="D4268" s="2" t="str">
        <f t="shared" si="65"/>
        <v>Error?</v>
      </c>
    </row>
    <row r="4269" spans="1:5" x14ac:dyDescent="0.2">
      <c r="A4269" s="12">
        <v>4208</v>
      </c>
      <c r="B4269" s="138">
        <f>'FP Info 3'!J16</f>
        <v>2644804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4624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59731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40196</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40196</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11065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24.8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4168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82491736</v>
      </c>
      <c r="D4995" s="2" t="str">
        <f t="shared" si="77"/>
        <v>Error?</v>
      </c>
    </row>
    <row r="4996" spans="1:4" x14ac:dyDescent="0.2">
      <c r="A4996" s="12">
        <v>4935</v>
      </c>
      <c r="B4996" s="138">
        <f>'FP Info 3'!H31</f>
        <v>11383859.568000002</v>
      </c>
      <c r="D4996" s="2" t="str">
        <f t="shared" si="77"/>
        <v>Error?</v>
      </c>
    </row>
    <row r="4997" spans="1:4" x14ac:dyDescent="0.2">
      <c r="A4997" s="12">
        <v>4936</v>
      </c>
      <c r="B4997" s="138">
        <f>'FP Info 3'!H37</f>
        <v>4580000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2425026</v>
      </c>
      <c r="D5061" s="2" t="str">
        <f t="shared" si="78"/>
        <v>Error?</v>
      </c>
    </row>
    <row r="5062" spans="1:4" x14ac:dyDescent="0.2">
      <c r="A5062" s="10">
        <v>5001</v>
      </c>
      <c r="D5062" s="2" t="str">
        <f t="shared" si="78"/>
        <v>OK</v>
      </c>
    </row>
    <row r="5063" spans="1:4" x14ac:dyDescent="0.2">
      <c r="A5063" s="5">
        <v>5002</v>
      </c>
      <c r="B5063" s="138">
        <f>'Revenues 9-14'!C7</f>
        <v>34743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2459769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2981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2981</v>
      </c>
      <c r="C5090" s="2" t="s">
        <v>594</v>
      </c>
      <c r="D5090" s="2" t="str">
        <f t="shared" si="78"/>
        <v>Error?</v>
      </c>
    </row>
    <row r="5091" spans="1:4" x14ac:dyDescent="0.2">
      <c r="A5091" s="5">
        <v>5030</v>
      </c>
      <c r="B5091" s="138">
        <f>'Revenues 9-14'!C70</f>
        <v>8168</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58345</v>
      </c>
      <c r="C5096" s="2" t="s">
        <v>594</v>
      </c>
      <c r="D5096" s="2" t="str">
        <f t="shared" si="78"/>
        <v>Error?</v>
      </c>
    </row>
    <row r="5097" spans="1:4" x14ac:dyDescent="0.2">
      <c r="A5097" s="5">
        <v>5036</v>
      </c>
      <c r="B5097" s="138">
        <f>'Revenues 9-14'!C77</f>
        <v>31190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24302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55492</v>
      </c>
      <c r="C5102" s="2" t="s">
        <v>594</v>
      </c>
      <c r="D5102" s="2" t="str">
        <f t="shared" si="78"/>
        <v>Error?</v>
      </c>
    </row>
    <row r="5103" spans="1:4" x14ac:dyDescent="0.2">
      <c r="A5103" s="5">
        <v>5042</v>
      </c>
      <c r="B5103" s="138">
        <f>'Revenues 9-14'!C84</f>
        <v>49626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49626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29057</v>
      </c>
      <c r="D5119" s="2" t="str">
        <f t="shared" ref="D5119:D5182" si="79">IF(ISBLANK(B5119),"OK",IF(A5119-B5119=0,"OK","Error?"))</f>
        <v>Error?</v>
      </c>
    </row>
    <row r="5120" spans="1:4" x14ac:dyDescent="0.2">
      <c r="A5120" s="5">
        <v>5059</v>
      </c>
      <c r="B5120" s="138">
        <f>'Revenues 9-14'!C108</f>
        <v>60584</v>
      </c>
      <c r="C5120" s="2" t="s">
        <v>594</v>
      </c>
      <c r="D5120" s="2" t="str">
        <f t="shared" si="79"/>
        <v>Error?</v>
      </c>
    </row>
    <row r="5121" spans="1:4" x14ac:dyDescent="0.2">
      <c r="A5121" s="5">
        <v>5060</v>
      </c>
      <c r="B5121" s="138">
        <f>'Revenues 9-14'!C109</f>
        <v>2686797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568962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568962</v>
      </c>
      <c r="C5132" s="2" t="s">
        <v>594</v>
      </c>
      <c r="D5132" s="2" t="str">
        <f t="shared" si="79"/>
        <v>Error?</v>
      </c>
    </row>
    <row r="5133" spans="1:4" x14ac:dyDescent="0.2">
      <c r="A5133" s="5">
        <v>5072</v>
      </c>
      <c r="B5133" s="138">
        <f>'Revenues 9-14'!C124</f>
        <v>29845</v>
      </c>
      <c r="D5133" s="2" t="str">
        <f t="shared" si="79"/>
        <v>Error?</v>
      </c>
    </row>
    <row r="5134" spans="1:4" x14ac:dyDescent="0.2">
      <c r="A5134" s="5">
        <v>5073</v>
      </c>
      <c r="B5134" s="138">
        <f>'Revenues 9-14'!C125</f>
        <v>34699</v>
      </c>
      <c r="D5134" s="2" t="str">
        <f t="shared" si="79"/>
        <v>Error?</v>
      </c>
    </row>
    <row r="5135" spans="1:4" x14ac:dyDescent="0.2">
      <c r="A5135" s="5">
        <v>5074</v>
      </c>
      <c r="B5135" s="138">
        <f>'Revenues 9-14'!C126</f>
        <v>50000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1096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115640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4380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1414</v>
      </c>
      <c r="D5167" s="2" t="str">
        <f t="shared" si="79"/>
        <v>Error?</v>
      </c>
    </row>
    <row r="5168" spans="1:4" x14ac:dyDescent="0.2">
      <c r="A5168" s="5">
        <v>5107</v>
      </c>
      <c r="B5168" s="138">
        <f>'Revenues 9-14'!C147</f>
        <v>8744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214602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344780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913742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70408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21528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91936</v>
      </c>
      <c r="C5246" s="2" t="s">
        <v>594</v>
      </c>
      <c r="D5246" s="2" t="str">
        <f t="shared" si="80"/>
        <v>Error?</v>
      </c>
    </row>
    <row r="5247" spans="1:4" x14ac:dyDescent="0.2">
      <c r="A5247" s="5">
        <v>5186</v>
      </c>
      <c r="B5247" s="138">
        <f>'Revenues 9-14'!C203</f>
        <v>19407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19407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12777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92159</v>
      </c>
      <c r="D5278" s="2" t="str">
        <f t="shared" si="81"/>
        <v>Error?</v>
      </c>
    </row>
    <row r="5279" spans="1:4" x14ac:dyDescent="0.2">
      <c r="A5279" s="5">
        <v>5218</v>
      </c>
      <c r="B5279" s="138">
        <f>'Revenues 9-14'!C221</f>
        <v>219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105155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332114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332114</v>
      </c>
      <c r="C5326" s="2" t="s">
        <v>594</v>
      </c>
      <c r="D5326" s="2" t="str">
        <f t="shared" si="82"/>
        <v>Error?</v>
      </c>
    </row>
    <row r="5327" spans="1:4" x14ac:dyDescent="0.2">
      <c r="A5327" s="5">
        <v>5266</v>
      </c>
      <c r="B5327" s="138">
        <f>'Revenues 9-14'!C275</f>
        <v>3932653</v>
      </c>
      <c r="C5327" s="2" t="s">
        <v>594</v>
      </c>
      <c r="D5327" s="2" t="str">
        <f t="shared" si="82"/>
        <v>Error?</v>
      </c>
    </row>
    <row r="5328" spans="1:4" x14ac:dyDescent="0.2">
      <c r="A5328" s="5">
        <v>5267</v>
      </c>
      <c r="B5328" s="138">
        <f>'Revenues 9-14'!D5</f>
        <v>312019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312019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79696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79696</v>
      </c>
      <c r="C5339" s="2" t="s">
        <v>594</v>
      </c>
      <c r="D5339" s="2" t="str">
        <f t="shared" si="82"/>
        <v>Error?</v>
      </c>
    </row>
    <row r="5340" spans="1:4" x14ac:dyDescent="0.2">
      <c r="A5340" s="5">
        <v>5279</v>
      </c>
      <c r="B5340" s="138">
        <f>'Revenues 9-14'!D65</f>
        <v>925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925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13022</v>
      </c>
      <c r="D5354" s="2" t="str">
        <f t="shared" si="82"/>
        <v>Error?</v>
      </c>
    </row>
    <row r="5355" spans="1:4" x14ac:dyDescent="0.2">
      <c r="A5355" s="5">
        <v>5294</v>
      </c>
      <c r="B5355" s="138">
        <f>'Revenues 9-14'!D108</f>
        <v>40181</v>
      </c>
      <c r="C5355" s="2" t="s">
        <v>594</v>
      </c>
      <c r="D5355" s="2" t="str">
        <f t="shared" si="82"/>
        <v>Error?</v>
      </c>
    </row>
    <row r="5356" spans="1:4" x14ac:dyDescent="0.2">
      <c r="A5356" s="5">
        <v>5295</v>
      </c>
      <c r="B5356" s="138">
        <f>'Revenues 9-14'!D109</f>
        <v>432821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467030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467030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467030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899851</v>
      </c>
      <c r="C5508" s="2" t="s">
        <v>594</v>
      </c>
      <c r="D5508" s="2" t="str">
        <f t="shared" si="85"/>
        <v>Error?</v>
      </c>
    </row>
    <row r="5509" spans="1:4" x14ac:dyDescent="0.2">
      <c r="A5509" s="5">
        <v>5448</v>
      </c>
      <c r="B5509" s="138">
        <f>'Revenues 9-14'!E5</f>
        <v>638265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638265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566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566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638831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638831</v>
      </c>
      <c r="C5552" s="2" t="s">
        <v>594</v>
      </c>
      <c r="D5552" s="2" t="str">
        <f t="shared" si="85"/>
        <v>Error?</v>
      </c>
    </row>
    <row r="5553" spans="1:4" x14ac:dyDescent="0.2">
      <c r="A5553" s="5">
        <v>5492</v>
      </c>
      <c r="B5553" s="138">
        <f>'Revenues 9-14'!F5</f>
        <v>208041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208041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1806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1806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484</v>
      </c>
      <c r="D5586" s="2" t="str">
        <f t="shared" si="86"/>
        <v>Error?</v>
      </c>
    </row>
    <row r="5587" spans="1:4" x14ac:dyDescent="0.2">
      <c r="A5587" s="5">
        <v>5526</v>
      </c>
      <c r="B5587" s="138">
        <f>'Revenues 9-14'!F108</f>
        <v>484</v>
      </c>
      <c r="C5587" s="2" t="s">
        <v>594</v>
      </c>
      <c r="D5587" s="2" t="str">
        <f t="shared" si="86"/>
        <v>Error?</v>
      </c>
    </row>
    <row r="5588" spans="1:4" x14ac:dyDescent="0.2">
      <c r="A5588" s="5">
        <v>5527</v>
      </c>
      <c r="B5588" s="138">
        <f>'Revenues 9-14'!F109</f>
        <v>210331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119645</v>
      </c>
      <c r="D5615" s="2" t="str">
        <f t="shared" si="86"/>
        <v>Error?</v>
      </c>
    </row>
    <row r="5616" spans="1:4" x14ac:dyDescent="0.2">
      <c r="A5616" s="10">
        <v>5555</v>
      </c>
      <c r="D5616" s="2" t="str">
        <f t="shared" si="86"/>
        <v>OK</v>
      </c>
    </row>
    <row r="5617" spans="1:4" x14ac:dyDescent="0.2">
      <c r="A5617" s="5">
        <v>5556</v>
      </c>
      <c r="B5617" s="138">
        <f>'Revenues 9-14'!F152</f>
        <v>75472</v>
      </c>
      <c r="D5617" s="2" t="str">
        <f t="shared" si="86"/>
        <v>Error?</v>
      </c>
    </row>
    <row r="5618" spans="1:4" x14ac:dyDescent="0.2">
      <c r="A5618" s="5">
        <v>5557</v>
      </c>
      <c r="B5618" s="138">
        <f>'Revenues 9-14'!F154</f>
        <v>195117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195117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195117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405448</v>
      </c>
      <c r="C5720" s="2" t="s">
        <v>594</v>
      </c>
      <c r="D5720" s="2" t="str">
        <f t="shared" si="88"/>
        <v>Error?</v>
      </c>
    </row>
    <row r="5721" spans="1:4" x14ac:dyDescent="0.2">
      <c r="A5721" s="5">
        <v>5660</v>
      </c>
      <c r="B5721" s="138">
        <f>'Revenues 9-14'!G5</f>
        <v>63761</v>
      </c>
      <c r="D5721" s="2" t="str">
        <f t="shared" si="88"/>
        <v>Error?</v>
      </c>
    </row>
    <row r="5722" spans="1:4" x14ac:dyDescent="0.2">
      <c r="A5722" s="5">
        <v>5661</v>
      </c>
      <c r="B5722" s="138">
        <f>'Revenues 9-14'!G7</f>
        <v>0</v>
      </c>
      <c r="D5722" s="2" t="str">
        <f t="shared" si="88"/>
        <v>Error?</v>
      </c>
    </row>
    <row r="5723" spans="1:4" x14ac:dyDescent="0.2">
      <c r="A5723" s="5">
        <v>5662</v>
      </c>
      <c r="B5723" s="138">
        <f>'Revenues 9-14'!G8</f>
        <v>63760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127521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2262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2262</v>
      </c>
      <c r="C5730" s="2" t="s">
        <v>594</v>
      </c>
      <c r="D5730" s="2" t="str">
        <f t="shared" si="88"/>
        <v>Error?</v>
      </c>
    </row>
    <row r="5731" spans="1:4" x14ac:dyDescent="0.2">
      <c r="A5731" s="5">
        <v>5670</v>
      </c>
      <c r="B5731" s="138">
        <f>'Revenues 9-14'!G65</f>
        <v>124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110248</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110248</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110248</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240155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20848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20848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268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21116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48686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48686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385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385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49071</v>
      </c>
      <c r="C6023" s="2" t="s">
        <v>594</v>
      </c>
      <c r="D6023" s="2" t="str">
        <f t="shared" si="93"/>
        <v>Error?</v>
      </c>
    </row>
    <row r="6024" spans="1:5" x14ac:dyDescent="0.2">
      <c r="A6024" s="5">
        <v>5963</v>
      </c>
      <c r="B6024" s="138">
        <f>'Revenues 9-14'!G109</f>
        <v>129907</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21116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49071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50177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15660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483.31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25630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25630</v>
      </c>
      <c r="D6215" s="2" t="str">
        <f t="shared" si="96"/>
        <v>Error?</v>
      </c>
      <c r="E6215" s="2" t="s">
        <v>199</v>
      </c>
    </row>
    <row r="6216" spans="1:5" x14ac:dyDescent="0.2">
      <c r="A6216">
        <v>6155</v>
      </c>
      <c r="B6216" s="138">
        <f>'Assets-Liab 5-6'!J41</f>
        <v>25630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25630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100761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100761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100761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81008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81008</v>
      </c>
      <c r="D6229" s="2" t="str">
        <f t="shared" si="96"/>
        <v>Error?</v>
      </c>
      <c r="E6229" s="2" t="s">
        <v>199</v>
      </c>
    </row>
    <row r="6230" spans="1:5" x14ac:dyDescent="0.2">
      <c r="A6230">
        <v>6169</v>
      </c>
      <c r="B6230" s="138">
        <f>'Acct Summary 7-8'!J20</f>
        <v>19753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19753</v>
      </c>
      <c r="D6263" s="2" t="str">
        <f t="shared" si="96"/>
        <v>Error?</v>
      </c>
      <c r="E6263" s="2" t="s">
        <v>199</v>
      </c>
    </row>
    <row r="6264" spans="1:5" x14ac:dyDescent="0.2">
      <c r="A6264">
        <v>6203</v>
      </c>
      <c r="B6264" s="138">
        <f>'Acct Summary 7-8'!J79</f>
        <v>5877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25630</v>
      </c>
      <c r="D6266" s="2" t="str">
        <f t="shared" si="96"/>
        <v>Error?</v>
      </c>
      <c r="E6266" s="2" t="s">
        <v>199</v>
      </c>
    </row>
    <row r="6267" spans="1:5" x14ac:dyDescent="0.2">
      <c r="A6267">
        <v>6206</v>
      </c>
      <c r="B6267" s="138">
        <f>'Acct Summary 7-8'!C82</f>
        <v>-78485</v>
      </c>
      <c r="D6267" s="2" t="str">
        <f t="shared" si="96"/>
        <v>Error?</v>
      </c>
      <c r="E6267" s="2" t="s">
        <v>199</v>
      </c>
    </row>
    <row r="6268" spans="1:5" x14ac:dyDescent="0.2">
      <c r="A6268">
        <v>6207</v>
      </c>
      <c r="B6268" s="138">
        <f>'Acct Summary 7-8'!D82</f>
        <v>434275</v>
      </c>
      <c r="D6268" s="2" t="str">
        <f t="shared" si="96"/>
        <v>Error?</v>
      </c>
      <c r="E6268" s="2" t="s">
        <v>199</v>
      </c>
    </row>
    <row r="6269" spans="1:5" x14ac:dyDescent="0.2">
      <c r="A6269">
        <v>6208</v>
      </c>
      <c r="B6269" s="138">
        <f>'Acct Summary 7-8'!E82</f>
        <v>20669</v>
      </c>
      <c r="D6269" s="2" t="str">
        <f t="shared" si="96"/>
        <v>Error?</v>
      </c>
      <c r="E6269" s="2" t="s">
        <v>199</v>
      </c>
    </row>
    <row r="6270" spans="1:5" x14ac:dyDescent="0.2">
      <c r="A6270">
        <v>6209</v>
      </c>
      <c r="B6270" s="138">
        <f>'Acct Summary 7-8'!F82</f>
        <v>11751</v>
      </c>
      <c r="D6270" s="2" t="str">
        <f t="shared" si="96"/>
        <v>Error?</v>
      </c>
      <c r="E6270" s="2" t="s">
        <v>199</v>
      </c>
    </row>
    <row r="6271" spans="1:5" x14ac:dyDescent="0.2">
      <c r="A6271">
        <v>6210</v>
      </c>
      <c r="B6271" s="138">
        <f>'Acct Summary 7-8'!G82</f>
        <v>72015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21116</v>
      </c>
      <c r="D6273" s="2" t="str">
        <f t="shared" si="97"/>
        <v>Error?</v>
      </c>
      <c r="E6273" s="2" t="s">
        <v>199</v>
      </c>
    </row>
    <row r="6274" spans="1:5" x14ac:dyDescent="0.2">
      <c r="A6274">
        <v>6213</v>
      </c>
      <c r="B6274" s="138">
        <f>'Acct Summary 7-8'!J82</f>
        <v>19753</v>
      </c>
      <c r="D6274" s="2" t="str">
        <f t="shared" si="97"/>
        <v>Error?</v>
      </c>
      <c r="E6274" s="2" t="s">
        <v>199</v>
      </c>
    </row>
    <row r="6275" spans="1:5" x14ac:dyDescent="0.2">
      <c r="A6275">
        <v>6214</v>
      </c>
      <c r="B6275" s="138">
        <f>'Acct Summary 7-8'!K82</f>
        <v>48651</v>
      </c>
      <c r="D6275" s="2" t="str">
        <f t="shared" si="97"/>
        <v>Error?</v>
      </c>
      <c r="E6275" s="2" t="s">
        <v>199</v>
      </c>
    </row>
    <row r="6276" spans="1:5" x14ac:dyDescent="0.2">
      <c r="A6276">
        <v>6215</v>
      </c>
      <c r="B6276" s="138">
        <f>'Acct Summary 7-8'!C83</f>
        <v>-9.2397798510757273E-2</v>
      </c>
      <c r="D6276" s="2" t="str">
        <f t="shared" si="97"/>
        <v>Error?</v>
      </c>
      <c r="E6276" s="2" t="s">
        <v>199</v>
      </c>
    </row>
    <row r="6277" spans="1:5" x14ac:dyDescent="0.2">
      <c r="A6277">
        <v>6216</v>
      </c>
      <c r="B6277" s="138">
        <f>'Acct Summary 7-8'!D83</f>
        <v>0.40637378246943129</v>
      </c>
      <c r="D6277" s="2" t="str">
        <f t="shared" si="97"/>
        <v>Error?</v>
      </c>
      <c r="E6277" s="2" t="s">
        <v>199</v>
      </c>
    </row>
    <row r="6278" spans="1:5" x14ac:dyDescent="0.2">
      <c r="A6278">
        <v>6217</v>
      </c>
      <c r="B6278" s="138">
        <f>'Acct Summary 7-8'!E83</f>
        <v>5.9994136718942749E-2</v>
      </c>
      <c r="D6278" s="2" t="str">
        <f t="shared" si="97"/>
        <v>Error?</v>
      </c>
      <c r="E6278" s="2" t="s">
        <v>199</v>
      </c>
    </row>
    <row r="6279" spans="1:5" x14ac:dyDescent="0.2">
      <c r="A6279">
        <v>6218</v>
      </c>
      <c r="B6279" s="138">
        <f>'Acct Summary 7-8'!F83</f>
        <v>3.8653842358374504E-2</v>
      </c>
      <c r="D6279" s="2" t="str">
        <f t="shared" si="97"/>
        <v>Error?</v>
      </c>
      <c r="E6279" s="2" t="s">
        <v>199</v>
      </c>
    </row>
    <row r="6280" spans="1:5" x14ac:dyDescent="0.2">
      <c r="A6280">
        <v>6219</v>
      </c>
      <c r="B6280" s="138">
        <f>'Acct Summary 7-8'!G83</f>
        <v>0.63905971301546738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4.9953396386209117E-2</v>
      </c>
      <c r="D6282" s="2" t="str">
        <f t="shared" si="97"/>
        <v>Error?</v>
      </c>
      <c r="E6282" s="2" t="s">
        <v>199</v>
      </c>
    </row>
    <row r="6283" spans="1:5" x14ac:dyDescent="0.2">
      <c r="A6283">
        <v>6222</v>
      </c>
      <c r="B6283" s="138">
        <f>'Acct Summary 7-8'!J83</f>
        <v>0.77069840031213421</v>
      </c>
      <c r="D6283" s="2" t="str">
        <f t="shared" si="97"/>
        <v>Error?</v>
      </c>
      <c r="E6283" s="2" t="s">
        <v>199</v>
      </c>
    </row>
    <row r="6284" spans="1:5" x14ac:dyDescent="0.2">
      <c r="A6284">
        <v>6223</v>
      </c>
      <c r="B6284" s="138">
        <f>'Acct Summary 7-8'!K83</f>
        <v>0.20264326355161985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100609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100609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152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152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27159</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7359</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100761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3807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98699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149256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30757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81008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100761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7938</v>
      </c>
      <c r="D7073" s="2" t="str">
        <f t="shared" si="109"/>
        <v>Error?</v>
      </c>
    </row>
    <row r="7074" spans="1:4" x14ac:dyDescent="0.2">
      <c r="A7074">
        <v>7013</v>
      </c>
      <c r="B7074" s="138">
        <f>'Expenditures 15-22'!K216</f>
        <v>7938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33772</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33772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43573</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43573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3663</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3663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81008</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81008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81008</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81008</v>
      </c>
      <c r="D7224" s="2" t="str">
        <f t="shared" si="111"/>
        <v>Error?</v>
      </c>
    </row>
    <row r="7225" spans="1:4" x14ac:dyDescent="0.2">
      <c r="A7225">
        <v>7164</v>
      </c>
      <c r="B7225" s="138">
        <f>'Expenditures 15-22'!K343</f>
        <v>19753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5229</v>
      </c>
      <c r="D7246" s="2" t="str">
        <f t="shared" si="112"/>
        <v>Error?</v>
      </c>
    </row>
    <row r="7247" spans="1:4" x14ac:dyDescent="0.2">
      <c r="A7247">
        <f t="shared" si="113"/>
        <v>7186</v>
      </c>
      <c r="B7247" s="138">
        <f>'Expenditures 15-22'!E7</f>
        <v>6232</v>
      </c>
      <c r="D7247" s="2" t="str">
        <f t="shared" si="112"/>
        <v>Error?</v>
      </c>
    </row>
    <row r="7248" spans="1:4" x14ac:dyDescent="0.2">
      <c r="A7248">
        <f t="shared" si="113"/>
        <v>7187</v>
      </c>
      <c r="B7248" s="138">
        <f>'Expenditures 15-22'!F7</f>
        <v>17584</v>
      </c>
      <c r="D7248" s="2" t="str">
        <f t="shared" si="112"/>
        <v>Error?</v>
      </c>
    </row>
    <row r="7249" spans="1:4" x14ac:dyDescent="0.2">
      <c r="A7249">
        <f t="shared" si="113"/>
        <v>7188</v>
      </c>
      <c r="B7249" s="138">
        <f>'Expenditures 15-22'!G7</f>
        <v>21512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30314</v>
      </c>
      <c r="D7263" s="2" t="str">
        <f t="shared" si="112"/>
        <v>Error?</v>
      </c>
    </row>
    <row r="7264" spans="1:4" x14ac:dyDescent="0.2">
      <c r="A7264">
        <f t="shared" si="113"/>
        <v>7203</v>
      </c>
      <c r="B7264" s="138">
        <f>'Expenditures 15-22'!D17</f>
        <v>443</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223783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7359</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8744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16103</v>
      </c>
      <c r="D7719" s="2" t="str">
        <f t="shared" si="126"/>
        <v>Error?</v>
      </c>
      <c r="E7719" s="2" t="s">
        <v>881</v>
      </c>
    </row>
    <row r="7720" spans="1:6" x14ac:dyDescent="0.2">
      <c r="A7720">
        <v>7659</v>
      </c>
      <c r="B7720" s="138">
        <f>'Rest Tax Levies-Tort Im 25'!H14</f>
        <v>34743</v>
      </c>
      <c r="D7720" s="2" t="str">
        <f t="shared" si="126"/>
        <v>Error?</v>
      </c>
      <c r="E7720" s="2" t="s">
        <v>881</v>
      </c>
    </row>
    <row r="7721" spans="1:6" x14ac:dyDescent="0.2">
      <c r="A7721">
        <v>7660</v>
      </c>
      <c r="B7721" s="138">
        <f>'Rest Tax Levies-Tort Im 25'!K14</f>
        <v>16103</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3"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40" t="s">
        <v>1253</v>
      </c>
      <c r="B2" s="2440"/>
      <c r="C2" s="2440"/>
      <c r="D2" s="2440"/>
      <c r="E2" s="2440"/>
      <c r="F2" s="2440"/>
      <c r="G2" s="2440"/>
      <c r="H2" s="2440"/>
      <c r="I2" s="2440"/>
      <c r="J2" s="2440"/>
      <c r="K2" s="2440"/>
      <c r="L2" s="2440"/>
    </row>
    <row r="3" spans="1:29" ht="13.5" customHeight="1" x14ac:dyDescent="0.2">
      <c r="A3" s="2471" t="s">
        <v>1252</v>
      </c>
      <c r="B3" s="2471"/>
      <c r="C3" s="2471"/>
      <c r="D3" s="2471"/>
      <c r="E3" s="2471"/>
      <c r="F3" s="2471"/>
      <c r="G3" s="2471"/>
      <c r="H3" s="2471"/>
      <c r="I3" s="2471"/>
      <c r="J3" s="2471"/>
      <c r="K3" s="2471"/>
      <c r="L3" s="2471"/>
    </row>
    <row r="4" spans="1:29" ht="13.5" customHeight="1" x14ac:dyDescent="0.2">
      <c r="A4" s="2440" t="s">
        <v>1799</v>
      </c>
      <c r="B4" s="2461"/>
      <c r="C4" s="2461"/>
      <c r="D4" s="2461"/>
      <c r="E4" s="2461"/>
      <c r="F4" s="2461"/>
      <c r="G4" s="2461"/>
      <c r="H4" s="2461"/>
      <c r="I4" s="2461"/>
      <c r="J4" s="2461"/>
      <c r="K4" s="2461"/>
      <c r="L4" s="2461"/>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462" t="str">
        <f>COVER!A17</f>
        <v>Tri-City CUSD 1</v>
      </c>
      <c r="B7" s="2463"/>
      <c r="C7" s="2463"/>
      <c r="D7" s="2464"/>
      <c r="E7" s="2465">
        <f>COVER!A13</f>
        <v>51084001026</v>
      </c>
      <c r="F7" s="2466"/>
      <c r="G7" s="2472" t="str">
        <f>COVER!T23</f>
        <v>066-003847</v>
      </c>
      <c r="H7" s="2473"/>
      <c r="I7" s="2473"/>
      <c r="J7" s="2473"/>
      <c r="K7" s="2473"/>
      <c r="L7" s="2474"/>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75"/>
      <c r="B9" s="2476"/>
      <c r="C9" s="2476"/>
      <c r="D9" s="2476"/>
      <c r="E9" s="2476"/>
      <c r="F9" s="2477"/>
      <c r="G9" s="2446" t="str">
        <f>COVER!T13</f>
        <v>LMHN, Ltd.</v>
      </c>
      <c r="H9" s="2478"/>
      <c r="I9" s="2478"/>
      <c r="J9" s="2478"/>
      <c r="K9" s="2478"/>
      <c r="L9" s="2479"/>
    </row>
    <row r="10" spans="1:29" ht="13.5" customHeight="1" x14ac:dyDescent="0.2">
      <c r="A10" s="2452" t="str">
        <f>COVER!A38</f>
        <v>Jill Larson</v>
      </c>
      <c r="B10" s="2453"/>
      <c r="C10" s="2453"/>
      <c r="D10" s="2453"/>
      <c r="E10" s="2453"/>
      <c r="F10" s="2454"/>
      <c r="G10" s="2446" t="str">
        <f>COVER!T17</f>
        <v>900 N Webster St - PO Box 87</v>
      </c>
      <c r="H10" s="2447"/>
      <c r="I10" s="2447"/>
      <c r="J10" s="2447"/>
      <c r="K10" s="2447"/>
      <c r="L10" s="2448"/>
    </row>
    <row r="11" spans="1:29" ht="13.5" customHeight="1" x14ac:dyDescent="0.2">
      <c r="A11" s="1182" t="s">
        <v>1599</v>
      </c>
      <c r="B11" s="1183"/>
      <c r="C11" s="1184"/>
      <c r="D11" s="1189"/>
      <c r="E11" s="1184"/>
      <c r="F11" s="1188"/>
      <c r="G11" s="2446" t="str">
        <f>COVER!T19</f>
        <v>Taylorville</v>
      </c>
      <c r="H11" s="2447"/>
      <c r="I11" s="2447"/>
      <c r="J11" s="2447"/>
      <c r="K11" s="2447"/>
      <c r="L11" s="2448"/>
    </row>
    <row r="12" spans="1:29" ht="13.5" customHeight="1" x14ac:dyDescent="0.2">
      <c r="A12" s="2455" t="s">
        <v>1598</v>
      </c>
      <c r="B12" s="2456"/>
      <c r="C12" s="2456"/>
      <c r="D12" s="2456"/>
      <c r="E12" s="2456"/>
      <c r="F12" s="2457"/>
      <c r="G12" s="2449"/>
      <c r="H12" s="2450"/>
      <c r="I12" s="2450"/>
      <c r="J12" s="2450"/>
      <c r="K12" s="2450"/>
      <c r="L12" s="2451"/>
    </row>
    <row r="13" spans="1:29" ht="13.5" customHeight="1" x14ac:dyDescent="0.2">
      <c r="A13" s="2446"/>
      <c r="B13" s="2447"/>
      <c r="C13" s="2447"/>
      <c r="D13" s="2447"/>
      <c r="E13" s="2447"/>
      <c r="F13" s="2448"/>
      <c r="G13" s="2441" t="s">
        <v>1600</v>
      </c>
      <c r="H13" s="2442"/>
      <c r="I13" s="2458" t="str">
        <f>COVER!T25</f>
        <v>adam_cpa@yahoo.com</v>
      </c>
      <c r="J13" s="2459"/>
      <c r="K13" s="2459"/>
      <c r="L13" s="2460"/>
    </row>
    <row r="14" spans="1:29" ht="13.5" customHeight="1" x14ac:dyDescent="0.2">
      <c r="A14" s="2446" t="str">
        <f>COVER!A19</f>
        <v>PO Box 290</v>
      </c>
      <c r="B14" s="2447"/>
      <c r="C14" s="2447"/>
      <c r="D14" s="2447"/>
      <c r="E14" s="2447"/>
      <c r="F14" s="2448"/>
      <c r="G14" s="1193" t="s">
        <v>1247</v>
      </c>
      <c r="H14" s="1191"/>
      <c r="I14" s="1191"/>
      <c r="J14" s="1191"/>
      <c r="K14" s="1191"/>
      <c r="L14" s="1192"/>
    </row>
    <row r="15" spans="1:29" ht="13.5" customHeight="1" x14ac:dyDescent="0.2">
      <c r="A15" s="2446" t="str">
        <f>COVER!A21</f>
        <v>Buffalo</v>
      </c>
      <c r="B15" s="2447"/>
      <c r="C15" s="2447"/>
      <c r="D15" s="2447"/>
      <c r="E15" s="2447"/>
      <c r="F15" s="2448"/>
      <c r="G15" s="2443" t="str">
        <f>COVER!T15</f>
        <v>M. Adam Mathias</v>
      </c>
      <c r="H15" s="2444"/>
      <c r="I15" s="2444"/>
      <c r="J15" s="2444"/>
      <c r="K15" s="2444"/>
      <c r="L15" s="2445"/>
    </row>
    <row r="16" spans="1:29" ht="12.2" customHeight="1" x14ac:dyDescent="0.2">
      <c r="A16" s="2468">
        <f>COVER!A25</f>
        <v>62515</v>
      </c>
      <c r="B16" s="2469"/>
      <c r="C16" s="2469"/>
      <c r="D16" s="2469"/>
      <c r="E16" s="2469"/>
      <c r="F16" s="2470"/>
      <c r="G16" s="2480"/>
      <c r="H16" s="2481"/>
      <c r="I16" s="2481"/>
      <c r="J16" s="2481"/>
      <c r="K16" s="2481"/>
      <c r="L16" s="2482"/>
    </row>
    <row r="17" spans="1:13" ht="12.2" customHeight="1" x14ac:dyDescent="0.2">
      <c r="A17" s="2483"/>
      <c r="B17" s="2469"/>
      <c r="C17" s="2469"/>
      <c r="D17" s="2469"/>
      <c r="E17" s="2469"/>
      <c r="F17" s="2470"/>
      <c r="G17" s="1193" t="s">
        <v>1246</v>
      </c>
      <c r="H17" s="1191"/>
      <c r="I17" s="1191"/>
      <c r="J17" s="1191"/>
      <c r="K17" s="1195" t="s">
        <v>1245</v>
      </c>
      <c r="L17" s="1188"/>
      <c r="M17" s="1181"/>
    </row>
    <row r="18" spans="1:13" ht="12.2" customHeight="1" x14ac:dyDescent="0.2">
      <c r="A18" s="2452"/>
      <c r="B18" s="2453"/>
      <c r="C18" s="2453"/>
      <c r="D18" s="2453"/>
      <c r="E18" s="2453"/>
      <c r="F18" s="2454"/>
      <c r="G18" s="2462" t="str">
        <f>COVER!T21</f>
        <v>217-824-9661</v>
      </c>
      <c r="H18" s="2463"/>
      <c r="I18" s="2463"/>
      <c r="J18" s="2463"/>
      <c r="K18" s="2462" t="str">
        <f>COVER!X21</f>
        <v>217-824-2415</v>
      </c>
      <c r="L18" s="2467"/>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1801</v>
      </c>
    </row>
    <row r="27" spans="1:13" s="1196" customFormat="1" ht="9" customHeight="1" x14ac:dyDescent="0.2">
      <c r="B27" s="1201"/>
      <c r="C27" s="1200"/>
    </row>
    <row r="28" spans="1:13" s="1196" customFormat="1" ht="12.2" customHeight="1" x14ac:dyDescent="0.2">
      <c r="A28" s="1203"/>
      <c r="B28" s="1199"/>
      <c r="C28" s="1200" t="s">
        <v>1802</v>
      </c>
    </row>
    <row r="29" spans="1:13" s="1196" customFormat="1" ht="9" customHeight="1" x14ac:dyDescent="0.2">
      <c r="A29" s="1203"/>
      <c r="B29" s="1201"/>
      <c r="C29" s="1200"/>
    </row>
    <row r="30" spans="1:13" s="1196" customFormat="1" ht="12.2" customHeight="1" x14ac:dyDescent="0.2">
      <c r="B30" s="1199"/>
      <c r="C30" s="1200" t="s">
        <v>1643</v>
      </c>
      <c r="D30" s="1194"/>
      <c r="E30" s="1194"/>
    </row>
    <row r="31" spans="1:13" s="1196" customFormat="1" ht="9" customHeight="1" x14ac:dyDescent="0.2">
      <c r="B31" s="1201"/>
      <c r="C31" s="1200"/>
      <c r="D31" s="1194"/>
      <c r="E31" s="1194"/>
    </row>
    <row r="32" spans="1:13" s="1196" customFormat="1" ht="12.2" customHeight="1" x14ac:dyDescent="0.2">
      <c r="B32" s="1199"/>
      <c r="C32" s="1200" t="s">
        <v>1644</v>
      </c>
      <c r="D32" s="1194"/>
      <c r="E32" s="1194"/>
    </row>
    <row r="33" spans="1:8" s="1196" customFormat="1" ht="10.9" customHeight="1" x14ac:dyDescent="0.2">
      <c r="B33" s="1201"/>
      <c r="C33" s="1204" t="s">
        <v>1803</v>
      </c>
      <c r="D33" s="1194"/>
      <c r="E33" s="1194"/>
    </row>
    <row r="34" spans="1:8" ht="9" customHeight="1" x14ac:dyDescent="0.2">
      <c r="B34" s="1201"/>
      <c r="C34" s="1204"/>
    </row>
    <row r="35" spans="1:8" s="1196" customFormat="1" ht="13.5" customHeight="1" x14ac:dyDescent="0.2">
      <c r="B35" s="1199"/>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c r="C38" s="1200" t="s">
        <v>1647</v>
      </c>
    </row>
    <row r="39" spans="1:8" ht="9" customHeight="1" x14ac:dyDescent="0.2">
      <c r="B39" s="1201"/>
      <c r="C39" s="1204"/>
    </row>
    <row r="40" spans="1:8" s="1196" customFormat="1" ht="13.5" customHeight="1" x14ac:dyDescent="0.2">
      <c r="B40" s="1199"/>
      <c r="C40" s="1200" t="s">
        <v>1648</v>
      </c>
    </row>
    <row r="41" spans="1:8" ht="9" customHeight="1" x14ac:dyDescent="0.2">
      <c r="A41" s="1205"/>
      <c r="B41" s="1201"/>
      <c r="C41" s="1204"/>
    </row>
    <row r="42" spans="1:8" s="1196" customFormat="1" ht="13.5" customHeight="1" x14ac:dyDescent="0.2">
      <c r="B42" s="1199"/>
      <c r="C42" s="1200" t="s">
        <v>1946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zoomScaleSheetLayoutView="100" workbookViewId="0">
      <selection activeCell="J93" sqref="J9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10" t="s">
        <v>1230</v>
      </c>
      <c r="B2" s="2110"/>
      <c r="C2" s="2110"/>
      <c r="D2" s="2110"/>
      <c r="E2" s="2110"/>
      <c r="F2" s="2110"/>
      <c r="G2" s="2110"/>
      <c r="H2" s="2110"/>
      <c r="I2" s="2110"/>
      <c r="J2" s="211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24" t="s">
        <v>1731</v>
      </c>
      <c r="B35" s="2125"/>
      <c r="C35" s="2125"/>
      <c r="D35" s="2125"/>
      <c r="E35" s="2126"/>
      <c r="F35" s="2126"/>
      <c r="G35" s="2126"/>
      <c r="H35" s="2126"/>
      <c r="I35" s="212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24" t="s">
        <v>331</v>
      </c>
      <c r="B47" s="2127"/>
      <c r="C47" s="2127"/>
      <c r="D47" s="2127"/>
      <c r="E47" s="2128"/>
      <c r="F47" s="2128"/>
      <c r="G47" s="2128"/>
      <c r="H47" s="2128"/>
      <c r="I47" s="212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35431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31"/>
      <c r="C57" s="2132"/>
      <c r="D57" s="2132"/>
      <c r="E57" s="2132"/>
      <c r="F57" s="2132"/>
      <c r="G57" s="2132"/>
      <c r="H57" s="2132"/>
      <c r="I57" s="2132"/>
      <c r="J57" s="2133"/>
    </row>
    <row r="58" spans="1:10" s="181" customFormat="1" x14ac:dyDescent="0.2">
      <c r="A58" s="253"/>
      <c r="B58" s="2134"/>
      <c r="C58" s="2135"/>
      <c r="D58" s="2135"/>
      <c r="E58" s="2135"/>
      <c r="F58" s="2135"/>
      <c r="G58" s="2135"/>
      <c r="H58" s="2135"/>
      <c r="I58" s="2135"/>
      <c r="J58" s="2136"/>
    </row>
    <row r="59" spans="1:10" s="181" customFormat="1" x14ac:dyDescent="0.2">
      <c r="A59" s="253"/>
      <c r="B59" s="2134"/>
      <c r="C59" s="2135"/>
      <c r="D59" s="2135"/>
      <c r="E59" s="2135"/>
      <c r="F59" s="2135"/>
      <c r="G59" s="2135"/>
      <c r="H59" s="2135"/>
      <c r="I59" s="2135"/>
      <c r="J59" s="2136"/>
    </row>
    <row r="60" spans="1:10" s="181" customFormat="1" x14ac:dyDescent="0.2">
      <c r="A60" s="253"/>
      <c r="B60" s="2134"/>
      <c r="C60" s="2135"/>
      <c r="D60" s="2135"/>
      <c r="E60" s="2135"/>
      <c r="F60" s="2135"/>
      <c r="G60" s="2135"/>
      <c r="H60" s="2135"/>
      <c r="I60" s="2135"/>
      <c r="J60" s="2136"/>
    </row>
    <row r="61" spans="1:10" s="181" customFormat="1" x14ac:dyDescent="0.2">
      <c r="A61" s="253"/>
      <c r="B61" s="2134"/>
      <c r="C61" s="2135"/>
      <c r="D61" s="2135"/>
      <c r="E61" s="2135"/>
      <c r="F61" s="2135"/>
      <c r="G61" s="2135"/>
      <c r="H61" s="2135"/>
      <c r="I61" s="2135"/>
      <c r="J61" s="2136"/>
    </row>
    <row r="62" spans="1:10" s="181" customFormat="1" x14ac:dyDescent="0.2">
      <c r="A62" s="253"/>
      <c r="B62" s="2134"/>
      <c r="C62" s="2135"/>
      <c r="D62" s="2135"/>
      <c r="E62" s="2135"/>
      <c r="F62" s="2135"/>
      <c r="G62" s="2135"/>
      <c r="H62" s="2135"/>
      <c r="I62" s="2135"/>
      <c r="J62" s="2136"/>
    </row>
    <row r="63" spans="1:10" s="181" customFormat="1" x14ac:dyDescent="0.2">
      <c r="A63" s="253"/>
      <c r="B63" s="2134"/>
      <c r="C63" s="2135"/>
      <c r="D63" s="2135"/>
      <c r="E63" s="2135"/>
      <c r="F63" s="2135"/>
      <c r="G63" s="2135"/>
      <c r="H63" s="2135"/>
      <c r="I63" s="2135"/>
      <c r="J63" s="2136"/>
    </row>
    <row r="64" spans="1:10" s="181" customFormat="1" x14ac:dyDescent="0.2">
      <c r="A64" s="253"/>
      <c r="B64" s="2134"/>
      <c r="C64" s="2135"/>
      <c r="D64" s="2135"/>
      <c r="E64" s="2135"/>
      <c r="F64" s="2135"/>
      <c r="G64" s="2135"/>
      <c r="H64" s="2135"/>
      <c r="I64" s="2135"/>
      <c r="J64" s="2136"/>
    </row>
    <row r="65" spans="1:10" s="181" customFormat="1" x14ac:dyDescent="0.2">
      <c r="A65" s="253"/>
      <c r="B65" s="2134"/>
      <c r="C65" s="2135"/>
      <c r="D65" s="2135"/>
      <c r="E65" s="2135"/>
      <c r="F65" s="2135"/>
      <c r="G65" s="2135"/>
      <c r="H65" s="2135"/>
      <c r="I65" s="2135"/>
      <c r="J65" s="2136"/>
    </row>
    <row r="66" spans="1:10" s="181" customFormat="1" x14ac:dyDescent="0.2">
      <c r="A66" s="253"/>
      <c r="B66" s="2134"/>
      <c r="C66" s="2135"/>
      <c r="D66" s="2135"/>
      <c r="E66" s="2135"/>
      <c r="F66" s="2135"/>
      <c r="G66" s="2135"/>
      <c r="H66" s="2135"/>
      <c r="I66" s="2135"/>
      <c r="J66" s="2136"/>
    </row>
    <row r="67" spans="1:10" s="181" customFormat="1" ht="9" customHeight="1" x14ac:dyDescent="0.2">
      <c r="A67" s="254"/>
      <c r="B67" s="2137"/>
      <c r="C67" s="2138"/>
      <c r="D67" s="2138"/>
      <c r="E67" s="2138"/>
      <c r="F67" s="2138"/>
      <c r="G67" s="2138"/>
      <c r="H67" s="2138"/>
      <c r="I67" s="2138"/>
      <c r="J67" s="213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4" t="s">
        <v>1390</v>
      </c>
      <c r="B70" s="2127"/>
      <c r="C70" s="2127"/>
      <c r="D70" s="2127"/>
      <c r="E70" s="2128"/>
      <c r="F70" s="2128"/>
      <c r="G70" s="2128"/>
      <c r="H70" s="2128"/>
      <c r="I70" s="212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9" t="s">
        <v>1387</v>
      </c>
      <c r="B83" s="2129"/>
      <c r="C83" s="2129"/>
      <c r="D83" s="213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11"/>
      <c r="C102" s="2112"/>
      <c r="D102" s="2112"/>
      <c r="E102" s="2112"/>
      <c r="F102" s="2112"/>
      <c r="G102" s="2112"/>
      <c r="H102" s="2112"/>
      <c r="I102" s="2113"/>
    </row>
    <row r="103" spans="1:9" s="181" customFormat="1" ht="11.25" customHeight="1" x14ac:dyDescent="0.2">
      <c r="A103" s="316"/>
      <c r="B103" s="2114"/>
      <c r="C103" s="2115"/>
      <c r="D103" s="2115"/>
      <c r="E103" s="2115"/>
      <c r="F103" s="2115"/>
      <c r="G103" s="2115"/>
      <c r="H103" s="2115"/>
      <c r="I103" s="2116"/>
    </row>
    <row r="104" spans="1:9" s="181" customFormat="1" ht="11.25" customHeight="1" x14ac:dyDescent="0.2">
      <c r="A104" s="316"/>
      <c r="B104" s="2114"/>
      <c r="C104" s="2115"/>
      <c r="D104" s="2115"/>
      <c r="E104" s="2115"/>
      <c r="F104" s="2115"/>
      <c r="G104" s="2115"/>
      <c r="H104" s="2115"/>
      <c r="I104" s="2116"/>
    </row>
    <row r="105" spans="1:9" s="181" customFormat="1" x14ac:dyDescent="0.2">
      <c r="A105" s="316"/>
      <c r="B105" s="2114"/>
      <c r="C105" s="2115"/>
      <c r="D105" s="2115"/>
      <c r="E105" s="2115"/>
      <c r="F105" s="2115"/>
      <c r="G105" s="2115"/>
      <c r="H105" s="2115"/>
      <c r="I105" s="2116"/>
    </row>
    <row r="106" spans="1:9" s="181" customFormat="1" ht="11.25" customHeight="1" x14ac:dyDescent="0.2">
      <c r="A106" s="316"/>
      <c r="B106" s="2114"/>
      <c r="C106" s="2115"/>
      <c r="D106" s="2115"/>
      <c r="E106" s="2115"/>
      <c r="F106" s="2115"/>
      <c r="G106" s="2115"/>
      <c r="H106" s="2115"/>
      <c r="I106" s="2116"/>
    </row>
    <row r="107" spans="1:9" s="181" customFormat="1" ht="11.25" customHeight="1" x14ac:dyDescent="0.2">
      <c r="A107" s="316"/>
      <c r="B107" s="2114"/>
      <c r="C107" s="2115"/>
      <c r="D107" s="2115"/>
      <c r="E107" s="2115"/>
      <c r="F107" s="2115"/>
      <c r="G107" s="2115"/>
      <c r="H107" s="2115"/>
      <c r="I107" s="2116"/>
    </row>
    <row r="108" spans="1:9" s="181" customFormat="1" ht="11.25" customHeight="1" x14ac:dyDescent="0.2">
      <c r="A108" s="316"/>
      <c r="B108" s="2114"/>
      <c r="C108" s="2115"/>
      <c r="D108" s="2115"/>
      <c r="E108" s="2115"/>
      <c r="F108" s="2115"/>
      <c r="G108" s="2115"/>
      <c r="H108" s="2115"/>
      <c r="I108" s="2116"/>
    </row>
    <row r="109" spans="1:9" s="181" customFormat="1" ht="11.25" customHeight="1" x14ac:dyDescent="0.2">
      <c r="A109" s="316"/>
      <c r="B109" s="2114"/>
      <c r="C109" s="2115"/>
      <c r="D109" s="2115"/>
      <c r="E109" s="2115"/>
      <c r="F109" s="2115"/>
      <c r="G109" s="2115"/>
      <c r="H109" s="2115"/>
      <c r="I109" s="2116"/>
    </row>
    <row r="110" spans="1:9" s="181" customFormat="1" ht="11.25" customHeight="1" x14ac:dyDescent="0.2">
      <c r="A110" s="316"/>
      <c r="B110" s="2114"/>
      <c r="C110" s="2115"/>
      <c r="D110" s="2115"/>
      <c r="E110" s="2115"/>
      <c r="F110" s="2115"/>
      <c r="G110" s="2115"/>
      <c r="H110" s="2115"/>
      <c r="I110" s="2116"/>
    </row>
    <row r="111" spans="1:9" s="181" customFormat="1" ht="11.25" customHeight="1" x14ac:dyDescent="0.2">
      <c r="A111" s="316"/>
      <c r="B111" s="2114"/>
      <c r="C111" s="2115"/>
      <c r="D111" s="2115"/>
      <c r="E111" s="2115"/>
      <c r="F111" s="2115"/>
      <c r="G111" s="2115"/>
      <c r="H111" s="2115"/>
      <c r="I111" s="2116"/>
    </row>
    <row r="112" spans="1:9" s="181" customFormat="1" ht="11.25" customHeight="1" x14ac:dyDescent="0.2">
      <c r="A112" s="316"/>
      <c r="B112" s="2117"/>
      <c r="C112" s="2118"/>
      <c r="D112" s="2118"/>
      <c r="E112" s="2118"/>
      <c r="F112" s="2118"/>
      <c r="G112" s="2118"/>
      <c r="H112" s="2118"/>
      <c r="I112" s="211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20" t="s">
        <v>2082</v>
      </c>
      <c r="D114" s="212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21" t="s">
        <v>1397</v>
      </c>
      <c r="D117" s="2122"/>
      <c r="E117" s="2123"/>
      <c r="F117" s="2123"/>
      <c r="G117" s="2123"/>
      <c r="H117" s="2123"/>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2021</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1" right="0.75" top="1.25" bottom="0.75" header="1" footer="0.25"/>
  <pageSetup scale="72" firstPageNumber="2" fitToHeight="2" orientation="portrait" useFirstPageNumber="1" r:id="rId1"/>
  <headerFooter differentOddEven="1" alignWithMargins="0">
    <oddHeader>&amp;L&amp;8Page &amp;P&amp;C &amp;R&amp;8Page &amp;P</oddHeader>
    <oddFooter>&amp;L&amp;8Printed: &amp;D  &amp;F&amp;CReference should be made to accountant's report regarding this information.
52</oddFooter>
    <evenFooter>&amp;CReference should be made to accountant's report regarding this information.
53</evenFooter>
  </headerFooter>
  <rowBreaks count="1" manualBreakCount="1">
    <brk id="69"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84" t="str">
        <f>'Single Audit Cover'!A7</f>
        <v>Tri-City CUSD 1</v>
      </c>
      <c r="B1" s="2461"/>
      <c r="C1" s="2461"/>
      <c r="D1" s="2461"/>
    </row>
    <row r="2" spans="1:11" s="1212" customFormat="1" ht="12.75" x14ac:dyDescent="0.2">
      <c r="A2" s="2485">
        <f>'Single Audit Cover'!E7</f>
        <v>51084001026</v>
      </c>
      <c r="B2" s="2486"/>
      <c r="C2" s="2486"/>
      <c r="D2" s="2486"/>
    </row>
    <row r="3" spans="1:11" s="1212" customFormat="1" ht="12.75" x14ac:dyDescent="0.2">
      <c r="A3" s="2484" t="s">
        <v>1593</v>
      </c>
      <c r="B3" s="2461"/>
      <c r="C3" s="2461"/>
      <c r="D3" s="2461"/>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1947</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88" t="str">
        <f>'Single Audit Cover'!A7</f>
        <v>Tri-City CUSD 1</v>
      </c>
      <c r="B1" s="2488"/>
      <c r="C1" s="2488"/>
      <c r="D1" s="2488"/>
      <c r="E1" s="2488"/>
    </row>
    <row r="2" spans="1:5" x14ac:dyDescent="0.2">
      <c r="A2" s="2489">
        <f>'Single Audit Cover'!E7</f>
        <v>51084001026</v>
      </c>
      <c r="B2" s="2489"/>
      <c r="C2" s="2489"/>
      <c r="D2" s="2489"/>
      <c r="E2" s="2489"/>
    </row>
    <row r="3" spans="1:5" ht="4.5" customHeight="1" x14ac:dyDescent="0.2"/>
    <row r="4" spans="1:5" x14ac:dyDescent="0.2">
      <c r="A4" s="2488" t="s">
        <v>1307</v>
      </c>
      <c r="B4" s="2488"/>
      <c r="C4" s="2488"/>
      <c r="D4" s="2488"/>
      <c r="E4" s="2488"/>
    </row>
    <row r="5" spans="1:5" x14ac:dyDescent="0.2">
      <c r="A5" s="2491" t="str">
        <f>'Single Audit Cover'!A4</f>
        <v>Year Ending June 30, 2018</v>
      </c>
      <c r="B5" s="2491"/>
      <c r="C5" s="2491"/>
      <c r="D5" s="2491"/>
      <c r="E5" s="2491"/>
    </row>
    <row r="6" spans="1:5" x14ac:dyDescent="0.2">
      <c r="A6" s="2488" t="s">
        <v>1306</v>
      </c>
      <c r="B6" s="2488"/>
      <c r="C6" s="2488"/>
      <c r="D6" s="2488"/>
      <c r="E6" s="2488"/>
    </row>
    <row r="8" spans="1:5" x14ac:dyDescent="0.2">
      <c r="A8" s="1257" t="s">
        <v>1305</v>
      </c>
    </row>
    <row r="10" spans="1:5" x14ac:dyDescent="0.2">
      <c r="A10" s="1258" t="s">
        <v>1304</v>
      </c>
      <c r="B10" s="1259" t="s">
        <v>1303</v>
      </c>
      <c r="C10" s="1259"/>
      <c r="D10" s="1260">
        <f>SUM('Acct Summary 7-8'!C7:K7)</f>
        <v>332114</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1830</v>
      </c>
      <c r="B14" s="1259"/>
      <c r="C14" s="1259"/>
      <c r="D14" s="1261">
        <f>'ICR Computation 30'!E11</f>
        <v>15660</v>
      </c>
    </row>
    <row r="15" spans="1:5" x14ac:dyDescent="0.2">
      <c r="A15" s="1258"/>
      <c r="B15" s="1259"/>
      <c r="C15" s="1259"/>
    </row>
    <row r="16" spans="1:5" x14ac:dyDescent="0.2">
      <c r="A16" s="1258" t="s">
        <v>1955</v>
      </c>
      <c r="B16" s="1259"/>
      <c r="C16" s="1259"/>
    </row>
    <row r="17" spans="1:4" x14ac:dyDescent="0.2">
      <c r="A17" s="1258" t="s">
        <v>1601</v>
      </c>
      <c r="B17" s="1259" t="s">
        <v>1298</v>
      </c>
      <c r="C17" s="1259"/>
      <c r="D17" s="1261">
        <f>-SUM('Revenues 9-14'!C271:D271,'Revenues 9-14'!F271:G271)</f>
        <v>-59731</v>
      </c>
    </row>
    <row r="19" spans="1:4" ht="13.5" thickBot="1" x14ac:dyDescent="0.25">
      <c r="A19" s="1262" t="s">
        <v>1297</v>
      </c>
      <c r="D19" s="1263">
        <f>SUM(D10:D17)</f>
        <v>288043</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490"/>
      <c r="B24" s="2490"/>
      <c r="D24" s="1265"/>
    </row>
    <row r="25" spans="1:4" x14ac:dyDescent="0.2">
      <c r="A25" s="2487"/>
      <c r="B25" s="2487"/>
      <c r="D25" s="1265"/>
    </row>
    <row r="26" spans="1:4" x14ac:dyDescent="0.2">
      <c r="A26" s="2487"/>
      <c r="B26" s="2487"/>
      <c r="D26" s="1265"/>
    </row>
    <row r="27" spans="1:4" x14ac:dyDescent="0.2">
      <c r="A27" s="2487"/>
      <c r="B27" s="2487"/>
      <c r="D27" s="1265"/>
    </row>
    <row r="28" spans="1:4" x14ac:dyDescent="0.2">
      <c r="A28" s="2487"/>
      <c r="B28" s="2487"/>
      <c r="D28" s="1265"/>
    </row>
    <row r="29" spans="1:4" x14ac:dyDescent="0.2">
      <c r="A29" s="2487"/>
      <c r="B29" s="2487"/>
      <c r="D29" s="1265"/>
    </row>
    <row r="30" spans="1:4" x14ac:dyDescent="0.2">
      <c r="A30" s="2487"/>
      <c r="B30" s="2487"/>
      <c r="D30" s="1265"/>
    </row>
    <row r="32" spans="1:4" x14ac:dyDescent="0.2">
      <c r="A32" s="1257" t="s">
        <v>1295</v>
      </c>
      <c r="D32" s="1260">
        <f>SUM(D19:D30)</f>
        <v>288043</v>
      </c>
    </row>
    <row r="33" spans="1:4" x14ac:dyDescent="0.2">
      <c r="D33" s="1266"/>
    </row>
    <row r="34" spans="1:4" x14ac:dyDescent="0.2">
      <c r="A34" s="317" t="s">
        <v>1294</v>
      </c>
    </row>
    <row r="35" spans="1:4" x14ac:dyDescent="0.2">
      <c r="A35" s="317" t="s">
        <v>1293</v>
      </c>
      <c r="B35" s="1255" t="s">
        <v>1292</v>
      </c>
      <c r="D35" s="1267"/>
    </row>
    <row r="37" spans="1:4" x14ac:dyDescent="0.2">
      <c r="A37" s="1257" t="s">
        <v>1291</v>
      </c>
    </row>
    <row r="39" spans="1:4" ht="13.35" customHeight="1" x14ac:dyDescent="0.2">
      <c r="A39" s="1264" t="s">
        <v>1290</v>
      </c>
    </row>
    <row r="40" spans="1:4" x14ac:dyDescent="0.2">
      <c r="A40" s="2487"/>
      <c r="B40" s="2487"/>
      <c r="D40" s="1265"/>
    </row>
    <row r="41" spans="1:4" x14ac:dyDescent="0.2">
      <c r="A41" s="2487"/>
      <c r="B41" s="2487"/>
      <c r="D41" s="1268"/>
    </row>
    <row r="42" spans="1:4" x14ac:dyDescent="0.2">
      <c r="A42" s="2487"/>
      <c r="B42" s="2487"/>
      <c r="D42" s="1268"/>
    </row>
    <row r="43" spans="1:4" x14ac:dyDescent="0.2">
      <c r="A43" s="2487"/>
      <c r="B43" s="2487"/>
      <c r="D43" s="1268"/>
    </row>
    <row r="44" spans="1:4" x14ac:dyDescent="0.2">
      <c r="A44" s="2487"/>
      <c r="B44" s="2487"/>
      <c r="D44" s="1268"/>
    </row>
    <row r="45" spans="1:4" x14ac:dyDescent="0.2">
      <c r="A45" s="2487"/>
      <c r="B45" s="2487"/>
      <c r="D45" s="1268"/>
    </row>
    <row r="47" spans="1:4" x14ac:dyDescent="0.2">
      <c r="B47" s="1269" t="s">
        <v>1289</v>
      </c>
      <c r="C47" s="1269"/>
      <c r="D47" s="1270">
        <f>SUM(D35:D45)</f>
        <v>0</v>
      </c>
    </row>
    <row r="49" spans="2:4" x14ac:dyDescent="0.2">
      <c r="B49" s="1269" t="s">
        <v>1288</v>
      </c>
      <c r="C49" s="1269"/>
      <c r="D49" s="1270">
        <f>D32-D47</f>
        <v>288043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501" t="str">
        <f>'Single Audit Cover'!A7</f>
        <v>Tri-City CUSD 1</v>
      </c>
      <c r="B1" s="2501"/>
      <c r="C1" s="2501"/>
      <c r="D1" s="2501"/>
      <c r="E1" s="2501"/>
      <c r="F1" s="2501"/>
    </row>
    <row r="2" spans="1:7" ht="13.5" customHeight="1" x14ac:dyDescent="0.2">
      <c r="A2" s="2502">
        <f>'Single Audit Cover'!E7</f>
        <v>51084001026</v>
      </c>
      <c r="B2" s="2502"/>
      <c r="C2" s="2502"/>
      <c r="D2" s="2502"/>
      <c r="E2" s="2502"/>
      <c r="F2" s="2502"/>
      <c r="G2" s="1272"/>
    </row>
    <row r="3" spans="1:7" ht="15.75" customHeight="1" x14ac:dyDescent="0.2">
      <c r="A3" s="2503" t="s">
        <v>1333</v>
      </c>
      <c r="B3" s="2503"/>
      <c r="C3" s="2503"/>
      <c r="D3" s="2503"/>
      <c r="E3" s="2503"/>
      <c r="F3" s="2503"/>
    </row>
    <row r="4" spans="1:7" ht="13.5" customHeight="1" x14ac:dyDescent="0.2">
      <c r="A4" s="2504" t="str">
        <f>'Single Audit Cover'!A4</f>
        <v>Year Ending June 30, 2018</v>
      </c>
      <c r="B4" s="2504"/>
      <c r="C4" s="2504"/>
      <c r="D4" s="2504"/>
      <c r="E4" s="2504"/>
      <c r="F4" s="2504"/>
    </row>
    <row r="5" spans="1:7" ht="8.25" customHeight="1" x14ac:dyDescent="0.2">
      <c r="C5" s="317"/>
      <c r="D5" s="317"/>
    </row>
    <row r="6" spans="1:7" ht="13.5" customHeight="1" x14ac:dyDescent="0.2">
      <c r="A6" s="1273" t="s">
        <v>1831</v>
      </c>
      <c r="C6" s="317"/>
      <c r="D6" s="317"/>
    </row>
    <row r="7" spans="1:7" ht="60.95" customHeight="1" x14ac:dyDescent="0.2">
      <c r="A7" s="2500" t="s">
        <v>1832</v>
      </c>
      <c r="B7" s="2500"/>
      <c r="C7" s="2500"/>
      <c r="D7" s="2500"/>
      <c r="E7" s="2500"/>
      <c r="F7" s="2500"/>
    </row>
    <row r="8" spans="1:7" ht="12" customHeight="1" x14ac:dyDescent="0.2">
      <c r="A8" s="1273"/>
      <c r="B8" s="1279"/>
      <c r="C8" s="1279"/>
      <c r="D8" s="1279"/>
    </row>
    <row r="9" spans="1:7" ht="15" customHeight="1" x14ac:dyDescent="0.2">
      <c r="A9" s="1274" t="s">
        <v>1833</v>
      </c>
      <c r="B9" s="1277"/>
      <c r="C9" s="1277"/>
      <c r="D9" s="1277"/>
      <c r="E9" s="1275"/>
      <c r="F9" s="1275"/>
      <c r="G9" s="1275"/>
    </row>
    <row r="10" spans="1:7" ht="15" customHeight="1" x14ac:dyDescent="0.2">
      <c r="A10" s="1276" t="s">
        <v>1628</v>
      </c>
      <c r="B10" s="1277"/>
      <c r="C10" s="1278"/>
      <c r="D10" s="1277" t="s">
        <v>1629</v>
      </c>
      <c r="E10" s="1278"/>
      <c r="F10" s="1277" t="s">
        <v>101</v>
      </c>
      <c r="G10" s="1275"/>
    </row>
    <row r="11" spans="1:7" ht="12" customHeight="1" x14ac:dyDescent="0.2">
      <c r="A11" s="1276"/>
      <c r="B11" s="1277"/>
      <c r="C11" s="1924"/>
      <c r="D11" s="1277"/>
      <c r="E11" s="1924"/>
      <c r="F11" s="1277"/>
      <c r="G11" s="1275"/>
    </row>
    <row r="12" spans="1:7" x14ac:dyDescent="0.2">
      <c r="A12" s="1273" t="s">
        <v>1669</v>
      </c>
      <c r="C12" s="1257"/>
      <c r="D12" s="1257"/>
    </row>
    <row r="13" spans="1:7" ht="15" customHeight="1" x14ac:dyDescent="0.2">
      <c r="A13" s="2500" t="s">
        <v>1834</v>
      </c>
      <c r="B13" s="2500"/>
      <c r="C13" s="2500"/>
      <c r="D13" s="2500"/>
      <c r="E13" s="2500"/>
      <c r="F13" s="2500"/>
    </row>
    <row r="14" spans="1:7" ht="9.75" customHeight="1" x14ac:dyDescent="0.2">
      <c r="C14" s="1257"/>
      <c r="D14" s="1257"/>
    </row>
    <row r="15" spans="1:7" ht="13.5" customHeight="1" x14ac:dyDescent="0.2">
      <c r="C15" s="1868" t="s">
        <v>1332</v>
      </c>
      <c r="D15" s="2498" t="s">
        <v>1331</v>
      </c>
      <c r="E15" s="2498"/>
      <c r="F15" s="2498"/>
    </row>
    <row r="16" spans="1:7" ht="13.5" customHeight="1" x14ac:dyDescent="0.2">
      <c r="A16" s="1279"/>
      <c r="B16" s="1273" t="s">
        <v>1330</v>
      </c>
      <c r="C16" s="1868" t="s">
        <v>1329</v>
      </c>
      <c r="D16" s="2499" t="s">
        <v>1670</v>
      </c>
      <c r="E16" s="2499"/>
      <c r="F16" s="2499"/>
    </row>
    <row r="17" spans="1:6" ht="20.45" customHeight="1" x14ac:dyDescent="0.2">
      <c r="A17" s="1280"/>
      <c r="B17" s="1281"/>
      <c r="C17" s="1282"/>
      <c r="D17" s="2493"/>
      <c r="E17" s="2493"/>
      <c r="F17" s="2493"/>
    </row>
    <row r="18" spans="1:6" ht="20.65" customHeight="1" x14ac:dyDescent="0.2">
      <c r="A18" s="1280"/>
      <c r="B18" s="1281"/>
      <c r="C18" s="1282"/>
      <c r="D18" s="2493"/>
      <c r="E18" s="2493"/>
      <c r="F18" s="2493"/>
    </row>
    <row r="19" spans="1:6" ht="20.65" customHeight="1" x14ac:dyDescent="0.2">
      <c r="A19" s="1280"/>
      <c r="B19" s="1281"/>
      <c r="C19" s="1282"/>
      <c r="D19" s="2493"/>
      <c r="E19" s="2493"/>
      <c r="F19" s="2493"/>
    </row>
    <row r="20" spans="1:6" ht="20.65" customHeight="1" x14ac:dyDescent="0.2">
      <c r="A20" s="1280"/>
      <c r="B20" s="1281"/>
      <c r="C20" s="1282"/>
      <c r="D20" s="2493"/>
      <c r="E20" s="2493"/>
      <c r="F20" s="2493"/>
    </row>
    <row r="21" spans="1:6" ht="20.65" customHeight="1" x14ac:dyDescent="0.2">
      <c r="A21" s="1280"/>
      <c r="B21" s="1281"/>
      <c r="C21" s="1282"/>
      <c r="D21" s="2493"/>
      <c r="E21" s="2493"/>
      <c r="F21" s="2493"/>
    </row>
    <row r="22" spans="1:6" ht="20.65" customHeight="1" x14ac:dyDescent="0.2">
      <c r="A22" s="1280"/>
      <c r="B22" s="1281"/>
      <c r="C22" s="1282"/>
      <c r="D22" s="2493"/>
      <c r="E22" s="2493"/>
      <c r="F22" s="2493"/>
    </row>
    <row r="23" spans="1:6" ht="20.65" customHeight="1" x14ac:dyDescent="0.2">
      <c r="A23" s="1280"/>
      <c r="B23" s="1281"/>
      <c r="C23" s="1282"/>
      <c r="D23" s="2493"/>
      <c r="E23" s="2493"/>
      <c r="F23" s="2493"/>
    </row>
    <row r="24" spans="1:6" ht="20.65" customHeight="1" x14ac:dyDescent="0.2">
      <c r="A24" s="1280"/>
      <c r="B24" s="1281"/>
      <c r="C24" s="1282"/>
      <c r="D24" s="2493"/>
      <c r="E24" s="2493"/>
      <c r="F24" s="2493"/>
    </row>
    <row r="25" spans="1:6" ht="20.65" customHeight="1" x14ac:dyDescent="0.2">
      <c r="A25" s="1280"/>
      <c r="B25" s="1281"/>
      <c r="C25" s="1282"/>
      <c r="D25" s="2493"/>
      <c r="E25" s="2493"/>
      <c r="F25" s="2493"/>
    </row>
    <row r="26" spans="1:6" ht="20.65" customHeight="1" x14ac:dyDescent="0.2">
      <c r="A26" s="1280"/>
      <c r="B26" s="1281"/>
      <c r="C26" s="1282"/>
      <c r="D26" s="2493"/>
      <c r="E26" s="2493"/>
      <c r="F26" s="2493"/>
    </row>
    <row r="27" spans="1:6" ht="20.65" customHeight="1" x14ac:dyDescent="0.2">
      <c r="A27" s="1280"/>
      <c r="B27" s="1281"/>
      <c r="C27" s="1282"/>
      <c r="D27" s="2493"/>
      <c r="E27" s="2493"/>
      <c r="F27" s="2493"/>
    </row>
    <row r="28" spans="1:6" ht="20.65" customHeight="1" x14ac:dyDescent="0.2">
      <c r="A28" s="1280"/>
      <c r="B28" s="1281"/>
      <c r="C28" s="1282"/>
      <c r="D28" s="2493"/>
      <c r="E28" s="2493"/>
      <c r="F28" s="2493"/>
    </row>
    <row r="29" spans="1:6" ht="20.65" customHeight="1" x14ac:dyDescent="0.2">
      <c r="A29" s="1280"/>
      <c r="B29" s="1281"/>
      <c r="C29" s="1282"/>
      <c r="D29" s="2493"/>
      <c r="E29" s="2493"/>
      <c r="F29" s="2493"/>
    </row>
    <row r="30" spans="1:6" ht="12" customHeight="1" x14ac:dyDescent="0.2">
      <c r="A30" s="328"/>
      <c r="B30" s="328"/>
      <c r="C30" s="1475"/>
      <c r="D30" s="1925"/>
      <c r="E30" s="1283"/>
    </row>
    <row r="31" spans="1:6" ht="12" customHeight="1" x14ac:dyDescent="0.2">
      <c r="A31" s="1284" t="s">
        <v>1630</v>
      </c>
      <c r="B31" s="328"/>
      <c r="C31" s="1475"/>
      <c r="D31" s="1925"/>
      <c r="E31" s="1283"/>
    </row>
    <row r="32" spans="1:6" ht="30" customHeight="1" x14ac:dyDescent="0.2">
      <c r="A32" s="2494" t="s">
        <v>1835</v>
      </c>
      <c r="B32" s="2494"/>
      <c r="C32" s="2494"/>
      <c r="D32" s="2494"/>
      <c r="E32" s="2494"/>
      <c r="F32" s="2494"/>
    </row>
    <row r="33" spans="1:6" ht="13.5" customHeight="1" x14ac:dyDescent="0.2">
      <c r="A33" s="328" t="s">
        <v>1509</v>
      </c>
      <c r="B33" s="328"/>
      <c r="C33" s="1285">
        <v>0</v>
      </c>
      <c r="D33" s="1925"/>
      <c r="E33" s="1283"/>
    </row>
    <row r="34" spans="1:6" ht="13.5" customHeight="1" x14ac:dyDescent="0.2">
      <c r="A34" s="328" t="s">
        <v>1948</v>
      </c>
      <c r="B34" s="328"/>
      <c r="C34" s="1286">
        <v>0</v>
      </c>
      <c r="D34" s="1925" t="s">
        <v>1671</v>
      </c>
      <c r="E34" s="2495">
        <f>+C33+C34</f>
        <v>0</v>
      </c>
      <c r="F34" s="2496"/>
    </row>
    <row r="35" spans="1:6" ht="12" customHeight="1" x14ac:dyDescent="0.2">
      <c r="A35" s="328"/>
      <c r="B35" s="328"/>
      <c r="C35" s="1926"/>
      <c r="D35" s="1925"/>
      <c r="E35" s="1287"/>
      <c r="F35" s="1288"/>
    </row>
    <row r="36" spans="1:6" ht="13.5" customHeight="1" x14ac:dyDescent="0.2">
      <c r="A36" s="1284" t="s">
        <v>1631</v>
      </c>
      <c r="B36" s="328"/>
      <c r="C36" s="1475"/>
      <c r="D36" s="1925"/>
      <c r="E36" s="1283"/>
    </row>
    <row r="37" spans="1:6" ht="14.25" customHeight="1" x14ac:dyDescent="0.2">
      <c r="A37" s="328" t="s">
        <v>1563</v>
      </c>
      <c r="B37" s="328"/>
      <c r="C37" s="1927"/>
      <c r="D37" s="1925"/>
      <c r="E37" s="1283"/>
    </row>
    <row r="38" spans="1:6" ht="14.25" customHeight="1" x14ac:dyDescent="0.2">
      <c r="A38" s="328"/>
      <c r="B38" s="328" t="s">
        <v>1510</v>
      </c>
      <c r="C38" s="1289"/>
      <c r="D38" s="1925"/>
      <c r="E38" s="1283"/>
    </row>
    <row r="39" spans="1:6" ht="14.25" customHeight="1" x14ac:dyDescent="0.2">
      <c r="A39" s="328"/>
      <c r="B39" s="328" t="s">
        <v>1511</v>
      </c>
      <c r="C39" s="1289"/>
      <c r="D39" s="1925"/>
      <c r="E39" s="1283"/>
    </row>
    <row r="40" spans="1:6" ht="14.25" customHeight="1" x14ac:dyDescent="0.2">
      <c r="A40" s="328"/>
      <c r="B40" s="328" t="s">
        <v>1512</v>
      </c>
      <c r="C40" s="1289"/>
      <c r="D40" s="1925"/>
      <c r="E40" s="1283"/>
    </row>
    <row r="41" spans="1:6" ht="14.25" customHeight="1" x14ac:dyDescent="0.2">
      <c r="A41" s="328"/>
      <c r="B41" s="328" t="s">
        <v>1513</v>
      </c>
      <c r="C41" s="1289"/>
      <c r="D41" s="1925"/>
      <c r="E41" s="1283"/>
    </row>
    <row r="42" spans="1:6" ht="14.25" customHeight="1" x14ac:dyDescent="0.2">
      <c r="A42" s="328" t="s">
        <v>1514</v>
      </c>
      <c r="B42" s="328"/>
      <c r="C42" s="1923"/>
      <c r="D42" s="1925"/>
      <c r="E42" s="1283"/>
    </row>
    <row r="43" spans="1:6" ht="14.25" customHeight="1" x14ac:dyDescent="0.2">
      <c r="A43" s="328" t="s">
        <v>1515</v>
      </c>
      <c r="B43" s="328"/>
      <c r="C43" s="1290"/>
      <c r="D43" s="1925"/>
      <c r="E43" s="1283"/>
    </row>
    <row r="44" spans="1:6" ht="14.25" customHeight="1" x14ac:dyDescent="0.2">
      <c r="A44" s="328"/>
      <c r="B44" s="328"/>
      <c r="C44" s="1927" t="s">
        <v>1516</v>
      </c>
      <c r="D44" s="1925"/>
      <c r="E44" s="1283"/>
    </row>
    <row r="45" spans="1:6" ht="13.5" customHeight="1" x14ac:dyDescent="0.2">
      <c r="B45" s="322"/>
      <c r="C45" s="1291"/>
      <c r="D45" s="1291"/>
    </row>
    <row r="46" spans="1:6" x14ac:dyDescent="0.2">
      <c r="A46" s="1292" t="s">
        <v>1836</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97" t="s">
        <v>1672</v>
      </c>
      <c r="C49" s="2497"/>
      <c r="D49" s="2497"/>
      <c r="E49" s="1396"/>
    </row>
    <row r="50" spans="1:5" s="1297" customFormat="1" ht="3.75" customHeight="1" x14ac:dyDescent="0.2">
      <c r="A50" s="1296"/>
      <c r="B50" s="1867"/>
      <c r="C50" s="1867"/>
      <c r="D50" s="1867"/>
      <c r="E50" s="1396"/>
    </row>
    <row r="51" spans="1:5" s="1297" customFormat="1" ht="20.25" customHeight="1" x14ac:dyDescent="0.2">
      <c r="A51" s="1298">
        <v>6</v>
      </c>
      <c r="B51" s="2492" t="s">
        <v>1632</v>
      </c>
      <c r="C51" s="2492"/>
      <c r="D51" s="2492"/>
    </row>
    <row r="52" spans="1:5" ht="14.25" customHeight="1" x14ac:dyDescent="0.2">
      <c r="A52" s="1298"/>
      <c r="B52" s="2492"/>
      <c r="C52" s="2492"/>
      <c r="D52" s="249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71" t="str">
        <f>'Single Audit Cover'!A7</f>
        <v>Tri-City CUSD 1</v>
      </c>
      <c r="C1" s="2505"/>
      <c r="D1" s="2505"/>
      <c r="E1" s="2505"/>
      <c r="F1" s="2505"/>
      <c r="G1" s="2505"/>
      <c r="H1" s="2505"/>
      <c r="I1" s="2505"/>
      <c r="J1" s="2505"/>
      <c r="K1" s="2505"/>
      <c r="L1" s="2505"/>
      <c r="M1" s="2505"/>
    </row>
    <row r="2" spans="2:14" ht="15" x14ac:dyDescent="0.2">
      <c r="B2" s="2502">
        <f>'Single Audit Cover'!E7</f>
        <v>51084001026</v>
      </c>
      <c r="C2" s="2502"/>
      <c r="D2" s="2502"/>
      <c r="E2" s="2502"/>
      <c r="F2" s="2502"/>
      <c r="G2" s="2502"/>
      <c r="H2" s="2502"/>
      <c r="I2" s="2502"/>
      <c r="J2" s="2502"/>
      <c r="K2" s="2502"/>
      <c r="L2" s="2502"/>
      <c r="M2" s="2502"/>
      <c r="N2" s="1299"/>
    </row>
    <row r="3" spans="2:14" ht="15" x14ac:dyDescent="0.2">
      <c r="B3" s="2506" t="s">
        <v>1281</v>
      </c>
      <c r="C3" s="2506"/>
      <c r="D3" s="2506"/>
      <c r="E3" s="2506"/>
      <c r="F3" s="2506"/>
      <c r="G3" s="2506"/>
      <c r="H3" s="2506"/>
      <c r="I3" s="2506"/>
      <c r="J3" s="2506"/>
      <c r="K3" s="2506"/>
      <c r="L3" s="2506"/>
      <c r="M3" s="2506"/>
      <c r="N3" s="1299"/>
    </row>
    <row r="4" spans="2:14" ht="15" x14ac:dyDescent="0.2">
      <c r="B4" s="2507" t="str">
        <f>'Single Audit Cover'!A4</f>
        <v>Year Ending June 30, 2018</v>
      </c>
      <c r="C4" s="2507"/>
      <c r="D4" s="2507"/>
      <c r="E4" s="2507"/>
      <c r="F4" s="2507"/>
      <c r="G4" s="2507"/>
      <c r="H4" s="2507"/>
      <c r="I4" s="2507"/>
      <c r="J4" s="2507"/>
      <c r="K4" s="2507"/>
      <c r="L4" s="2507"/>
      <c r="M4" s="2507"/>
      <c r="N4" s="1299"/>
    </row>
    <row r="6" spans="2:14" x14ac:dyDescent="0.2">
      <c r="B6" s="1300"/>
      <c r="C6" s="1301"/>
      <c r="D6" s="1302" t="s">
        <v>1327</v>
      </c>
      <c r="E6" s="1303" t="s">
        <v>548</v>
      </c>
      <c r="F6" s="1304"/>
      <c r="G6" s="1305" t="s">
        <v>1837</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1949</v>
      </c>
      <c r="K8" s="1316" t="s">
        <v>1323</v>
      </c>
      <c r="L8" s="1317" t="s">
        <v>1319</v>
      </c>
      <c r="M8" s="1318" t="s">
        <v>30</v>
      </c>
    </row>
    <row r="9" spans="2:14" ht="14.25" x14ac:dyDescent="0.2">
      <c r="B9" s="1322" t="s">
        <v>1321</v>
      </c>
      <c r="C9" s="1310" t="s">
        <v>1838</v>
      </c>
      <c r="D9" s="1311" t="s">
        <v>1839</v>
      </c>
      <c r="E9" s="1319" t="s">
        <v>1663</v>
      </c>
      <c r="F9" s="1320" t="s">
        <v>1949</v>
      </c>
      <c r="G9" s="1321" t="s">
        <v>1663</v>
      </c>
      <c r="H9" s="1314" t="s">
        <v>1664</v>
      </c>
      <c r="I9" s="1316" t="s">
        <v>1949</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1840</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1950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1841</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1842</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1844</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9" t="str">
        <f>'Single Audit Cover'!A7</f>
        <v>Tri-City CUSD 1</v>
      </c>
      <c r="C1" s="2520"/>
      <c r="D1" s="2520"/>
      <c r="E1" s="2520"/>
      <c r="F1" s="2520"/>
      <c r="G1" s="2520"/>
      <c r="H1" s="2520"/>
      <c r="I1" s="2520"/>
      <c r="J1" s="1419"/>
    </row>
    <row r="2" spans="2:10" s="317" customFormat="1" ht="12.75" customHeight="1" x14ac:dyDescent="0.2">
      <c r="B2" s="2521">
        <f>'Single Audit Cover'!E7</f>
        <v>51084001026</v>
      </c>
      <c r="C2" s="2522"/>
      <c r="D2" s="2522"/>
      <c r="E2" s="2522"/>
      <c r="F2" s="2522"/>
      <c r="G2" s="2522"/>
      <c r="H2" s="2522"/>
      <c r="I2" s="2522"/>
      <c r="J2" s="1419"/>
    </row>
    <row r="3" spans="2:10" s="317" customFormat="1" ht="12.75" customHeight="1" x14ac:dyDescent="0.2">
      <c r="B3" s="2523" t="s">
        <v>1347</v>
      </c>
      <c r="C3" s="2524"/>
      <c r="D3" s="2524"/>
      <c r="E3" s="2524"/>
      <c r="F3" s="2524"/>
      <c r="G3" s="2524"/>
      <c r="H3" s="2524"/>
      <c r="I3" s="2524"/>
      <c r="J3" s="1420"/>
    </row>
    <row r="4" spans="2:10" s="317" customFormat="1" ht="12.75" customHeight="1" x14ac:dyDescent="0.2">
      <c r="B4" s="2523" t="str">
        <f>'Single Audit Cover'!A4</f>
        <v>Year Ending June 30, 2018</v>
      </c>
      <c r="C4" s="2524"/>
      <c r="D4" s="2524"/>
      <c r="E4" s="2524"/>
      <c r="F4" s="2524"/>
      <c r="G4" s="2524"/>
      <c r="H4" s="2524"/>
      <c r="I4" s="2524"/>
    </row>
    <row r="5" spans="2:10" s="317" customFormat="1" ht="6.2" customHeight="1" x14ac:dyDescent="0.2">
      <c r="B5" s="1421" t="s">
        <v>1231</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523" t="s">
        <v>1346</v>
      </c>
      <c r="C7" s="2524"/>
      <c r="D7" s="2524"/>
      <c r="E7" s="2524"/>
      <c r="F7" s="2524"/>
      <c r="G7" s="2524"/>
      <c r="H7" s="2524"/>
      <c r="I7" s="2524"/>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1345</v>
      </c>
      <c r="C10" s="1428"/>
      <c r="D10" s="1428"/>
      <c r="E10" s="1255"/>
    </row>
    <row r="11" spans="2:10" s="317" customFormat="1" ht="13.5" customHeight="1" x14ac:dyDescent="0.2">
      <c r="B11" s="1346" t="s">
        <v>1344</v>
      </c>
      <c r="C11" s="2525"/>
      <c r="D11" s="2525"/>
      <c r="E11" s="1429"/>
      <c r="F11" s="1429"/>
      <c r="G11" s="1429"/>
    </row>
    <row r="12" spans="2:10" s="317" customFormat="1" ht="11.45" customHeight="1" x14ac:dyDescent="0.2">
      <c r="B12" s="1354"/>
      <c r="C12" s="1430" t="s">
        <v>1517</v>
      </c>
      <c r="D12" s="1431"/>
      <c r="E12" s="1255"/>
    </row>
    <row r="13" spans="2:10" s="317" customFormat="1" ht="12.75" customHeight="1" x14ac:dyDescent="0.2">
      <c r="B13" s="1432"/>
      <c r="C13" s="1384"/>
      <c r="D13" s="1384"/>
      <c r="E13" s="1255"/>
    </row>
    <row r="14" spans="2:10" s="317" customFormat="1" ht="12.75" customHeight="1" x14ac:dyDescent="0.2">
      <c r="B14" s="1365" t="s">
        <v>1343</v>
      </c>
      <c r="C14" s="1279"/>
      <c r="E14" s="1255"/>
    </row>
    <row r="15" spans="2:10" s="317" customFormat="1" ht="13.5" customHeight="1" x14ac:dyDescent="0.2">
      <c r="B15" s="1433" t="s">
        <v>1340</v>
      </c>
      <c r="C15" s="1434"/>
      <c r="D15" s="1395"/>
      <c r="E15" s="1435"/>
      <c r="F15" s="1297" t="s">
        <v>940</v>
      </c>
      <c r="G15" s="1435"/>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1339</v>
      </c>
      <c r="C17" s="1434"/>
      <c r="D17" s="1395"/>
      <c r="E17" s="1436"/>
      <c r="F17" s="1254"/>
      <c r="G17" s="1436"/>
      <c r="H17" s="1297"/>
      <c r="I17" s="1297"/>
    </row>
    <row r="18" spans="2:9" s="317" customFormat="1" ht="12.75" customHeight="1" x14ac:dyDescent="0.2">
      <c r="B18" s="1433" t="s">
        <v>1518</v>
      </c>
      <c r="C18" s="1434"/>
      <c r="D18" s="1395"/>
      <c r="E18" s="1435"/>
      <c r="F18" s="1297" t="s">
        <v>940</v>
      </c>
      <c r="G18" s="1435"/>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1673</v>
      </c>
      <c r="C20" s="1434"/>
      <c r="D20" s="1395"/>
      <c r="E20" s="1435"/>
      <c r="F20" s="1297" t="s">
        <v>940</v>
      </c>
      <c r="G20" s="1435"/>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3" t="s">
        <v>1340</v>
      </c>
      <c r="C24" s="1434"/>
      <c r="D24" s="1395"/>
      <c r="E24" s="1435"/>
      <c r="F24" s="1297" t="s">
        <v>940</v>
      </c>
      <c r="G24" s="1435"/>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1339</v>
      </c>
      <c r="C26" s="1434"/>
      <c r="D26" s="1395"/>
      <c r="E26" s="1436"/>
      <c r="F26" s="1254"/>
      <c r="G26" s="1436"/>
      <c r="H26" s="1297"/>
      <c r="I26" s="1297"/>
    </row>
    <row r="27" spans="2:9" s="317" customFormat="1" ht="12.75" customHeight="1" x14ac:dyDescent="0.2">
      <c r="B27" s="1433" t="s">
        <v>1518</v>
      </c>
      <c r="C27" s="1434"/>
      <c r="D27" s="1395"/>
      <c r="E27" s="1435"/>
      <c r="F27" s="1297" t="s">
        <v>940</v>
      </c>
      <c r="G27" s="1435"/>
      <c r="H27" s="1297" t="s">
        <v>1338</v>
      </c>
      <c r="I27" s="1297"/>
    </row>
    <row r="28" spans="2:9" s="317" customFormat="1" ht="12.75" customHeight="1" x14ac:dyDescent="0.2">
      <c r="B28" s="1365"/>
      <c r="C28" s="1279"/>
      <c r="E28" s="1255"/>
    </row>
    <row r="29" spans="2:9" s="317" customFormat="1" ht="12.75" customHeight="1" x14ac:dyDescent="0.2">
      <c r="B29" s="1365" t="s">
        <v>1337</v>
      </c>
      <c r="C29" s="1279"/>
      <c r="D29" s="2526"/>
      <c r="E29" s="2526"/>
      <c r="F29" s="2526"/>
      <c r="G29" s="2526"/>
      <c r="H29" s="2526"/>
      <c r="I29" s="2526"/>
    </row>
    <row r="30" spans="2:9" s="317" customFormat="1" x14ac:dyDescent="0.2">
      <c r="B30" s="1365"/>
      <c r="C30" s="322"/>
      <c r="D30" s="1430" t="s">
        <v>1851</v>
      </c>
      <c r="E30" s="1431"/>
      <c r="F30" s="1431"/>
      <c r="G30" s="1431"/>
      <c r="H30" s="1431"/>
      <c r="I30" s="1431"/>
    </row>
    <row r="31" spans="2:9" s="317" customFormat="1" ht="9.9499999999999993" customHeight="1" x14ac:dyDescent="0.2">
      <c r="B31" s="1365"/>
      <c r="E31" s="1255"/>
    </row>
    <row r="32" spans="2:9" s="317" customFormat="1" x14ac:dyDescent="0.2">
      <c r="B32" s="1365" t="s">
        <v>1336</v>
      </c>
      <c r="C32" s="1279"/>
      <c r="E32" s="1255"/>
    </row>
    <row r="33" spans="2:9" ht="13.5" customHeight="1" x14ac:dyDescent="0.2">
      <c r="B33" s="1365" t="s">
        <v>1633</v>
      </c>
      <c r="C33" s="1279"/>
      <c r="E33" s="1435"/>
      <c r="F33" s="1297" t="s">
        <v>940</v>
      </c>
      <c r="G33" s="1435"/>
      <c r="H33" s="1297" t="s">
        <v>101</v>
      </c>
    </row>
    <row r="35" spans="2:9" x14ac:dyDescent="0.2">
      <c r="B35" s="1438" t="s">
        <v>1852</v>
      </c>
      <c r="C35" s="1439"/>
      <c r="D35" s="1264"/>
    </row>
    <row r="36" spans="2:9" ht="6" customHeight="1" x14ac:dyDescent="0.2">
      <c r="B36" s="1438"/>
      <c r="C36" s="1439"/>
      <c r="D36" s="1264"/>
    </row>
    <row r="37" spans="2:9" ht="17.25" customHeight="1" x14ac:dyDescent="0.2">
      <c r="B37" s="1440" t="s">
        <v>1853</v>
      </c>
      <c r="C37" s="2527" t="s">
        <v>1854</v>
      </c>
      <c r="D37" s="2528"/>
      <c r="E37" s="2528"/>
      <c r="F37" s="2529"/>
      <c r="G37" s="2527" t="s">
        <v>1674</v>
      </c>
      <c r="H37" s="2528"/>
      <c r="I37" s="2529"/>
    </row>
    <row r="38" spans="2:9" ht="16.5" customHeight="1" x14ac:dyDescent="0.2">
      <c r="B38" s="1441"/>
      <c r="C38" s="2515"/>
      <c r="D38" s="2516"/>
      <c r="E38" s="2516"/>
      <c r="F38" s="2517"/>
      <c r="G38" s="2530"/>
      <c r="H38" s="2531"/>
      <c r="I38" s="2532"/>
    </row>
    <row r="39" spans="2:9" ht="16.5" customHeight="1" x14ac:dyDescent="0.2">
      <c r="B39" s="1441"/>
      <c r="C39" s="2515"/>
      <c r="D39" s="2516"/>
      <c r="E39" s="2516"/>
      <c r="F39" s="2517"/>
      <c r="G39" s="2518"/>
      <c r="H39" s="2518"/>
      <c r="I39" s="2518"/>
    </row>
    <row r="40" spans="2:9" ht="16.5" customHeight="1" x14ac:dyDescent="0.2">
      <c r="B40" s="1441"/>
      <c r="C40" s="2515"/>
      <c r="D40" s="2516"/>
      <c r="E40" s="2516"/>
      <c r="F40" s="2517"/>
      <c r="G40" s="2518"/>
      <c r="H40" s="2518"/>
      <c r="I40" s="2518"/>
    </row>
    <row r="41" spans="2:9" ht="16.5" customHeight="1" x14ac:dyDescent="0.2">
      <c r="B41" s="1441"/>
      <c r="C41" s="2515"/>
      <c r="D41" s="2516"/>
      <c r="E41" s="2516"/>
      <c r="F41" s="2517"/>
      <c r="G41" s="2518"/>
      <c r="H41" s="2518"/>
      <c r="I41" s="2518"/>
    </row>
    <row r="42" spans="2:9" ht="16.5" customHeight="1" x14ac:dyDescent="0.2">
      <c r="B42" s="1441"/>
      <c r="C42" s="2515"/>
      <c r="D42" s="2516"/>
      <c r="E42" s="2516"/>
      <c r="F42" s="2517"/>
      <c r="G42" s="2518"/>
      <c r="H42" s="2518"/>
      <c r="I42" s="2518"/>
    </row>
    <row r="43" spans="2:9" ht="16.5" customHeight="1" x14ac:dyDescent="0.2">
      <c r="B43" s="1441"/>
      <c r="C43" s="2508" t="s">
        <v>1675</v>
      </c>
      <c r="D43" s="2509"/>
      <c r="E43" s="2509"/>
      <c r="F43" s="2510"/>
      <c r="G43" s="2511">
        <f>SUM(G38:I42)</f>
        <v>0</v>
      </c>
      <c r="H43" s="2511"/>
      <c r="I43" s="2511"/>
    </row>
    <row r="44" spans="2:9" ht="12.75" customHeight="1" x14ac:dyDescent="0.2"/>
    <row r="45" spans="2:9" ht="12.75" customHeight="1" x14ac:dyDescent="0.2">
      <c r="B45" s="1432" t="s">
        <v>1951</v>
      </c>
      <c r="D45" s="2512">
        <v>0</v>
      </c>
      <c r="E45" s="2513"/>
    </row>
    <row r="46" spans="2:9" ht="5.25" customHeight="1" x14ac:dyDescent="0.2">
      <c r="B46" s="1442"/>
      <c r="D46" s="1443"/>
      <c r="E46" s="1444"/>
    </row>
    <row r="47" spans="2:9" ht="12.75" customHeight="1" x14ac:dyDescent="0.2">
      <c r="B47" s="1297" t="s">
        <v>1676</v>
      </c>
      <c r="C47" s="1297"/>
      <c r="D47" s="1445" t="e">
        <f>+G43/D45</f>
        <v>#DIV/0!</v>
      </c>
      <c r="E47" s="1446"/>
      <c r="F47" s="1447"/>
      <c r="I47" s="1448"/>
    </row>
    <row r="48" spans="2:9" ht="9.9499999999999993" customHeight="1" x14ac:dyDescent="0.2"/>
    <row r="49" spans="1:9" x14ac:dyDescent="0.2">
      <c r="B49" s="1365" t="s">
        <v>1335</v>
      </c>
      <c r="C49" s="1279"/>
      <c r="D49" s="1279"/>
      <c r="E49" s="2514"/>
      <c r="F49" s="2514"/>
      <c r="G49" s="2514"/>
      <c r="H49" s="322"/>
    </row>
    <row r="51" spans="1:9" ht="13.5" customHeight="1" x14ac:dyDescent="0.2">
      <c r="B51" s="1365" t="s">
        <v>1334</v>
      </c>
      <c r="C51" s="1279"/>
      <c r="E51" s="1435"/>
      <c r="F51" s="1297" t="s">
        <v>940</v>
      </c>
      <c r="G51" s="1435"/>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1855</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1856</v>
      </c>
      <c r="C58" s="1461"/>
      <c r="D58" s="1461"/>
    </row>
    <row r="59" spans="1:9" s="1458" customFormat="1" ht="3.95" customHeight="1" x14ac:dyDescent="0.2">
      <c r="A59" s="1455"/>
      <c r="B59" s="1460"/>
      <c r="C59" s="1461"/>
      <c r="D59" s="1461"/>
    </row>
    <row r="60" spans="1:9" s="1458" customFormat="1" ht="13.5" customHeight="1" x14ac:dyDescent="0.2">
      <c r="A60" s="1455"/>
      <c r="B60" s="1460" t="s">
        <v>1857</v>
      </c>
      <c r="C60" s="1461"/>
      <c r="D60" s="1461"/>
    </row>
    <row r="61" spans="1:9" s="1458" customFormat="1" ht="3.95" customHeight="1" x14ac:dyDescent="0.2">
      <c r="A61" s="1455"/>
      <c r="B61" s="1460"/>
      <c r="C61" s="1461"/>
      <c r="D61" s="1461"/>
    </row>
    <row r="62" spans="1:9" s="1458" customFormat="1" ht="12.75" customHeight="1" x14ac:dyDescent="0.2">
      <c r="A62" s="1455"/>
      <c r="B62" s="1460" t="s">
        <v>1858</v>
      </c>
      <c r="C62" s="1461"/>
      <c r="D62" s="1461"/>
    </row>
    <row r="63" spans="1:9" s="1458" customFormat="1" ht="13.5" customHeight="1" x14ac:dyDescent="0.2">
      <c r="A63" s="1455"/>
      <c r="B63" s="1459" t="s">
        <v>1679</v>
      </c>
      <c r="C63" s="1455"/>
      <c r="D63" s="145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9" t="str">
        <f>'Single Audit Cover'!A7</f>
        <v>Tri-City CUSD 1</v>
      </c>
      <c r="C1" s="2519"/>
      <c r="D1" s="2519"/>
      <c r="E1" s="2519"/>
      <c r="F1" s="2519"/>
      <c r="G1" s="2519"/>
      <c r="H1" s="2519"/>
      <c r="I1" s="2519"/>
      <c r="J1" s="2519"/>
      <c r="K1" s="2519"/>
      <c r="L1" s="1371"/>
      <c r="M1" s="1371"/>
    </row>
    <row r="2" spans="1:13" ht="12" customHeight="1" x14ac:dyDescent="0.2">
      <c r="B2" s="2521">
        <f>'Single Audit Cover'!E7</f>
        <v>51084001026</v>
      </c>
      <c r="C2" s="2521"/>
      <c r="D2" s="2521"/>
      <c r="E2" s="2521"/>
      <c r="F2" s="2521"/>
      <c r="G2" s="2521"/>
      <c r="H2" s="2521"/>
      <c r="I2" s="2521"/>
      <c r="J2" s="2521"/>
      <c r="K2" s="2521"/>
      <c r="L2" s="1372"/>
      <c r="M2" s="1373"/>
    </row>
    <row r="3" spans="1:13" ht="10.35" customHeight="1" x14ac:dyDescent="0.2">
      <c r="B3" s="2535" t="s">
        <v>1347</v>
      </c>
      <c r="C3" s="2535"/>
      <c r="D3" s="2535"/>
      <c r="E3" s="2535"/>
      <c r="F3" s="2535"/>
      <c r="G3" s="2535"/>
      <c r="H3" s="2535"/>
      <c r="I3" s="2535"/>
      <c r="J3" s="2535"/>
      <c r="K3" s="2535"/>
      <c r="L3" s="1374"/>
      <c r="M3" s="1374"/>
    </row>
    <row r="4" spans="1:13" ht="14.25" customHeight="1" x14ac:dyDescent="0.2">
      <c r="B4" s="2536" t="str">
        <f>'Single Audit Cover'!A4</f>
        <v>Year Ending June 30, 2018</v>
      </c>
      <c r="C4" s="2536"/>
      <c r="D4" s="2536"/>
      <c r="E4" s="2536"/>
      <c r="F4" s="2536"/>
      <c r="G4" s="2536"/>
      <c r="H4" s="2536"/>
      <c r="I4" s="2536"/>
      <c r="J4" s="2536"/>
      <c r="K4" s="2536"/>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36" t="s">
        <v>1363</v>
      </c>
      <c r="C7" s="2536"/>
      <c r="D7" s="2537"/>
      <c r="E7" s="2537"/>
      <c r="F7" s="2537"/>
      <c r="G7" s="2537"/>
      <c r="H7" s="2537"/>
      <c r="I7" s="2537"/>
      <c r="J7" s="2537"/>
      <c r="K7" s="253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1845</v>
      </c>
      <c r="C10" s="1382" t="s">
        <v>1952</v>
      </c>
      <c r="D10" s="1383"/>
      <c r="E10" s="322"/>
      <c r="F10" s="1384" t="s">
        <v>1362</v>
      </c>
      <c r="G10" s="1385"/>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534"/>
      <c r="C14" s="2534"/>
      <c r="D14" s="2534"/>
      <c r="E14" s="2534"/>
      <c r="F14" s="2534"/>
      <c r="G14" s="2534"/>
      <c r="H14" s="2534"/>
      <c r="I14" s="2534"/>
      <c r="J14" s="2534"/>
      <c r="K14" s="253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534"/>
      <c r="C17" s="2534"/>
      <c r="D17" s="2534"/>
      <c r="E17" s="2534"/>
      <c r="F17" s="2534"/>
      <c r="G17" s="2534"/>
      <c r="H17" s="2534"/>
      <c r="I17" s="2534"/>
      <c r="J17" s="2534"/>
      <c r="K17" s="2534"/>
      <c r="L17" s="1378"/>
    </row>
    <row r="18" spans="2:12" ht="4.5" customHeight="1" x14ac:dyDescent="0.2">
      <c r="B18" s="1395"/>
      <c r="C18" s="1395"/>
      <c r="L18" s="1378"/>
    </row>
    <row r="19" spans="2:12" s="1279" customFormat="1" ht="13.5" customHeight="1" x14ac:dyDescent="0.2">
      <c r="B19" s="1390" t="s">
        <v>1846</v>
      </c>
      <c r="C19" s="1390"/>
      <c r="D19" s="1391"/>
      <c r="E19" s="1391"/>
      <c r="F19" s="1391"/>
      <c r="G19" s="1392"/>
      <c r="H19" s="1391"/>
      <c r="I19" s="1392"/>
      <c r="J19" s="1391"/>
      <c r="K19" s="1391"/>
      <c r="L19" s="1393"/>
    </row>
    <row r="20" spans="2:12" ht="45.75" customHeight="1" x14ac:dyDescent="0.2">
      <c r="B20" s="2538"/>
      <c r="C20" s="2538"/>
      <c r="D20" s="2534"/>
      <c r="E20" s="2534"/>
      <c r="F20" s="2534"/>
      <c r="G20" s="2534"/>
      <c r="H20" s="2534"/>
      <c r="I20" s="2534"/>
      <c r="J20" s="2534"/>
      <c r="K20" s="2534"/>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534"/>
      <c r="C23" s="2534"/>
      <c r="D23" s="2534"/>
      <c r="E23" s="2534"/>
      <c r="F23" s="2534"/>
      <c r="G23" s="2534"/>
      <c r="H23" s="2534"/>
      <c r="I23" s="2534"/>
      <c r="J23" s="2534"/>
      <c r="K23" s="2534"/>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534"/>
      <c r="C26" s="2534"/>
      <c r="D26" s="2534"/>
      <c r="E26" s="2534"/>
      <c r="F26" s="2534"/>
      <c r="G26" s="2534"/>
      <c r="H26" s="2534"/>
      <c r="I26" s="2534"/>
      <c r="J26" s="2534"/>
      <c r="K26" s="2534"/>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533"/>
      <c r="C29" s="2533"/>
      <c r="D29" s="2534"/>
      <c r="E29" s="2534"/>
      <c r="F29" s="2534"/>
      <c r="G29" s="2534"/>
      <c r="H29" s="2534"/>
      <c r="I29" s="2534"/>
      <c r="J29" s="2534"/>
      <c r="K29" s="253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1847</v>
      </c>
      <c r="C31" s="1400"/>
      <c r="D31" s="1375"/>
      <c r="E31" s="1376"/>
      <c r="F31" s="1376"/>
      <c r="G31" s="1377"/>
      <c r="H31" s="1376"/>
      <c r="I31" s="1377"/>
      <c r="J31" s="1376"/>
      <c r="K31" s="1376"/>
      <c r="L31" s="1378"/>
    </row>
    <row r="32" spans="2:12" s="322" customFormat="1" ht="44.25" customHeight="1" x14ac:dyDescent="0.2">
      <c r="B32" s="2533"/>
      <c r="C32" s="2533"/>
      <c r="D32" s="2534"/>
      <c r="E32" s="2534"/>
      <c r="F32" s="2534"/>
      <c r="G32" s="2534"/>
      <c r="H32" s="2534"/>
      <c r="I32" s="2534"/>
      <c r="J32" s="2534"/>
      <c r="K32" s="2534"/>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1848</v>
      </c>
      <c r="C35" s="1416"/>
      <c r="D35" s="322"/>
      <c r="E35" s="322"/>
      <c r="F35" s="322"/>
      <c r="L35" s="1378"/>
    </row>
    <row r="36" spans="1:13" ht="9.6" customHeight="1" x14ac:dyDescent="0.2">
      <c r="B36" s="1297" t="s">
        <v>1953</v>
      </c>
      <c r="C36" s="1297"/>
      <c r="L36" s="1378"/>
    </row>
    <row r="37" spans="1:13" ht="9.6" customHeight="1" x14ac:dyDescent="0.2">
      <c r="B37" s="1297" t="s">
        <v>1954</v>
      </c>
      <c r="C37" s="1297"/>
    </row>
    <row r="38" spans="1:13" ht="11.85" customHeight="1" x14ac:dyDescent="0.2">
      <c r="B38" s="1417" t="s">
        <v>1849</v>
      </c>
      <c r="C38" s="1417"/>
    </row>
    <row r="39" spans="1:13" ht="9.6" customHeight="1" x14ac:dyDescent="0.2">
      <c r="B39" s="1297" t="s">
        <v>1348</v>
      </c>
      <c r="C39" s="1297"/>
      <c r="M39" s="1418"/>
    </row>
    <row r="40" spans="1:13" ht="12.6" customHeight="1" x14ac:dyDescent="0.2">
      <c r="B40" s="1417" t="s">
        <v>1850</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2" t="str">
        <f>'Single Audit Cover'!A7</f>
        <v>Tri-City CUSD 1</v>
      </c>
      <c r="C1" s="2542"/>
      <c r="D1" s="2542"/>
      <c r="E1" s="2542"/>
      <c r="F1" s="2542"/>
      <c r="G1" s="2542"/>
      <c r="H1" s="2542"/>
      <c r="I1" s="2542"/>
      <c r="J1" s="2542"/>
      <c r="K1" s="2542"/>
      <c r="L1" s="1462"/>
    </row>
    <row r="2" spans="1:12" ht="12.75" customHeight="1" x14ac:dyDescent="0.2">
      <c r="B2" s="2543">
        <f>'Single Audit Cover'!E7</f>
        <v>51084001026</v>
      </c>
      <c r="C2" s="2543"/>
      <c r="D2" s="2543"/>
      <c r="E2" s="2543"/>
      <c r="F2" s="2543"/>
      <c r="G2" s="2543"/>
      <c r="H2" s="2543"/>
      <c r="I2" s="2543"/>
      <c r="J2" s="2543"/>
      <c r="K2" s="2543"/>
      <c r="L2" s="1463"/>
    </row>
    <row r="3" spans="1:12" ht="12.75" customHeight="1" x14ac:dyDescent="0.2">
      <c r="B3" s="2535" t="s">
        <v>1347</v>
      </c>
      <c r="C3" s="2535"/>
      <c r="D3" s="2535"/>
      <c r="E3" s="2535"/>
      <c r="F3" s="2535"/>
      <c r="G3" s="2535"/>
      <c r="H3" s="2535"/>
      <c r="I3" s="2535"/>
      <c r="J3" s="2535"/>
      <c r="K3" s="2535"/>
      <c r="L3" s="1374"/>
    </row>
    <row r="4" spans="1:12" ht="12.75" customHeight="1" x14ac:dyDescent="0.2">
      <c r="B4" s="2535" t="str">
        <f>'Single Audit Cover'!A4</f>
        <v>Year Ending June 30, 2018</v>
      </c>
      <c r="C4" s="2535"/>
      <c r="D4" s="2535"/>
      <c r="E4" s="2535"/>
      <c r="F4" s="2535"/>
      <c r="G4" s="2535"/>
      <c r="H4" s="2535"/>
      <c r="I4" s="2535"/>
      <c r="J4" s="2535"/>
      <c r="K4" s="2535"/>
      <c r="L4" s="1374"/>
    </row>
    <row r="5" spans="1:12" ht="5.25" customHeight="1" x14ac:dyDescent="0.2">
      <c r="B5" s="1257" t="s">
        <v>1231</v>
      </c>
      <c r="C5" s="1257"/>
      <c r="L5" s="322"/>
    </row>
    <row r="6" spans="1:12" ht="30.75" customHeight="1" x14ac:dyDescent="0.2">
      <c r="A6" s="322"/>
      <c r="B6" s="2544" t="s">
        <v>1375</v>
      </c>
      <c r="C6" s="2544"/>
      <c r="D6" s="2544"/>
      <c r="E6" s="2544"/>
      <c r="F6" s="2544"/>
      <c r="G6" s="2544"/>
      <c r="H6" s="2544"/>
      <c r="I6" s="2544"/>
      <c r="J6" s="2544"/>
      <c r="K6" s="2544"/>
      <c r="L6" s="322"/>
    </row>
    <row r="7" spans="1:12" ht="4.5" customHeight="1" x14ac:dyDescent="0.2">
      <c r="B7" s="1376"/>
      <c r="C7" s="1376"/>
      <c r="D7" s="1376"/>
      <c r="E7" s="1376"/>
      <c r="F7" s="1376"/>
      <c r="G7" s="1377"/>
      <c r="H7" s="1376"/>
      <c r="I7" s="1377"/>
      <c r="J7" s="1376"/>
      <c r="K7" s="1376"/>
      <c r="L7" s="322"/>
    </row>
    <row r="8" spans="1:12" ht="13.5" customHeight="1" x14ac:dyDescent="0.2">
      <c r="B8" s="1384" t="s">
        <v>1859</v>
      </c>
      <c r="C8" s="1464" t="s">
        <v>1952</v>
      </c>
      <c r="D8" s="1465"/>
      <c r="E8" s="322"/>
      <c r="F8" s="1381" t="s">
        <v>1362</v>
      </c>
      <c r="G8" s="1466"/>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526"/>
      <c r="G12" s="2526"/>
      <c r="H12" s="2526"/>
      <c r="I12" s="2526"/>
      <c r="J12" s="2526"/>
      <c r="K12" s="2526"/>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539"/>
      <c r="E14" s="2539"/>
      <c r="F14" s="2539"/>
      <c r="H14" s="1472" t="s">
        <v>1370</v>
      </c>
      <c r="I14" s="2540"/>
      <c r="J14" s="2540"/>
      <c r="K14" s="2540"/>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540"/>
      <c r="E16" s="2540"/>
      <c r="F16" s="2540"/>
      <c r="G16" s="2540"/>
      <c r="H16" s="2540"/>
      <c r="I16" s="2540"/>
      <c r="J16" s="2540"/>
      <c r="K16" s="2540"/>
      <c r="L16" s="322"/>
    </row>
    <row r="17" spans="2:12" ht="13.5" customHeight="1" x14ac:dyDescent="0.2">
      <c r="B17" s="1384" t="s">
        <v>1368</v>
      </c>
      <c r="C17" s="1384"/>
      <c r="D17" s="2541"/>
      <c r="E17" s="2541"/>
      <c r="F17" s="2541"/>
      <c r="G17" s="2541"/>
      <c r="H17" s="2541"/>
      <c r="I17" s="2541"/>
      <c r="J17" s="2541"/>
      <c r="K17" s="2541"/>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534"/>
      <c r="C20" s="2534"/>
      <c r="D20" s="2534"/>
      <c r="E20" s="2534"/>
      <c r="F20" s="2534"/>
      <c r="G20" s="2534"/>
      <c r="H20" s="2534"/>
      <c r="I20" s="2534"/>
      <c r="J20" s="2534"/>
      <c r="K20" s="2534"/>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1860</v>
      </c>
      <c r="C22" s="1474"/>
      <c r="D22" s="322"/>
      <c r="E22" s="322"/>
      <c r="F22" s="322"/>
      <c r="G22" s="1380"/>
      <c r="H22" s="322"/>
      <c r="I22" s="1380"/>
      <c r="J22" s="322"/>
      <c r="K22" s="322"/>
      <c r="L22" s="322"/>
    </row>
    <row r="23" spans="2:12" ht="37.5" customHeight="1" x14ac:dyDescent="0.2">
      <c r="B23" s="2534"/>
      <c r="C23" s="2534"/>
      <c r="D23" s="2534"/>
      <c r="E23" s="2534"/>
      <c r="F23" s="2534"/>
      <c r="G23" s="2534"/>
      <c r="H23" s="2534"/>
      <c r="I23" s="2534"/>
      <c r="J23" s="2534"/>
      <c r="K23" s="2534"/>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1861</v>
      </c>
      <c r="C25" s="1474"/>
      <c r="D25" s="322"/>
      <c r="E25" s="322"/>
      <c r="F25" s="322"/>
      <c r="G25" s="1380"/>
      <c r="H25" s="322"/>
      <c r="I25" s="1380"/>
      <c r="J25" s="322"/>
      <c r="K25" s="322"/>
      <c r="L25" s="322"/>
    </row>
    <row r="26" spans="2:12" ht="37.5" customHeight="1" x14ac:dyDescent="0.2">
      <c r="B26" s="2534"/>
      <c r="C26" s="2534"/>
      <c r="D26" s="2534"/>
      <c r="E26" s="2534"/>
      <c r="F26" s="2534"/>
      <c r="G26" s="2534"/>
      <c r="H26" s="2534"/>
      <c r="I26" s="2534"/>
      <c r="J26" s="2534"/>
      <c r="K26" s="2534"/>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1862</v>
      </c>
      <c r="C28" s="1474"/>
      <c r="D28" s="322"/>
      <c r="E28" s="322"/>
      <c r="F28" s="322"/>
      <c r="G28" s="1380"/>
      <c r="H28" s="322"/>
      <c r="I28" s="1380"/>
      <c r="J28" s="322"/>
      <c r="K28" s="322"/>
      <c r="L28" s="322"/>
    </row>
    <row r="29" spans="2:12" ht="37.5" customHeight="1" x14ac:dyDescent="0.2">
      <c r="B29" s="2534"/>
      <c r="C29" s="2534"/>
      <c r="D29" s="2534"/>
      <c r="E29" s="2534"/>
      <c r="F29" s="2534"/>
      <c r="G29" s="2534"/>
      <c r="H29" s="2534"/>
      <c r="I29" s="2534"/>
      <c r="J29" s="2534"/>
      <c r="K29" s="2534"/>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5" customHeight="1" x14ac:dyDescent="0.2">
      <c r="B32" s="2534"/>
      <c r="C32" s="2534"/>
      <c r="D32" s="2534"/>
      <c r="E32" s="2534"/>
      <c r="F32" s="2534"/>
      <c r="G32" s="2534"/>
      <c r="H32" s="2534"/>
      <c r="I32" s="2534"/>
      <c r="J32" s="2534"/>
      <c r="K32" s="2534"/>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534"/>
      <c r="C35" s="2534"/>
      <c r="D35" s="2534"/>
      <c r="E35" s="2534"/>
      <c r="F35" s="2534"/>
      <c r="G35" s="2534"/>
      <c r="H35" s="2534"/>
      <c r="I35" s="2534"/>
      <c r="J35" s="2534"/>
      <c r="K35" s="2534"/>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534"/>
      <c r="C38" s="2534"/>
      <c r="D38" s="2534"/>
      <c r="E38" s="2534"/>
      <c r="F38" s="2534"/>
      <c r="G38" s="2534"/>
      <c r="H38" s="2534"/>
      <c r="I38" s="2534"/>
      <c r="J38" s="2534"/>
      <c r="K38" s="253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1863</v>
      </c>
      <c r="C40" s="1400"/>
      <c r="D40" s="1375"/>
      <c r="E40" s="1376"/>
      <c r="F40" s="1376"/>
      <c r="G40" s="1377"/>
      <c r="H40" s="1376"/>
      <c r="I40" s="1377"/>
      <c r="J40" s="1376"/>
      <c r="K40" s="1376"/>
    </row>
    <row r="41" spans="2:12" s="322" customFormat="1" ht="33.75" customHeight="1" x14ac:dyDescent="0.2">
      <c r="B41" s="2534"/>
      <c r="C41" s="2534"/>
      <c r="D41" s="2534"/>
      <c r="E41" s="2534"/>
      <c r="F41" s="2534"/>
      <c r="G41" s="2534"/>
      <c r="H41" s="2534"/>
      <c r="I41" s="2534"/>
      <c r="J41" s="2534"/>
      <c r="K41" s="2534"/>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1864</v>
      </c>
      <c r="C48" s="1416"/>
      <c r="D48" s="322"/>
      <c r="E48" s="322"/>
      <c r="F48" s="322"/>
    </row>
    <row r="49" spans="2:3" s="317" customFormat="1" ht="10.5" customHeight="1" x14ac:dyDescent="0.2">
      <c r="B49" s="1417" t="s">
        <v>1865</v>
      </c>
      <c r="C49" s="1417"/>
    </row>
    <row r="50" spans="2:3" s="317" customFormat="1" ht="11.1" customHeight="1" x14ac:dyDescent="0.2">
      <c r="B50" s="1417" t="s">
        <v>1866</v>
      </c>
      <c r="C50" s="1417"/>
    </row>
    <row r="51" spans="2:3" s="317" customFormat="1" ht="11.1" customHeight="1" x14ac:dyDescent="0.2">
      <c r="B51" s="1417" t="s">
        <v>1867</v>
      </c>
      <c r="C51" s="1417"/>
    </row>
    <row r="52" spans="2:3" s="317" customFormat="1" ht="11.1" customHeight="1" x14ac:dyDescent="0.2">
      <c r="B52" s="1417" t="s">
        <v>1868</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19" t="str">
        <f>'Single Audit Cover'!A7</f>
        <v>Tri-City CUSD 1</v>
      </c>
      <c r="C1" s="2519"/>
      <c r="D1" s="2519"/>
      <c r="E1" s="1488"/>
    </row>
    <row r="2" spans="2:5" s="1279" customFormat="1" ht="12.75" customHeight="1" x14ac:dyDescent="0.2">
      <c r="B2" s="2521">
        <f>'Single Audit Cover'!E7</f>
        <v>51084001026</v>
      </c>
      <c r="C2" s="2521"/>
      <c r="D2" s="2521"/>
      <c r="E2" s="1489"/>
    </row>
    <row r="3" spans="2:5" ht="12.75" customHeight="1" x14ac:dyDescent="0.2">
      <c r="B3" s="2535" t="s">
        <v>1869</v>
      </c>
      <c r="C3" s="2535"/>
      <c r="D3" s="2535"/>
      <c r="E3" s="1271"/>
    </row>
    <row r="4" spans="2:5" s="1279" customFormat="1" ht="12.75" customHeight="1" x14ac:dyDescent="0.2">
      <c r="B4" s="2545" t="str">
        <f>'Single Audit Cover'!A4</f>
        <v>Year Ending June 30, 2018</v>
      </c>
      <c r="C4" s="2545"/>
      <c r="D4" s="2545"/>
      <c r="E4" s="1490"/>
    </row>
    <row r="5" spans="2:5" s="1279" customFormat="1" ht="40.15" customHeight="1" x14ac:dyDescent="0.2">
      <c r="B5" s="1491" t="s">
        <v>1870</v>
      </c>
      <c r="C5" s="328"/>
      <c r="D5" s="328"/>
      <c r="E5" s="328"/>
    </row>
    <row r="6" spans="2:5" s="1279" customFormat="1" ht="13.5" customHeight="1" x14ac:dyDescent="0.2">
      <c r="B6" s="1492" t="s">
        <v>1382</v>
      </c>
      <c r="C6" s="1492" t="s">
        <v>1381</v>
      </c>
      <c r="D6" s="1492" t="s">
        <v>1871</v>
      </c>
    </row>
    <row r="7" spans="2:5" ht="13.5" customHeight="1" x14ac:dyDescent="0.2">
      <c r="B7" s="1493"/>
      <c r="C7" s="324"/>
      <c r="D7" s="324"/>
      <c r="E7" s="324"/>
    </row>
    <row r="8" spans="2:5" ht="13.5" customHeight="1" x14ac:dyDescent="0.2">
      <c r="B8" s="1493"/>
      <c r="C8" s="324"/>
      <c r="D8" s="324"/>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1380</v>
      </c>
      <c r="C44" s="322"/>
    </row>
    <row r="45" spans="2:5" ht="12.2" customHeight="1" x14ac:dyDescent="0.2">
      <c r="B45" s="1502" t="s">
        <v>1872</v>
      </c>
    </row>
    <row r="46" spans="2:5" ht="12.2" customHeight="1" x14ac:dyDescent="0.2">
      <c r="B46" s="1502" t="s">
        <v>1873</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72"/>
  <sheetViews>
    <sheetView showGridLines="0" defaultGridColor="0" colorId="8" zoomScale="110" zoomScaleNormal="110" workbookViewId="0">
      <selection activeCell="B36" sqref="B3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40" t="s">
        <v>404</v>
      </c>
      <c r="B1" s="2140"/>
      <c r="C1" s="2140"/>
      <c r="D1" s="2140"/>
      <c r="E1" s="2140"/>
      <c r="F1" s="2140"/>
      <c r="G1" s="2140"/>
      <c r="H1" s="2140"/>
      <c r="I1" s="2140"/>
      <c r="J1" s="2140"/>
      <c r="K1" s="2140"/>
      <c r="L1" s="2140"/>
      <c r="M1" s="214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82491736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2.8822E-2</v>
      </c>
      <c r="E10" s="356" t="s">
        <v>1062</v>
      </c>
      <c r="F10" s="355">
        <v>3.7090000000000001E-3</v>
      </c>
      <c r="G10" s="356" t="s">
        <v>1062</v>
      </c>
      <c r="H10" s="355">
        <v>2.4729999999999999E-3</v>
      </c>
      <c r="I10" s="356" t="s">
        <v>1063</v>
      </c>
      <c r="J10" s="1751">
        <f>ROUND(D10+F10+H10,5)</f>
        <v>3.5000000000000003E-2</v>
      </c>
      <c r="K10" s="222"/>
      <c r="L10" s="355">
        <v>2.4800000000000001E-4</v>
      </c>
      <c r="M10" s="222"/>
    </row>
    <row r="11" spans="1:14" ht="7.5" customHeight="1" x14ac:dyDescent="0.2">
      <c r="B11" s="222"/>
      <c r="C11" s="222"/>
      <c r="D11" s="2150" t="str">
        <f>IF(SUM(J10)&lt;=0.0999999,"","Enter the Tax Rates by moving the decimal two places to the left.")</f>
        <v/>
      </c>
      <c r="E11" s="2151"/>
      <c r="F11" s="2151"/>
      <c r="G11" s="2151"/>
      <c r="H11" s="2151"/>
      <c r="I11" s="2151"/>
      <c r="J11" s="215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5259068</v>
      </c>
      <c r="E16" s="356"/>
      <c r="F16" s="1752">
        <f>SUM('Acct Summary 7-8'!C17,'Acct Summary 7-8'!D17,'Acct Summary 7-8'!F17)</f>
        <v>4875911</v>
      </c>
      <c r="G16" s="356"/>
      <c r="H16" s="1752">
        <f>SUM(D16-F16)</f>
        <v>383157</v>
      </c>
      <c r="I16" s="222"/>
      <c r="J16" s="1752">
        <f>SUM('Acct Summary 7-8'!C81,'Acct Summary 7-8'!D81,'Acct Summary 7-8'!F81,'Acct Summary 7-8'!I81)</f>
        <v>2644804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11383859.568000002</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4580000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41"/>
      <c r="C54" s="2142"/>
      <c r="D54" s="2142"/>
      <c r="E54" s="2142"/>
      <c r="F54" s="2142"/>
      <c r="G54" s="2142"/>
      <c r="H54" s="2142"/>
      <c r="I54" s="2142"/>
      <c r="J54" s="2142"/>
      <c r="K54" s="2142"/>
      <c r="L54" s="2143"/>
      <c r="M54" s="380"/>
    </row>
    <row r="55" spans="1:13" ht="12.75" customHeight="1" x14ac:dyDescent="0.2">
      <c r="B55" s="2144"/>
      <c r="C55" s="2145"/>
      <c r="D55" s="2145"/>
      <c r="E55" s="2145"/>
      <c r="F55" s="2145"/>
      <c r="G55" s="2145"/>
      <c r="H55" s="2145"/>
      <c r="I55" s="2145"/>
      <c r="J55" s="2145"/>
      <c r="K55" s="2145"/>
      <c r="L55" s="2146"/>
      <c r="M55" s="380"/>
    </row>
    <row r="56" spans="1:13" ht="12.75" customHeight="1" x14ac:dyDescent="0.2">
      <c r="B56" s="2144"/>
      <c r="C56" s="2145"/>
      <c r="D56" s="2145"/>
      <c r="E56" s="2145"/>
      <c r="F56" s="2145"/>
      <c r="G56" s="2145"/>
      <c r="H56" s="2145"/>
      <c r="I56" s="2145"/>
      <c r="J56" s="2145"/>
      <c r="K56" s="2145"/>
      <c r="L56" s="2146"/>
      <c r="M56" s="222"/>
    </row>
    <row r="57" spans="1:13" ht="12.75" customHeight="1" x14ac:dyDescent="0.2">
      <c r="B57" s="2144"/>
      <c r="C57" s="2145"/>
      <c r="D57" s="2145"/>
      <c r="E57" s="2145"/>
      <c r="F57" s="2145"/>
      <c r="G57" s="2145"/>
      <c r="H57" s="2145"/>
      <c r="I57" s="2145"/>
      <c r="J57" s="2145"/>
      <c r="K57" s="2145"/>
      <c r="L57" s="2146"/>
      <c r="M57" s="222"/>
    </row>
    <row r="58" spans="1:13" x14ac:dyDescent="0.2">
      <c r="B58" s="2147"/>
      <c r="C58" s="2148"/>
      <c r="D58" s="2148"/>
      <c r="E58" s="2148"/>
      <c r="F58" s="2148"/>
      <c r="G58" s="2148"/>
      <c r="H58" s="2148"/>
      <c r="I58" s="2148"/>
      <c r="J58" s="2148"/>
      <c r="K58" s="2148"/>
      <c r="L58" s="214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52"/>
      <c r="D61" s="215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orizontalCentered="1" headings="1"/>
  <pageMargins left="1" right="0.75" top="1.25" bottom="0.75" header="1" footer="0.25"/>
  <pageSetup scale="85" firstPageNumber="3" orientation="portrait" useFirstPageNumber="1" r:id="rId1"/>
  <headerFooter alignWithMargins="0">
    <oddHeader>&amp;L&amp;8Page &amp;P&amp;C &amp;R&amp;8Page &amp;P</oddHeader>
    <oddFooter>&amp;L&amp;8Printed: &amp;D
&amp;F&amp;CReference should be made to accountant's report regarding this information.
54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44"/>
  <sheetViews>
    <sheetView showGridLines="0" topLeftCell="A13"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5"/>
      <c r="B1" s="2156"/>
      <c r="C1" s="2156"/>
      <c r="D1" s="384"/>
      <c r="E1" s="384"/>
      <c r="F1" s="384"/>
      <c r="G1" s="384"/>
      <c r="H1" s="384"/>
      <c r="I1" s="384"/>
      <c r="J1" s="384"/>
      <c r="K1" s="384"/>
      <c r="L1" s="384"/>
      <c r="M1" s="384"/>
      <c r="N1" s="384"/>
      <c r="O1" s="2155"/>
      <c r="P1" s="2156"/>
      <c r="Q1" s="2156"/>
    </row>
    <row r="2" spans="1:18" ht="15" x14ac:dyDescent="0.2">
      <c r="A2" s="2159" t="s">
        <v>577</v>
      </c>
      <c r="B2" s="2159"/>
      <c r="C2" s="2159"/>
      <c r="D2" s="2159"/>
      <c r="E2" s="2159"/>
      <c r="F2" s="2159"/>
      <c r="G2" s="2159"/>
      <c r="H2" s="2159"/>
      <c r="I2" s="2159"/>
      <c r="J2" s="2159"/>
      <c r="K2" s="2159"/>
      <c r="L2" s="2159"/>
      <c r="M2" s="2159"/>
      <c r="N2" s="2159"/>
      <c r="O2" s="2159"/>
      <c r="P2" s="2159"/>
      <c r="Q2" s="2159"/>
      <c r="R2" s="2159"/>
    </row>
    <row r="3" spans="1:18" ht="12.75" x14ac:dyDescent="0.2">
      <c r="A3" s="2160" t="s">
        <v>1480</v>
      </c>
      <c r="B3" s="2160"/>
      <c r="C3" s="2160"/>
      <c r="D3" s="2160"/>
      <c r="E3" s="2160"/>
      <c r="F3" s="2160"/>
      <c r="G3" s="2160"/>
      <c r="H3" s="2160"/>
      <c r="I3" s="2160"/>
      <c r="J3" s="2160"/>
      <c r="K3" s="2160"/>
      <c r="L3" s="2160"/>
      <c r="M3" s="2160"/>
      <c r="N3" s="2160"/>
      <c r="O3" s="2160"/>
      <c r="P3" s="2160"/>
      <c r="Q3" s="2160"/>
      <c r="R3" s="2160"/>
    </row>
    <row r="4" spans="1:18" x14ac:dyDescent="0.2">
      <c r="A4" s="2161" t="s">
        <v>1635</v>
      </c>
      <c r="B4" s="2161"/>
      <c r="C4" s="2161"/>
      <c r="D4" s="2161"/>
      <c r="E4" s="2161"/>
      <c r="F4" s="2161"/>
      <c r="G4" s="2161"/>
      <c r="H4" s="2161"/>
      <c r="I4" s="2161"/>
      <c r="J4" s="2161"/>
      <c r="K4" s="2161"/>
      <c r="L4" s="2161"/>
      <c r="M4" s="2161"/>
      <c r="N4" s="2161"/>
      <c r="O4" s="2161"/>
      <c r="P4" s="2161"/>
      <c r="Q4" s="2161"/>
      <c r="R4" s="216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Tri-City CUSD 1</v>
      </c>
      <c r="E7" s="391"/>
      <c r="G7" s="252"/>
      <c r="H7" s="387"/>
      <c r="I7" s="387"/>
      <c r="J7" s="387"/>
      <c r="K7" s="387"/>
      <c r="L7" s="329"/>
      <c r="M7" s="329"/>
      <c r="N7" s="329"/>
      <c r="O7" s="329"/>
      <c r="P7" s="329"/>
    </row>
    <row r="8" spans="1:18" ht="12.75" x14ac:dyDescent="0.2">
      <c r="A8" s="329"/>
      <c r="B8" s="329"/>
      <c r="C8" s="389" t="s">
        <v>1187</v>
      </c>
      <c r="D8" s="392">
        <f>COVER!A13</f>
        <v>51084001026</v>
      </c>
      <c r="E8" s="393"/>
      <c r="G8" s="329"/>
      <c r="H8" s="329"/>
      <c r="I8" s="329"/>
      <c r="J8" s="329"/>
      <c r="K8" s="329"/>
      <c r="L8" s="329"/>
      <c r="M8" s="329"/>
      <c r="N8" s="329"/>
      <c r="O8" s="329"/>
      <c r="P8" s="329"/>
    </row>
    <row r="9" spans="1:18" ht="12.75" x14ac:dyDescent="0.2">
      <c r="A9" s="329"/>
      <c r="B9" s="329"/>
      <c r="C9" s="389" t="s">
        <v>737</v>
      </c>
      <c r="D9" s="394" t="str">
        <f>COVER!A15</f>
        <v>Sangamon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2644804</v>
      </c>
      <c r="I12" s="404"/>
      <c r="J12" s="404"/>
      <c r="K12" s="405">
        <f>TRUNC((H12/H13*100000),5)/100000</f>
        <v>0.50290355620000005</v>
      </c>
      <c r="L12" s="406"/>
      <c r="M12" s="360" t="s">
        <v>1206</v>
      </c>
      <c r="N12" s="360"/>
      <c r="O12" s="407">
        <v>0.35</v>
      </c>
      <c r="P12" s="218"/>
      <c r="Q12" s="218"/>
    </row>
    <row r="13" spans="1:18" s="408" customFormat="1" ht="12.75" x14ac:dyDescent="0.2">
      <c r="A13" s="218"/>
      <c r="B13" s="401"/>
      <c r="C13" s="2157" t="s">
        <v>1391</v>
      </c>
      <c r="D13" s="2158"/>
      <c r="E13" s="218"/>
      <c r="F13" s="409" t="s">
        <v>826</v>
      </c>
      <c r="G13" s="402"/>
      <c r="H13" s="403">
        <f>SUM('Acct Summary 7-8'!C8+'Acct Summary 7-8'!D8+'Acct Summary 7-8'!F8+'Acct Summary 7-8'!I8)+H14</f>
        <v>5259068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4875911</v>
      </c>
      <c r="I17" s="404"/>
      <c r="J17" s="416"/>
      <c r="K17" s="405">
        <f>TRUNC((H17/H18*100000),5)/100000</f>
        <v>0.92714355469999998</v>
      </c>
      <c r="L17" s="406"/>
      <c r="M17" s="417" t="s">
        <v>1233</v>
      </c>
      <c r="O17" s="418" t="str">
        <f>IF(AND(O16="2", J20 &gt; 2),"1",IF(AND(O16 = "1", J20 &gt; 2),"2",IF(AND(O16="1", J20 &gt;1),"1","0")))</f>
        <v>0</v>
      </c>
      <c r="P17" s="218"/>
    </row>
    <row r="18" spans="1:18" s="408" customFormat="1" ht="11.25" x14ac:dyDescent="0.2">
      <c r="A18" s="218"/>
      <c r="B18" s="401"/>
      <c r="C18" s="2157" t="s">
        <v>1384</v>
      </c>
      <c r="D18" s="2158"/>
      <c r="E18" s="218"/>
      <c r="F18" s="419" t="s">
        <v>827</v>
      </c>
      <c r="G18" s="402"/>
      <c r="H18" s="403">
        <f>SUM('Acct Summary 7-8'!C8+'Acct Summary 7-8'!D8+'Acct Summary 7-8'!F8+'Acct Summary 7-8'!I8)+H19</f>
        <v>5259068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54" t="s">
        <v>1479</v>
      </c>
      <c r="D24" s="2154"/>
      <c r="E24" s="218"/>
      <c r="F24" s="218" t="s">
        <v>465</v>
      </c>
      <c r="G24" s="402"/>
      <c r="H24" s="403">
        <f>SUM('Assets-Liab 5-6'!C4+'Assets-Liab 5-6'!D4+'Assets-Liab 5-6'!F4+'Assets-Liab 5-6'!I4+'Assets-Liab 5-6'!C5+'Assets-Liab 5-6'!D5+'Assets-Liab 5-6'!F5+'Assets-Liab 5-6'!I5)</f>
        <v>2644804</v>
      </c>
      <c r="I24" s="422"/>
      <c r="J24" s="422"/>
      <c r="K24" s="423">
        <f>TRUNC(((H24/H25*100000)/100000),2)</f>
        <v>195.27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13544.19722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2454129.1460000002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4580000</v>
      </c>
      <c r="I32" s="420"/>
      <c r="J32" s="420"/>
      <c r="K32" s="423">
        <f>TRUNC(100-((((H32/H33*100))*100)/100),2)</f>
        <v>59.76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11383859.568000002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orizontalCentered="1" headings="1"/>
  <pageMargins left="0.5" right="0.5" top="1.4" bottom="0.75" header="1" footer="0.5"/>
  <pageSetup scale="82" firstPageNumber="4" orientation="landscape" useFirstPageNumber="1" r:id="rId3"/>
  <headerFooter alignWithMargins="0">
    <oddHeader>&amp;L&amp;8Page &amp;P&amp;C &amp;R&amp;8Page &amp;P</oddHeader>
    <oddFooter>&amp;L&amp;8Printed: &amp;D
&amp;F&amp;CReference should be made to accountant's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7" activePane="bottomLeft" state="frozen"/>
      <selection activeCell="A47" sqref="A47"/>
      <selection pane="bottomLeft" activeCell="J40" sqref="J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6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6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64" t="s">
        <v>1030</v>
      </c>
      <c r="B3" s="2165"/>
      <c r="C3" s="1578"/>
      <c r="D3" s="1579"/>
      <c r="E3" s="1579"/>
      <c r="F3" s="1579"/>
      <c r="G3" s="1579"/>
      <c r="H3" s="1579"/>
      <c r="I3" s="1579"/>
      <c r="J3" s="1579"/>
      <c r="K3" s="1579"/>
      <c r="L3" s="1579"/>
      <c r="M3" s="1580"/>
      <c r="N3" s="1581"/>
    </row>
    <row r="4" spans="1:14" ht="13.5" customHeight="1" x14ac:dyDescent="0.2">
      <c r="A4" s="463" t="s">
        <v>1750</v>
      </c>
      <c r="B4" s="464"/>
      <c r="C4" s="465">
        <f>108096+5000</f>
        <v>113096</v>
      </c>
      <c r="D4" s="466">
        <v>14022</v>
      </c>
      <c r="E4" s="466">
        <v>0</v>
      </c>
      <c r="F4" s="466">
        <v>0</v>
      </c>
      <c r="G4" s="466">
        <v>0</v>
      </c>
      <c r="H4" s="466"/>
      <c r="I4" s="466">
        <v>0</v>
      </c>
      <c r="J4" s="467">
        <v>0</v>
      </c>
      <c r="K4" s="466">
        <v>5546</v>
      </c>
      <c r="L4" s="466">
        <v>55822</v>
      </c>
      <c r="M4" s="468"/>
      <c r="N4" s="469"/>
    </row>
    <row r="5" spans="1:14" x14ac:dyDescent="0.2">
      <c r="A5" s="463" t="s">
        <v>1049</v>
      </c>
      <c r="B5" s="470">
        <v>120</v>
      </c>
      <c r="C5" s="465">
        <f>736329</f>
        <v>736329</v>
      </c>
      <c r="D5" s="466">
        <v>1054637</v>
      </c>
      <c r="E5" s="466">
        <v>344517</v>
      </c>
      <c r="F5" s="466">
        <v>304006</v>
      </c>
      <c r="G5" s="466">
        <v>112689</v>
      </c>
      <c r="H5" s="466"/>
      <c r="I5" s="466">
        <v>422714</v>
      </c>
      <c r="J5" s="467">
        <v>25630</v>
      </c>
      <c r="K5" s="471">
        <v>234536</v>
      </c>
      <c r="L5" s="472">
        <v>23500</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849425</v>
      </c>
      <c r="D13" s="1756">
        <f t="shared" ref="D13:L13" si="0">SUM(D4:D12)</f>
        <v>1068659</v>
      </c>
      <c r="E13" s="1756">
        <f t="shared" si="0"/>
        <v>344517</v>
      </c>
      <c r="F13" s="1756">
        <f t="shared" si="0"/>
        <v>304006</v>
      </c>
      <c r="G13" s="1756">
        <f t="shared" si="0"/>
        <v>112689</v>
      </c>
      <c r="H13" s="1756">
        <f t="shared" si="0"/>
        <v>0</v>
      </c>
      <c r="I13" s="1756">
        <f t="shared" si="0"/>
        <v>422714</v>
      </c>
      <c r="J13" s="1756">
        <f t="shared" si="0"/>
        <v>25630</v>
      </c>
      <c r="K13" s="1756">
        <f t="shared" si="0"/>
        <v>240082</v>
      </c>
      <c r="L13" s="1756">
        <f t="shared" si="0"/>
        <v>79322</v>
      </c>
      <c r="M13" s="468"/>
      <c r="N13" s="469"/>
    </row>
    <row r="14" spans="1:14" ht="18" customHeight="1" thickTop="1" x14ac:dyDescent="0.2">
      <c r="A14" s="2166" t="s">
        <v>149</v>
      </c>
      <c r="B14" s="2167"/>
      <c r="C14" s="1582"/>
      <c r="D14" s="1583"/>
      <c r="E14" s="1583"/>
      <c r="F14" s="1583"/>
      <c r="G14" s="1583"/>
      <c r="H14" s="1583"/>
      <c r="I14" s="1583"/>
      <c r="J14" s="1583"/>
      <c r="K14" s="1583"/>
      <c r="L14" s="1583"/>
      <c r="M14" s="1584"/>
      <c r="N14" s="1585"/>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38176</v>
      </c>
      <c r="N16" s="484"/>
    </row>
    <row r="17" spans="1:14" s="485" customFormat="1" ht="12.75" customHeight="1" x14ac:dyDescent="0.2">
      <c r="A17" s="482" t="s">
        <v>1470</v>
      </c>
      <c r="B17" s="483">
        <v>230</v>
      </c>
      <c r="C17" s="477"/>
      <c r="D17" s="477"/>
      <c r="E17" s="477"/>
      <c r="F17" s="477"/>
      <c r="G17" s="477"/>
      <c r="H17" s="477"/>
      <c r="I17" s="477"/>
      <c r="J17" s="477"/>
      <c r="K17" s="477"/>
      <c r="L17" s="477"/>
      <c r="M17" s="467">
        <v>9654452</v>
      </c>
      <c r="N17" s="484"/>
    </row>
    <row r="18" spans="1:14" s="485" customFormat="1" ht="12.75" customHeight="1" x14ac:dyDescent="0.2">
      <c r="A18" s="482" t="s">
        <v>1471</v>
      </c>
      <c r="B18" s="483">
        <v>240</v>
      </c>
      <c r="C18" s="477"/>
      <c r="D18" s="477"/>
      <c r="E18" s="477"/>
      <c r="F18" s="477"/>
      <c r="G18" s="477"/>
      <c r="H18" s="477"/>
      <c r="I18" s="477"/>
      <c r="J18" s="477"/>
      <c r="K18" s="477"/>
      <c r="L18" s="477"/>
      <c r="M18" s="467">
        <v>60781</v>
      </c>
      <c r="N18" s="484"/>
    </row>
    <row r="19" spans="1:14" s="485" customFormat="1" ht="12.75" customHeight="1" x14ac:dyDescent="0.2">
      <c r="A19" s="482" t="s">
        <v>1472</v>
      </c>
      <c r="B19" s="483">
        <v>250</v>
      </c>
      <c r="C19" s="477"/>
      <c r="D19" s="477"/>
      <c r="E19" s="477"/>
      <c r="F19" s="477"/>
      <c r="G19" s="477"/>
      <c r="H19" s="477"/>
      <c r="I19" s="477"/>
      <c r="J19" s="477"/>
      <c r="K19" s="477"/>
      <c r="L19" s="477"/>
      <c r="M19" s="467">
        <f>656185+182797</f>
        <v>838982</v>
      </c>
      <c r="N19" s="484"/>
    </row>
    <row r="20" spans="1:14" s="485" customFormat="1" ht="12.75" customHeight="1" x14ac:dyDescent="0.2">
      <c r="A20" s="482" t="s">
        <v>1473</v>
      </c>
      <c r="B20" s="483">
        <v>260</v>
      </c>
      <c r="C20" s="477"/>
      <c r="D20" s="477"/>
      <c r="E20" s="477"/>
      <c r="F20" s="477"/>
      <c r="G20" s="477"/>
      <c r="H20" s="477"/>
      <c r="I20" s="477"/>
      <c r="J20" s="477"/>
      <c r="K20" s="477"/>
      <c r="L20" s="477"/>
      <c r="M20" s="467">
        <v>25000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344517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4235483</v>
      </c>
    </row>
    <row r="23" spans="1:14" ht="13.5" customHeight="1" thickBot="1" x14ac:dyDescent="0.25">
      <c r="A23" s="1755" t="s">
        <v>664</v>
      </c>
      <c r="B23" s="1760"/>
      <c r="C23" s="468"/>
      <c r="D23" s="468"/>
      <c r="E23" s="468"/>
      <c r="F23" s="468"/>
      <c r="G23" s="468"/>
      <c r="H23" s="468"/>
      <c r="I23" s="468"/>
      <c r="J23" s="468"/>
      <c r="K23" s="468"/>
      <c r="L23" s="468"/>
      <c r="M23" s="1707">
        <f>SUM(M15:M22)</f>
        <v>10617391</v>
      </c>
      <c r="N23" s="1707">
        <f>SUM(N21:N22)</f>
        <v>4580000</v>
      </c>
    </row>
    <row r="24" spans="1:14" ht="18" customHeight="1" thickTop="1" x14ac:dyDescent="0.2">
      <c r="A24" s="2168" t="s">
        <v>619</v>
      </c>
      <c r="B24" s="2169"/>
      <c r="C24" s="1587"/>
      <c r="D24" s="1584"/>
      <c r="E24" s="1584"/>
      <c r="F24" s="1584"/>
      <c r="G24" s="1584"/>
      <c r="H24" s="1584"/>
      <c r="I24" s="1584"/>
      <c r="J24" s="1584"/>
      <c r="K24" s="1584"/>
      <c r="L24" s="1584"/>
      <c r="M24" s="1583"/>
      <c r="N24" s="1588"/>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79322</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79322</v>
      </c>
      <c r="M34" s="468"/>
      <c r="N34" s="480"/>
    </row>
    <row r="35" spans="1:14" ht="18" customHeight="1" thickTop="1" x14ac:dyDescent="0.2">
      <c r="A35" s="2170" t="s">
        <v>550</v>
      </c>
      <c r="B35" s="2171"/>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4580000</v>
      </c>
    </row>
    <row r="37" spans="1:14" ht="13.5" thickBot="1" x14ac:dyDescent="0.25">
      <c r="A37" s="1755" t="s">
        <v>674</v>
      </c>
      <c r="B37" s="1760"/>
      <c r="C37" s="477"/>
      <c r="D37" s="477"/>
      <c r="E37" s="477"/>
      <c r="F37" s="477"/>
      <c r="G37" s="477"/>
      <c r="H37" s="477"/>
      <c r="I37" s="477"/>
      <c r="J37" s="477"/>
      <c r="K37" s="477"/>
      <c r="L37" s="480"/>
      <c r="M37" s="468"/>
      <c r="N37" s="1707">
        <f>SUM(N36:N36)</f>
        <v>4580000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849425</v>
      </c>
      <c r="D39" s="466">
        <v>1068659</v>
      </c>
      <c r="E39" s="466">
        <v>344517</v>
      </c>
      <c r="F39" s="466">
        <v>304006</v>
      </c>
      <c r="G39" s="466">
        <v>112689</v>
      </c>
      <c r="H39" s="466"/>
      <c r="I39" s="466">
        <v>422714</v>
      </c>
      <c r="J39" s="467">
        <v>25630</v>
      </c>
      <c r="K39" s="466">
        <v>240082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10617391</v>
      </c>
      <c r="N40" s="497"/>
    </row>
    <row r="41" spans="1:14" ht="13.5" customHeight="1" thickBot="1" x14ac:dyDescent="0.25">
      <c r="A41" s="1755" t="s">
        <v>676</v>
      </c>
      <c r="B41" s="1725"/>
      <c r="C41" s="1707">
        <f>(SUM(C34,C37,C38,C39))</f>
        <v>849425</v>
      </c>
      <c r="D41" s="1707">
        <f t="shared" ref="D41:L41" si="2">SUM(D34,D37,D38:D39)</f>
        <v>1068659</v>
      </c>
      <c r="E41" s="1707">
        <f t="shared" si="2"/>
        <v>344517</v>
      </c>
      <c r="F41" s="1707">
        <f t="shared" si="2"/>
        <v>304006</v>
      </c>
      <c r="G41" s="1707">
        <f t="shared" si="2"/>
        <v>112689</v>
      </c>
      <c r="H41" s="1707">
        <f t="shared" si="2"/>
        <v>0</v>
      </c>
      <c r="I41" s="1707">
        <f t="shared" si="2"/>
        <v>422714</v>
      </c>
      <c r="J41" s="1707">
        <f t="shared" si="2"/>
        <v>25630</v>
      </c>
      <c r="K41" s="1707">
        <f t="shared" si="2"/>
        <v>240082</v>
      </c>
      <c r="L41" s="1707">
        <f t="shared" si="2"/>
        <v>79322</v>
      </c>
      <c r="M41" s="1707">
        <f>SUM(M40)</f>
        <v>10617391</v>
      </c>
      <c r="N41" s="1707">
        <f>SUM(N37)</f>
        <v>4580000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orizontalCentered="1" headings="1" gridLinesSet="0"/>
  <pageMargins left="0.5" right="0.5" top="1.4" bottom="0.75" header="1" footer="0.5"/>
  <pageSetup scale="72" firstPageNumber="5" fitToWidth="2"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48" activePane="bottomLeft" state="frozenSplit"/>
      <selection activeCell="A47" sqref="A47"/>
      <selection pane="bottomLeft" activeCell="A51" sqref="A5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8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8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92" t="s">
        <v>1237</v>
      </c>
      <c r="B3" s="2193"/>
      <c r="C3" s="1592"/>
      <c r="D3" s="1593"/>
      <c r="E3" s="1593"/>
      <c r="F3" s="1593"/>
      <c r="G3" s="1593"/>
      <c r="H3" s="1593"/>
      <c r="I3" s="1593"/>
      <c r="J3" s="1593"/>
      <c r="K3" s="1594"/>
      <c r="L3" s="506"/>
    </row>
    <row r="4" spans="1:13" ht="15.75" customHeight="1" x14ac:dyDescent="0.2">
      <c r="A4" s="1951" t="s">
        <v>1579</v>
      </c>
      <c r="B4" s="1952">
        <v>1000</v>
      </c>
      <c r="C4" s="1761">
        <f>'Revenues 9-14'!C109</f>
        <v>2686797</v>
      </c>
      <c r="D4" s="1761">
        <f>'Revenues 9-14'!D109</f>
        <v>432821</v>
      </c>
      <c r="E4" s="1761">
        <f>'Revenues 9-14'!E109</f>
        <v>638831</v>
      </c>
      <c r="F4" s="1761">
        <f>'Revenues 9-14'!F109</f>
        <v>210331</v>
      </c>
      <c r="G4" s="1761">
        <f>'Revenues 9-14'!G109</f>
        <v>129907</v>
      </c>
      <c r="H4" s="1761">
        <f>'Revenues 9-14'!H109</f>
        <v>0</v>
      </c>
      <c r="I4" s="1761">
        <f>'Revenues 9-14'!I109</f>
        <v>21116</v>
      </c>
      <c r="J4" s="1761">
        <f>'Revenues 9-14'!J109</f>
        <v>100761</v>
      </c>
      <c r="K4" s="1761">
        <f>'Revenues 9-14'!K109</f>
        <v>49071</v>
      </c>
      <c r="L4" s="347"/>
    </row>
    <row r="5" spans="1:13" ht="15.75" customHeight="1" x14ac:dyDescent="0.2">
      <c r="A5" s="1595" t="s">
        <v>1580</v>
      </c>
      <c r="B5" s="1596">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5" t="s">
        <v>1581</v>
      </c>
      <c r="B6" s="1597">
        <v>3000</v>
      </c>
      <c r="C6" s="1762">
        <f>'Revenues 9-14'!C173</f>
        <v>913742</v>
      </c>
      <c r="D6" s="1762">
        <f>'Revenues 9-14'!D173</f>
        <v>467030</v>
      </c>
      <c r="E6" s="1762">
        <f>'Revenues 9-14'!E173</f>
        <v>0</v>
      </c>
      <c r="F6" s="1762">
        <f>'Revenues 9-14'!F173</f>
        <v>195117</v>
      </c>
      <c r="G6" s="1762">
        <f>'Revenues 9-14'!G173</f>
        <v>110248</v>
      </c>
      <c r="H6" s="1762">
        <f>'Revenues 9-14'!H173</f>
        <v>0</v>
      </c>
      <c r="I6" s="1762">
        <f>'Revenues 9-14'!I173</f>
        <v>0</v>
      </c>
      <c r="J6" s="1762">
        <f>'Revenues 9-14'!J173</f>
        <v>0</v>
      </c>
      <c r="K6" s="1762">
        <f>'Revenues 9-14'!K173</f>
        <v>0</v>
      </c>
      <c r="L6" s="347"/>
      <c r="M6" s="513"/>
    </row>
    <row r="7" spans="1:13" ht="15.75" customHeight="1" x14ac:dyDescent="0.2">
      <c r="A7" s="1595" t="s">
        <v>1582</v>
      </c>
      <c r="B7" s="1597">
        <v>4000</v>
      </c>
      <c r="C7" s="1762">
        <f>'Revenues 9-14'!C274</f>
        <v>332114</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3932653</v>
      </c>
      <c r="D8" s="1707">
        <f t="shared" ref="D8:K8" si="0">SUM(D4:D7)</f>
        <v>899851</v>
      </c>
      <c r="E8" s="1707">
        <f t="shared" si="0"/>
        <v>638831</v>
      </c>
      <c r="F8" s="1707">
        <f t="shared" si="0"/>
        <v>405448</v>
      </c>
      <c r="G8" s="1707">
        <f t="shared" si="0"/>
        <v>240155</v>
      </c>
      <c r="H8" s="1707">
        <f t="shared" si="0"/>
        <v>0</v>
      </c>
      <c r="I8" s="1707">
        <f t="shared" si="0"/>
        <v>21116</v>
      </c>
      <c r="J8" s="1707">
        <f t="shared" si="0"/>
        <v>100761</v>
      </c>
      <c r="K8" s="1707">
        <f t="shared" si="0"/>
        <v>49071</v>
      </c>
      <c r="L8" s="347"/>
    </row>
    <row r="9" spans="1:13" ht="15.75" thickTop="1" x14ac:dyDescent="0.2">
      <c r="A9" s="514" t="s">
        <v>1752</v>
      </c>
      <c r="B9" s="515">
        <v>3998</v>
      </c>
      <c r="C9" s="481">
        <v>3168891</v>
      </c>
      <c r="D9" s="516"/>
      <c r="E9" s="481"/>
      <c r="F9" s="481"/>
      <c r="G9" s="517"/>
      <c r="H9" s="481"/>
      <c r="I9" s="509" t="s">
        <v>1231</v>
      </c>
      <c r="J9" s="478"/>
      <c r="K9" s="481"/>
      <c r="L9" s="347"/>
    </row>
    <row r="10" spans="1:13" s="519" customFormat="1" ht="13.5" thickBot="1" x14ac:dyDescent="0.25">
      <c r="A10" s="1755" t="s">
        <v>1235</v>
      </c>
      <c r="B10" s="1728"/>
      <c r="C10" s="1707">
        <f>SUM(C8:C9)</f>
        <v>7101544</v>
      </c>
      <c r="D10" s="1707">
        <f t="shared" ref="D10:K10" si="1">SUM(D8:D9)</f>
        <v>899851</v>
      </c>
      <c r="E10" s="1707">
        <f t="shared" si="1"/>
        <v>638831</v>
      </c>
      <c r="F10" s="1707">
        <f t="shared" si="1"/>
        <v>405448</v>
      </c>
      <c r="G10" s="1707">
        <f t="shared" si="1"/>
        <v>240155</v>
      </c>
      <c r="H10" s="1707">
        <f t="shared" si="1"/>
        <v>0</v>
      </c>
      <c r="I10" s="1707">
        <f t="shared" si="1"/>
        <v>21116</v>
      </c>
      <c r="J10" s="1707">
        <f t="shared" si="1"/>
        <v>100761</v>
      </c>
      <c r="K10" s="1707">
        <f t="shared" si="1"/>
        <v>49071</v>
      </c>
      <c r="L10" s="518"/>
    </row>
    <row r="11" spans="1:13" s="519" customFormat="1" ht="16.7" customHeight="1" thickTop="1" x14ac:dyDescent="0.2">
      <c r="A11" s="2166" t="s">
        <v>1238</v>
      </c>
      <c r="B11" s="2167"/>
      <c r="C11" s="1589"/>
      <c r="D11" s="1590"/>
      <c r="E11" s="1590"/>
      <c r="F11" s="1590"/>
      <c r="G11" s="1590"/>
      <c r="H11" s="1590"/>
      <c r="I11" s="1590"/>
      <c r="J11" s="1590"/>
      <c r="K11" s="1591"/>
      <c r="L11" s="518"/>
    </row>
    <row r="12" spans="1:13" ht="15.75" customHeight="1" x14ac:dyDescent="0.2">
      <c r="A12" s="1595" t="s">
        <v>476</v>
      </c>
      <c r="B12" s="1597">
        <v>1000</v>
      </c>
      <c r="C12" s="1761">
        <f>'Expenditures 15-22'!K33</f>
        <v>2733655</v>
      </c>
      <c r="D12" s="520" t="s">
        <v>1231</v>
      </c>
      <c r="E12" s="468" t="s">
        <v>1231</v>
      </c>
      <c r="F12" s="468" t="s">
        <v>1231</v>
      </c>
      <c r="G12" s="1761">
        <f>'Expenditures 15-22'!K229</f>
        <v>37262</v>
      </c>
      <c r="H12" s="521"/>
      <c r="I12" s="468" t="s">
        <v>1231</v>
      </c>
      <c r="J12" s="468" t="s">
        <v>1231</v>
      </c>
      <c r="K12" s="521" t="s">
        <v>1231</v>
      </c>
      <c r="L12" s="347"/>
    </row>
    <row r="13" spans="1:13" ht="15.75" customHeight="1" x14ac:dyDescent="0.2">
      <c r="A13" s="1595" t="s">
        <v>477</v>
      </c>
      <c r="B13" s="1597">
        <v>2000</v>
      </c>
      <c r="C13" s="1762">
        <f>'Expenditures 15-22'!K74</f>
        <v>1040696</v>
      </c>
      <c r="D13" s="1762">
        <f>'Expenditures 15-22'!K129</f>
        <v>465576</v>
      </c>
      <c r="E13" s="469" t="s">
        <v>1231</v>
      </c>
      <c r="F13" s="1762">
        <f>'Expenditures 15-22'!K184</f>
        <v>399197</v>
      </c>
      <c r="G13" s="1762">
        <f>'Expenditures 15-22'!K279</f>
        <v>130878</v>
      </c>
      <c r="H13" s="1762">
        <f>'Expenditures 15-22'!K303</f>
        <v>0</v>
      </c>
      <c r="I13" s="468" t="s">
        <v>1231</v>
      </c>
      <c r="J13" s="1762">
        <f>'Expenditures 15-22'!K330</f>
        <v>81008</v>
      </c>
      <c r="K13" s="1766">
        <f>'Expenditures 15-22'!K352</f>
        <v>420</v>
      </c>
      <c r="L13" s="347"/>
    </row>
    <row r="14" spans="1:13" ht="15.75" customHeight="1" x14ac:dyDescent="0.2">
      <c r="A14" s="1595" t="s">
        <v>469</v>
      </c>
      <c r="B14" s="1597">
        <v>3000</v>
      </c>
      <c r="C14" s="1762">
        <f>'Expenditures 15-22'!K75</f>
        <v>0</v>
      </c>
      <c r="D14" s="1762">
        <f>'Expenditures 15-22'!K130</f>
        <v>0</v>
      </c>
      <c r="E14" s="520" t="s">
        <v>1231</v>
      </c>
      <c r="F14" s="1762">
        <f>'Expenditures 15-22'!K185</f>
        <v>0</v>
      </c>
      <c r="G14" s="1762">
        <f>'Expenditures 15-22'!K280</f>
        <v>0</v>
      </c>
      <c r="H14" s="512"/>
      <c r="I14" s="468" t="s">
        <v>1231</v>
      </c>
      <c r="J14" s="468" t="s">
        <v>1231</v>
      </c>
      <c r="K14" s="512" t="s">
        <v>1231</v>
      </c>
      <c r="L14" s="347"/>
    </row>
    <row r="15" spans="1:13" ht="15.75" customHeight="1" x14ac:dyDescent="0.2">
      <c r="A15" s="1595" t="s">
        <v>109</v>
      </c>
      <c r="B15" s="1597">
        <v>4000</v>
      </c>
      <c r="C15" s="1762">
        <f>'Expenditures 15-22'!K102</f>
        <v>236787</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5" t="s">
        <v>470</v>
      </c>
      <c r="B16" s="1597">
        <v>5000</v>
      </c>
      <c r="C16" s="1762">
        <f>'Expenditures 15-22'!K112</f>
        <v>0</v>
      </c>
      <c r="D16" s="1762">
        <f>'Expenditures 15-22'!K149</f>
        <v>0</v>
      </c>
      <c r="E16" s="1762">
        <f>'Expenditures 15-22'!K172</f>
        <v>618162</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4011138</v>
      </c>
      <c r="D17" s="1707">
        <f t="shared" si="2"/>
        <v>465576</v>
      </c>
      <c r="E17" s="1707">
        <f t="shared" si="2"/>
        <v>618162</v>
      </c>
      <c r="F17" s="1707">
        <f t="shared" si="2"/>
        <v>399197</v>
      </c>
      <c r="G17" s="1707">
        <f t="shared" si="2"/>
        <v>168140</v>
      </c>
      <c r="H17" s="1707">
        <f t="shared" si="2"/>
        <v>0</v>
      </c>
      <c r="I17" s="468"/>
      <c r="J17" s="1707">
        <f>SUM(J12:J16)</f>
        <v>81008</v>
      </c>
      <c r="K17" s="1707">
        <f>SUM(K12:K16)</f>
        <v>420</v>
      </c>
      <c r="L17" s="347"/>
    </row>
    <row r="18" spans="1:12" ht="15" customHeight="1" thickTop="1" x14ac:dyDescent="0.2">
      <c r="A18" s="1763" t="s">
        <v>1753</v>
      </c>
      <c r="B18" s="1764">
        <v>4180</v>
      </c>
      <c r="C18" s="1761">
        <f t="shared" ref="C18:H18" si="3">C9</f>
        <v>3168891</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7180029</v>
      </c>
      <c r="D19" s="1707">
        <f t="shared" si="4"/>
        <v>465576</v>
      </c>
      <c r="E19" s="1707">
        <f t="shared" si="4"/>
        <v>618162</v>
      </c>
      <c r="F19" s="1707">
        <f t="shared" si="4"/>
        <v>399197</v>
      </c>
      <c r="G19" s="1707">
        <f t="shared" si="4"/>
        <v>168140</v>
      </c>
      <c r="H19" s="1707">
        <f t="shared" si="4"/>
        <v>0</v>
      </c>
      <c r="I19" s="468"/>
      <c r="J19" s="1707">
        <f>SUM(J17:J18)</f>
        <v>81008</v>
      </c>
      <c r="K19" s="1707">
        <f>SUM(K17:K18)</f>
        <v>420</v>
      </c>
      <c r="L19" s="347"/>
    </row>
    <row r="20" spans="1:12" ht="16.5" thickTop="1" thickBot="1" x14ac:dyDescent="0.25">
      <c r="A20" s="2182" t="s">
        <v>1754</v>
      </c>
      <c r="B20" s="2183"/>
      <c r="C20" s="1765">
        <f>C8-C17</f>
        <v>-78485</v>
      </c>
      <c r="D20" s="1765">
        <f t="shared" ref="D20:K20" si="5">D8-D17</f>
        <v>434275</v>
      </c>
      <c r="E20" s="1765">
        <f t="shared" si="5"/>
        <v>20669</v>
      </c>
      <c r="F20" s="1765">
        <f t="shared" si="5"/>
        <v>6251</v>
      </c>
      <c r="G20" s="1765">
        <f t="shared" si="5"/>
        <v>72015</v>
      </c>
      <c r="H20" s="1765">
        <f t="shared" si="5"/>
        <v>0</v>
      </c>
      <c r="I20" s="1765">
        <f t="shared" si="5"/>
        <v>21116</v>
      </c>
      <c r="J20" s="1765">
        <f t="shared" si="5"/>
        <v>19753</v>
      </c>
      <c r="K20" s="1765">
        <f t="shared" si="5"/>
        <v>48651</v>
      </c>
      <c r="L20" s="347"/>
    </row>
    <row r="21" spans="1:12" ht="16.7" customHeight="1" thickTop="1" x14ac:dyDescent="0.2">
      <c r="A21" s="2194" t="s">
        <v>616</v>
      </c>
      <c r="B21" s="2195"/>
      <c r="C21" s="1589"/>
      <c r="D21" s="1590"/>
      <c r="E21" s="1590"/>
      <c r="F21" s="1590"/>
      <c r="G21" s="1590"/>
      <c r="H21" s="1590"/>
      <c r="I21" s="1590"/>
      <c r="J21" s="1590"/>
      <c r="K21" s="1591"/>
      <c r="L21" s="524"/>
    </row>
    <row r="22" spans="1:12" ht="15.75" customHeight="1" collapsed="1" x14ac:dyDescent="0.2">
      <c r="A22" s="2190" t="s">
        <v>617</v>
      </c>
      <c r="B22" s="2191"/>
      <c r="C22" s="477"/>
      <c r="D22" s="477"/>
      <c r="E22" s="477"/>
      <c r="F22" s="477"/>
      <c r="G22" s="477"/>
      <c r="H22" s="477"/>
      <c r="I22" s="477"/>
      <c r="J22" s="477"/>
      <c r="K22" s="477"/>
      <c r="L22" s="347"/>
    </row>
    <row r="23" spans="1:12" s="485" customFormat="1" ht="15.75" customHeight="1" x14ac:dyDescent="0.2">
      <c r="A23" s="2186" t="s">
        <v>311</v>
      </c>
      <c r="B23" s="2187"/>
      <c r="C23" s="480"/>
      <c r="D23" s="477"/>
      <c r="E23" s="477"/>
      <c r="F23" s="477"/>
      <c r="G23" s="477"/>
      <c r="H23" s="477"/>
      <c r="I23" s="477"/>
      <c r="J23" s="477"/>
      <c r="K23" s="477"/>
      <c r="L23" s="524"/>
    </row>
    <row r="24" spans="1:12" s="485" customFormat="1" ht="13.5" customHeight="1" x14ac:dyDescent="0.2">
      <c r="A24" s="1508" t="s">
        <v>1755</v>
      </c>
      <c r="B24" s="525">
        <v>7110</v>
      </c>
      <c r="C24" s="467"/>
      <c r="D24" s="477"/>
      <c r="E24" s="477"/>
      <c r="F24" s="477"/>
      <c r="G24" s="477"/>
      <c r="H24" s="477"/>
      <c r="I24" s="477"/>
      <c r="J24" s="477"/>
      <c r="K24" s="477"/>
      <c r="L24" s="524"/>
    </row>
    <row r="25" spans="1:12" s="485" customFormat="1" ht="13.5" customHeight="1" x14ac:dyDescent="0.2">
      <c r="A25" s="1508" t="s">
        <v>1756</v>
      </c>
      <c r="B25" s="525">
        <v>7110</v>
      </c>
      <c r="C25" s="467"/>
      <c r="D25" s="467"/>
      <c r="E25" s="467"/>
      <c r="F25" s="467"/>
      <c r="G25" s="467"/>
      <c r="H25" s="467"/>
      <c r="I25" s="477"/>
      <c r="J25" s="467"/>
      <c r="K25" s="467"/>
      <c r="L25" s="524"/>
    </row>
    <row r="26" spans="1:12" s="485" customFormat="1" ht="13.5" customHeight="1" x14ac:dyDescent="0.2">
      <c r="A26" s="1508" t="s">
        <v>193</v>
      </c>
      <c r="B26" s="483">
        <v>7120</v>
      </c>
      <c r="C26" s="467"/>
      <c r="D26" s="467"/>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1465</v>
      </c>
      <c r="B28" s="483">
        <v>7140</v>
      </c>
      <c r="C28" s="467"/>
      <c r="D28" s="467"/>
      <c r="E28" s="467"/>
      <c r="F28" s="467"/>
      <c r="G28" s="467"/>
      <c r="H28" s="467"/>
      <c r="I28" s="467"/>
      <c r="J28" s="467"/>
      <c r="K28" s="467"/>
      <c r="L28" s="524"/>
    </row>
    <row r="29" spans="1:12" s="485" customFormat="1" ht="13.5" customHeight="1" x14ac:dyDescent="0.2">
      <c r="A29" s="1508" t="s">
        <v>312</v>
      </c>
      <c r="B29" s="483">
        <v>7150</v>
      </c>
      <c r="C29" s="475"/>
      <c r="D29" s="467"/>
      <c r="E29" s="475"/>
      <c r="F29" s="475"/>
      <c r="G29" s="475"/>
      <c r="H29" s="475"/>
      <c r="I29" s="475"/>
      <c r="J29" s="475"/>
      <c r="K29" s="475"/>
      <c r="L29" s="524"/>
    </row>
    <row r="30" spans="1:12" s="485" customFormat="1" ht="26.25" x14ac:dyDescent="0.2">
      <c r="A30" s="1508" t="s">
        <v>1897</v>
      </c>
      <c r="B30" s="527">
        <v>7160</v>
      </c>
      <c r="C30" s="477"/>
      <c r="D30" s="467"/>
      <c r="E30" s="477"/>
      <c r="F30" s="477"/>
      <c r="G30" s="477"/>
      <c r="H30" s="477"/>
      <c r="I30" s="477"/>
      <c r="J30" s="477"/>
      <c r="K30" s="477"/>
      <c r="L30" s="524"/>
    </row>
    <row r="31" spans="1:12" s="485" customFormat="1" ht="26.25" x14ac:dyDescent="0.2">
      <c r="A31" s="1508" t="s">
        <v>1901</v>
      </c>
      <c r="B31" s="527">
        <v>7170</v>
      </c>
      <c r="C31" s="477"/>
      <c r="D31" s="477"/>
      <c r="E31" s="474"/>
      <c r="F31" s="477"/>
      <c r="G31" s="477"/>
      <c r="H31" s="477"/>
      <c r="I31" s="477"/>
      <c r="J31" s="477"/>
      <c r="K31" s="477"/>
      <c r="L31" s="524"/>
    </row>
    <row r="32" spans="1:12" s="485" customFormat="1" ht="15.75" customHeight="1" x14ac:dyDescent="0.2">
      <c r="A32" s="2188" t="s">
        <v>1038</v>
      </c>
      <c r="B32" s="2189"/>
      <c r="C32" s="477"/>
      <c r="D32" s="477"/>
      <c r="E32" s="475"/>
      <c r="F32" s="477"/>
      <c r="G32" s="477"/>
      <c r="H32" s="477"/>
      <c r="I32" s="477"/>
      <c r="J32" s="477"/>
      <c r="K32" s="477"/>
      <c r="L32" s="524"/>
    </row>
    <row r="33" spans="1:12" s="485" customFormat="1" x14ac:dyDescent="0.2">
      <c r="A33" s="1508" t="s">
        <v>432</v>
      </c>
      <c r="B33" s="525">
        <v>7210</v>
      </c>
      <c r="C33" s="467"/>
      <c r="D33" s="467"/>
      <c r="E33" s="467"/>
      <c r="F33" s="467"/>
      <c r="G33" s="477"/>
      <c r="H33" s="467"/>
      <c r="I33" s="467"/>
      <c r="J33" s="467"/>
      <c r="K33" s="467"/>
      <c r="L33" s="524"/>
    </row>
    <row r="34" spans="1:12" s="485" customFormat="1" x14ac:dyDescent="0.2">
      <c r="A34" s="1508" t="s">
        <v>1058</v>
      </c>
      <c r="B34" s="525">
        <v>7220</v>
      </c>
      <c r="C34" s="467"/>
      <c r="D34" s="467"/>
      <c r="E34" s="467"/>
      <c r="F34" s="467"/>
      <c r="G34" s="477"/>
      <c r="H34" s="478"/>
      <c r="I34" s="478"/>
      <c r="J34" s="478"/>
      <c r="K34" s="478"/>
      <c r="L34" s="524"/>
    </row>
    <row r="35" spans="1:12" s="485" customFormat="1" x14ac:dyDescent="0.2">
      <c r="A35" s="1508" t="s">
        <v>1047</v>
      </c>
      <c r="B35" s="525">
        <v>7230</v>
      </c>
      <c r="C35" s="467"/>
      <c r="D35" s="467"/>
      <c r="E35" s="467"/>
      <c r="F35" s="467"/>
      <c r="G35" s="480"/>
      <c r="H35" s="467"/>
      <c r="I35" s="467"/>
      <c r="J35" s="467"/>
      <c r="K35" s="467"/>
      <c r="L35" s="524"/>
    </row>
    <row r="36" spans="1:12" s="485" customFormat="1" ht="15" x14ac:dyDescent="0.2">
      <c r="A36" s="1508" t="s">
        <v>1757</v>
      </c>
      <c r="B36" s="525">
        <v>7300</v>
      </c>
      <c r="C36" s="467"/>
      <c r="D36" s="467"/>
      <c r="E36" s="467"/>
      <c r="F36" s="467">
        <v>5500</v>
      </c>
      <c r="G36" s="467"/>
      <c r="H36" s="467"/>
      <c r="I36" s="475"/>
      <c r="J36" s="467"/>
      <c r="K36" s="467"/>
      <c r="L36" s="524"/>
    </row>
    <row r="37" spans="1:12" s="485" customFormat="1" x14ac:dyDescent="0.2">
      <c r="A37" s="1508" t="s">
        <v>461</v>
      </c>
      <c r="B37" s="525">
        <v>7400</v>
      </c>
      <c r="C37" s="475"/>
      <c r="D37" s="475"/>
      <c r="E37" s="1762">
        <f>SUM(C54:D57,H54:H57)</f>
        <v>0</v>
      </c>
      <c r="F37" s="475"/>
      <c r="G37" s="475"/>
      <c r="H37" s="475"/>
      <c r="I37" s="477"/>
      <c r="J37" s="475"/>
      <c r="K37" s="475"/>
      <c r="L37" s="524"/>
    </row>
    <row r="38" spans="1:12" s="485" customFormat="1" x14ac:dyDescent="0.2">
      <c r="A38" s="1508" t="s">
        <v>462</v>
      </c>
      <c r="B38" s="525">
        <v>7500</v>
      </c>
      <c r="C38" s="477"/>
      <c r="D38" s="477"/>
      <c r="E38" s="1762">
        <f>SUM(C58:D61,H58:H61)</f>
        <v>0</v>
      </c>
      <c r="F38" s="477"/>
      <c r="G38" s="477"/>
      <c r="H38" s="477"/>
      <c r="I38" s="477"/>
      <c r="J38" s="477"/>
      <c r="K38" s="477"/>
      <c r="L38" s="524"/>
    </row>
    <row r="39" spans="1:12" s="485" customFormat="1" x14ac:dyDescent="0.2">
      <c r="A39" s="1508" t="s">
        <v>463</v>
      </c>
      <c r="B39" s="525">
        <v>7600</v>
      </c>
      <c r="C39" s="477"/>
      <c r="D39" s="477"/>
      <c r="E39" s="1762">
        <f>SUM(C62:D65)</f>
        <v>0</v>
      </c>
      <c r="F39" s="477"/>
      <c r="G39" s="477"/>
      <c r="H39" s="477"/>
      <c r="I39" s="477"/>
      <c r="J39" s="477"/>
      <c r="K39" s="477"/>
      <c r="L39" s="524"/>
    </row>
    <row r="40" spans="1:12" s="485" customFormat="1" ht="13.5" customHeight="1" x14ac:dyDescent="0.2">
      <c r="A40" s="1508" t="s">
        <v>663</v>
      </c>
      <c r="B40" s="483">
        <v>7700</v>
      </c>
      <c r="C40" s="477"/>
      <c r="D40" s="477"/>
      <c r="E40" s="1762">
        <f>SUM(C66:D69)</f>
        <v>0</v>
      </c>
      <c r="F40" s="477"/>
      <c r="G40" s="477"/>
      <c r="H40" s="480"/>
      <c r="I40" s="477"/>
      <c r="J40" s="477"/>
      <c r="K40" s="477"/>
      <c r="L40" s="524"/>
    </row>
    <row r="41" spans="1:12" s="485" customFormat="1" ht="13.5" customHeight="1" x14ac:dyDescent="0.2">
      <c r="A41" s="1508" t="s">
        <v>661</v>
      </c>
      <c r="B41" s="483">
        <v>7800</v>
      </c>
      <c r="C41" s="480"/>
      <c r="D41" s="480"/>
      <c r="E41" s="526"/>
      <c r="F41" s="480"/>
      <c r="G41" s="480"/>
      <c r="H41" s="1762">
        <f>SUM(C70:D73)</f>
        <v>0</v>
      </c>
      <c r="I41" s="477"/>
      <c r="J41" s="477"/>
      <c r="K41" s="480"/>
      <c r="L41" s="524"/>
    </row>
    <row r="42" spans="1:12" s="485" customFormat="1" ht="13.5" customHeight="1" x14ac:dyDescent="0.2">
      <c r="A42" s="1508" t="s">
        <v>662</v>
      </c>
      <c r="B42" s="483">
        <v>7900</v>
      </c>
      <c r="C42" s="467"/>
      <c r="D42" s="467"/>
      <c r="E42" s="467"/>
      <c r="F42" s="467"/>
      <c r="G42" s="467"/>
      <c r="H42" s="467"/>
      <c r="I42" s="480"/>
      <c r="J42" s="480"/>
      <c r="K42" s="467"/>
      <c r="L42" s="524"/>
    </row>
    <row r="43" spans="1:12" s="485" customFormat="1" ht="13.5" customHeight="1" x14ac:dyDescent="0.2">
      <c r="A43" s="1508" t="s">
        <v>391</v>
      </c>
      <c r="B43" s="483">
        <v>7990</v>
      </c>
      <c r="C43" s="467"/>
      <c r="D43" s="467"/>
      <c r="E43" s="467"/>
      <c r="F43" s="467"/>
      <c r="G43" s="467"/>
      <c r="H43" s="467"/>
      <c r="I43" s="467"/>
      <c r="J43" s="467"/>
      <c r="K43" s="467"/>
      <c r="L43" s="524"/>
    </row>
    <row r="44" spans="1:12" s="485" customFormat="1" ht="13.5" customHeight="1" thickBot="1" x14ac:dyDescent="0.25">
      <c r="A44" s="2196" t="s">
        <v>392</v>
      </c>
      <c r="B44" s="2197"/>
      <c r="C44" s="1722">
        <f>SUM(C24:C43)</f>
        <v>0</v>
      </c>
      <c r="D44" s="1722">
        <f t="shared" ref="D44:K44" si="6">SUM(D24:D43)</f>
        <v>0</v>
      </c>
      <c r="E44" s="1722">
        <f t="shared" si="6"/>
        <v>0</v>
      </c>
      <c r="F44" s="1722">
        <f t="shared" si="6"/>
        <v>5500</v>
      </c>
      <c r="G44" s="1722">
        <f t="shared" si="6"/>
        <v>0</v>
      </c>
      <c r="H44" s="1722">
        <f t="shared" si="6"/>
        <v>0</v>
      </c>
      <c r="I44" s="1722">
        <f t="shared" si="6"/>
        <v>0</v>
      </c>
      <c r="J44" s="1722">
        <f t="shared" si="6"/>
        <v>0</v>
      </c>
      <c r="K44" s="1722">
        <f t="shared" si="6"/>
        <v>0</v>
      </c>
      <c r="L44" s="524"/>
    </row>
    <row r="45" spans="1:12" ht="15.75" customHeight="1" thickTop="1" x14ac:dyDescent="0.2">
      <c r="A45" s="2190" t="s">
        <v>110</v>
      </c>
      <c r="B45" s="2191"/>
      <c r="C45" s="528"/>
      <c r="D45" s="528"/>
      <c r="E45" s="528"/>
      <c r="F45" s="528"/>
      <c r="G45" s="528"/>
      <c r="H45" s="528"/>
      <c r="I45" s="528"/>
      <c r="J45" s="528"/>
      <c r="K45" s="528"/>
      <c r="L45" s="347"/>
    </row>
    <row r="46" spans="1:12" s="485" customFormat="1" ht="15.75" customHeight="1" x14ac:dyDescent="0.2">
      <c r="A46" s="2198" t="s">
        <v>111</v>
      </c>
      <c r="B46" s="2199"/>
      <c r="C46" s="477"/>
      <c r="D46" s="477"/>
      <c r="E46" s="477"/>
      <c r="F46" s="477"/>
      <c r="G46" s="477"/>
      <c r="H46" s="477"/>
      <c r="I46" s="480"/>
      <c r="J46" s="477"/>
      <c r="K46" s="477"/>
      <c r="L46" s="529"/>
    </row>
    <row r="47" spans="1:12" s="485" customFormat="1" ht="15" x14ac:dyDescent="0.2">
      <c r="A47" s="1509" t="s">
        <v>1758</v>
      </c>
      <c r="B47" s="483">
        <v>8110</v>
      </c>
      <c r="C47" s="477"/>
      <c r="D47" s="477"/>
      <c r="E47" s="477"/>
      <c r="F47" s="477"/>
      <c r="G47" s="477"/>
      <c r="H47" s="477"/>
      <c r="I47" s="1762">
        <f>SUM(C24,C25:H25,J25:K25)</f>
        <v>0</v>
      </c>
      <c r="J47" s="477"/>
      <c r="K47" s="477"/>
      <c r="L47" s="529"/>
    </row>
    <row r="48" spans="1:12" s="485" customFormat="1" ht="15" x14ac:dyDescent="0.2">
      <c r="A48" s="1509" t="s">
        <v>1759</v>
      </c>
      <c r="B48" s="483">
        <v>8120</v>
      </c>
      <c r="C48" s="480"/>
      <c r="D48" s="480"/>
      <c r="E48" s="477"/>
      <c r="F48" s="480"/>
      <c r="G48" s="477"/>
      <c r="H48" s="477"/>
      <c r="I48" s="1762">
        <f>SUM(C26:H26,J26,K26)</f>
        <v>0</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1465</v>
      </c>
      <c r="B50" s="483">
        <v>8140</v>
      </c>
      <c r="C50" s="467"/>
      <c r="D50" s="467"/>
      <c r="E50" s="467"/>
      <c r="F50" s="467"/>
      <c r="G50" s="467"/>
      <c r="H50" s="467"/>
      <c r="I50" s="477"/>
      <c r="J50" s="467"/>
      <c r="K50" s="477"/>
      <c r="L50" s="524"/>
    </row>
    <row r="51" spans="1:12" s="485" customFormat="1" x14ac:dyDescent="0.2">
      <c r="A51" s="1509" t="s">
        <v>312</v>
      </c>
      <c r="B51" s="483">
        <v>8150</v>
      </c>
      <c r="C51" s="475"/>
      <c r="D51" s="475"/>
      <c r="E51" s="475"/>
      <c r="F51" s="475"/>
      <c r="G51" s="475"/>
      <c r="H51" s="1762">
        <f>SUM(D29)</f>
        <v>0</v>
      </c>
      <c r="I51" s="477"/>
      <c r="J51" s="475"/>
      <c r="K51" s="480"/>
      <c r="L51" s="524"/>
    </row>
    <row r="52" spans="1:12" s="485" customFormat="1" ht="26.25" x14ac:dyDescent="0.2">
      <c r="A52" s="1509" t="s">
        <v>1900</v>
      </c>
      <c r="B52" s="483">
        <v>8160</v>
      </c>
      <c r="C52" s="477"/>
      <c r="D52" s="477"/>
      <c r="E52" s="477"/>
      <c r="F52" s="477"/>
      <c r="G52" s="477"/>
      <c r="H52" s="477"/>
      <c r="I52" s="477"/>
      <c r="J52" s="477"/>
      <c r="K52" s="1762">
        <f>D30</f>
        <v>0</v>
      </c>
      <c r="L52" s="524"/>
    </row>
    <row r="53" spans="1:12" s="485" customFormat="1" ht="26.25" x14ac:dyDescent="0.2">
      <c r="A53" s="1509" t="s">
        <v>1899</v>
      </c>
      <c r="B53" s="483">
        <v>8170</v>
      </c>
      <c r="C53" s="480"/>
      <c r="D53" s="480"/>
      <c r="E53" s="477"/>
      <c r="F53" s="477"/>
      <c r="G53" s="477"/>
      <c r="H53" s="480"/>
      <c r="I53" s="477"/>
      <c r="J53" s="477"/>
      <c r="K53" s="1762">
        <f>E31</f>
        <v>0</v>
      </c>
      <c r="L53" s="524"/>
    </row>
    <row r="54" spans="1:12" s="485" customFormat="1" ht="13.5" thickBot="1" x14ac:dyDescent="0.25">
      <c r="A54" s="1509" t="s">
        <v>716</v>
      </c>
      <c r="B54" s="483">
        <v>8410</v>
      </c>
      <c r="C54" s="530"/>
      <c r="D54" s="530"/>
      <c r="E54" s="477"/>
      <c r="F54" s="477"/>
      <c r="G54" s="477"/>
      <c r="H54" s="530"/>
      <c r="I54" s="477"/>
      <c r="J54" s="477"/>
      <c r="K54" s="475"/>
      <c r="L54" s="524"/>
    </row>
    <row r="55" spans="1:12" s="485" customFormat="1" ht="14.25" thickTop="1" thickBot="1" x14ac:dyDescent="0.25">
      <c r="A55" s="1510" t="s">
        <v>717</v>
      </c>
      <c r="B55" s="483">
        <v>8420</v>
      </c>
      <c r="C55" s="531"/>
      <c r="D55" s="531"/>
      <c r="E55" s="477"/>
      <c r="F55" s="477"/>
      <c r="G55" s="477"/>
      <c r="H55" s="530"/>
      <c r="I55" s="477"/>
      <c r="J55" s="477"/>
      <c r="K55" s="477"/>
      <c r="L55" s="524"/>
    </row>
    <row r="56" spans="1:12" s="485" customFormat="1" ht="14.25" thickTop="1" thickBot="1" x14ac:dyDescent="0.25">
      <c r="A56" s="1509" t="s">
        <v>602</v>
      </c>
      <c r="B56" s="483">
        <v>8430</v>
      </c>
      <c r="C56" s="531"/>
      <c r="D56" s="531"/>
      <c r="E56" s="477"/>
      <c r="F56" s="477"/>
      <c r="G56" s="477"/>
      <c r="H56" s="530"/>
      <c r="I56" s="477"/>
      <c r="J56" s="477"/>
      <c r="K56" s="477"/>
      <c r="L56" s="524"/>
    </row>
    <row r="57" spans="1:12" s="485" customFormat="1" ht="14.25" thickTop="1" thickBot="1" x14ac:dyDescent="0.25">
      <c r="A57" s="1510" t="s">
        <v>599</v>
      </c>
      <c r="B57" s="483">
        <v>8440</v>
      </c>
      <c r="C57" s="531"/>
      <c r="D57" s="531"/>
      <c r="E57" s="477"/>
      <c r="F57" s="477"/>
      <c r="G57" s="477"/>
      <c r="H57" s="530"/>
      <c r="I57" s="477"/>
      <c r="J57" s="477"/>
      <c r="K57" s="477"/>
      <c r="L57" s="524"/>
    </row>
    <row r="58" spans="1:12" s="485" customFormat="1" ht="14.25" thickTop="1" thickBot="1" x14ac:dyDescent="0.25">
      <c r="A58" s="1509" t="s">
        <v>600</v>
      </c>
      <c r="B58" s="483">
        <v>8510</v>
      </c>
      <c r="C58" s="531"/>
      <c r="D58" s="531"/>
      <c r="E58" s="477"/>
      <c r="F58" s="477"/>
      <c r="G58" s="477"/>
      <c r="H58" s="530"/>
      <c r="I58" s="477"/>
      <c r="J58" s="477"/>
      <c r="K58" s="477"/>
      <c r="L58" s="524"/>
    </row>
    <row r="59" spans="1:12" s="485" customFormat="1" ht="14.25" thickTop="1" thickBot="1" x14ac:dyDescent="0.25">
      <c r="A59" s="1511" t="s">
        <v>718</v>
      </c>
      <c r="B59" s="483">
        <v>8520</v>
      </c>
      <c r="C59" s="531"/>
      <c r="D59" s="531"/>
      <c r="E59" s="477"/>
      <c r="F59" s="477"/>
      <c r="G59" s="477"/>
      <c r="H59" s="530"/>
      <c r="I59" s="477"/>
      <c r="J59" s="477"/>
      <c r="K59" s="477"/>
      <c r="L59" s="524"/>
    </row>
    <row r="60" spans="1:12" s="485" customFormat="1" ht="14.25" thickTop="1" thickBot="1" x14ac:dyDescent="0.25">
      <c r="A60" s="1509" t="s">
        <v>601</v>
      </c>
      <c r="B60" s="483">
        <v>8530</v>
      </c>
      <c r="C60" s="531"/>
      <c r="D60" s="531"/>
      <c r="E60" s="477"/>
      <c r="F60" s="477"/>
      <c r="G60" s="477"/>
      <c r="H60" s="530"/>
      <c r="I60" s="477"/>
      <c r="J60" s="477"/>
      <c r="K60" s="477"/>
      <c r="L60" s="524"/>
    </row>
    <row r="61" spans="1:12" s="485" customFormat="1" ht="14.25" thickTop="1" thickBot="1" x14ac:dyDescent="0.25">
      <c r="A61" s="1510" t="s">
        <v>767</v>
      </c>
      <c r="B61" s="483">
        <v>8540</v>
      </c>
      <c r="C61" s="531"/>
      <c r="D61" s="531"/>
      <c r="E61" s="477"/>
      <c r="F61" s="477"/>
      <c r="G61" s="477"/>
      <c r="H61" s="530"/>
      <c r="I61" s="477"/>
      <c r="J61" s="477"/>
      <c r="K61" s="477"/>
      <c r="L61" s="524"/>
    </row>
    <row r="62" spans="1:12" s="485" customFormat="1" ht="13.5" customHeight="1" thickTop="1" thickBot="1" x14ac:dyDescent="0.25">
      <c r="A62" s="1509" t="s">
        <v>768</v>
      </c>
      <c r="B62" s="483">
        <v>8610</v>
      </c>
      <c r="C62" s="531"/>
      <c r="D62" s="531"/>
      <c r="E62" s="477"/>
      <c r="F62" s="477"/>
      <c r="G62" s="477"/>
      <c r="H62" s="477"/>
      <c r="I62" s="477"/>
      <c r="J62" s="477"/>
      <c r="K62" s="477"/>
      <c r="L62" s="524"/>
    </row>
    <row r="63" spans="1:12" s="485" customFormat="1" ht="14.25" thickTop="1" thickBot="1" x14ac:dyDescent="0.25">
      <c r="A63" s="1510" t="s">
        <v>719</v>
      </c>
      <c r="B63" s="483">
        <v>8620</v>
      </c>
      <c r="C63" s="531"/>
      <c r="D63" s="531"/>
      <c r="E63" s="477"/>
      <c r="F63" s="477"/>
      <c r="G63" s="477"/>
      <c r="H63" s="477"/>
      <c r="I63" s="477"/>
      <c r="J63" s="477"/>
      <c r="K63" s="477"/>
      <c r="L63" s="524"/>
    </row>
    <row r="64" spans="1:12" s="485" customFormat="1" ht="13.5" customHeight="1" thickTop="1" thickBot="1" x14ac:dyDescent="0.25">
      <c r="A64" s="1509" t="s">
        <v>769</v>
      </c>
      <c r="B64" s="483">
        <v>8630</v>
      </c>
      <c r="C64" s="531"/>
      <c r="D64" s="531"/>
      <c r="E64" s="477"/>
      <c r="F64" s="477"/>
      <c r="G64" s="477"/>
      <c r="H64" s="477"/>
      <c r="I64" s="477"/>
      <c r="J64" s="477"/>
      <c r="K64" s="477"/>
      <c r="L64" s="524"/>
    </row>
    <row r="65" spans="1:12" s="485" customFormat="1" ht="14.25" thickTop="1" thickBot="1" x14ac:dyDescent="0.25">
      <c r="A65" s="1510" t="s">
        <v>770</v>
      </c>
      <c r="B65" s="483">
        <v>8640</v>
      </c>
      <c r="C65" s="531"/>
      <c r="D65" s="531"/>
      <c r="E65" s="477"/>
      <c r="F65" s="477"/>
      <c r="G65" s="477"/>
      <c r="H65" s="477"/>
      <c r="I65" s="477"/>
      <c r="J65" s="477"/>
      <c r="K65" s="477"/>
      <c r="L65" s="524"/>
    </row>
    <row r="66" spans="1:12" s="485" customFormat="1" ht="14.25" thickTop="1" thickBot="1" x14ac:dyDescent="0.25">
      <c r="A66" s="1509" t="s">
        <v>771</v>
      </c>
      <c r="B66" s="483">
        <v>8710</v>
      </c>
      <c r="C66" s="531"/>
      <c r="D66" s="531"/>
      <c r="E66" s="477"/>
      <c r="F66" s="477"/>
      <c r="G66" s="477"/>
      <c r="H66" s="477"/>
      <c r="I66" s="477"/>
      <c r="J66" s="477"/>
      <c r="K66" s="477"/>
      <c r="L66" s="524"/>
    </row>
    <row r="67" spans="1:12" s="485" customFormat="1" ht="14.25" thickTop="1" thickBot="1" x14ac:dyDescent="0.25">
      <c r="A67" s="1510" t="s">
        <v>720</v>
      </c>
      <c r="B67" s="483">
        <v>8720</v>
      </c>
      <c r="C67" s="531"/>
      <c r="D67" s="531"/>
      <c r="E67" s="477"/>
      <c r="F67" s="477"/>
      <c r="G67" s="477"/>
      <c r="H67" s="477"/>
      <c r="I67" s="477"/>
      <c r="J67" s="477"/>
      <c r="K67" s="477"/>
      <c r="L67" s="524"/>
    </row>
    <row r="68" spans="1:12" s="485" customFormat="1" ht="14.25" thickTop="1" thickBot="1" x14ac:dyDescent="0.25">
      <c r="A68" s="1511" t="s">
        <v>772</v>
      </c>
      <c r="B68" s="483">
        <v>8730</v>
      </c>
      <c r="C68" s="531"/>
      <c r="D68" s="531"/>
      <c r="E68" s="477"/>
      <c r="F68" s="477"/>
      <c r="G68" s="477"/>
      <c r="H68" s="477"/>
      <c r="I68" s="477"/>
      <c r="J68" s="477"/>
      <c r="K68" s="477"/>
      <c r="L68" s="524"/>
    </row>
    <row r="69" spans="1:12" s="485" customFormat="1" ht="14.25" thickTop="1" thickBot="1" x14ac:dyDescent="0.25">
      <c r="A69" s="1510" t="s">
        <v>773</v>
      </c>
      <c r="B69" s="483">
        <v>8740</v>
      </c>
      <c r="C69" s="531"/>
      <c r="D69" s="531"/>
      <c r="E69" s="477"/>
      <c r="F69" s="477"/>
      <c r="G69" s="477"/>
      <c r="H69" s="477"/>
      <c r="I69" s="477"/>
      <c r="J69" s="477"/>
      <c r="K69" s="477"/>
      <c r="L69" s="524"/>
    </row>
    <row r="70" spans="1:12" s="485" customFormat="1" ht="14.25" thickTop="1" thickBot="1" x14ac:dyDescent="0.25">
      <c r="A70" s="1509" t="s">
        <v>774</v>
      </c>
      <c r="B70" s="483">
        <v>8810</v>
      </c>
      <c r="C70" s="531"/>
      <c r="D70" s="531"/>
      <c r="E70" s="477"/>
      <c r="F70" s="477"/>
      <c r="G70" s="477"/>
      <c r="H70" s="477"/>
      <c r="I70" s="477"/>
      <c r="J70" s="477"/>
      <c r="K70" s="477"/>
      <c r="L70" s="524"/>
    </row>
    <row r="71" spans="1:12" s="485" customFormat="1" ht="14.25" thickTop="1" thickBot="1" x14ac:dyDescent="0.25">
      <c r="A71" s="1509" t="s">
        <v>778</v>
      </c>
      <c r="B71" s="483">
        <v>8820</v>
      </c>
      <c r="C71" s="531"/>
      <c r="D71" s="531"/>
      <c r="E71" s="477"/>
      <c r="F71" s="477"/>
      <c r="G71" s="477"/>
      <c r="H71" s="477"/>
      <c r="I71" s="477"/>
      <c r="J71" s="477"/>
      <c r="K71" s="477"/>
      <c r="L71" s="524"/>
    </row>
    <row r="72" spans="1:12" s="485" customFormat="1" ht="14.25" thickTop="1" thickBot="1" x14ac:dyDescent="0.25">
      <c r="A72" s="1509" t="s">
        <v>775</v>
      </c>
      <c r="B72" s="483">
        <v>8830</v>
      </c>
      <c r="C72" s="531"/>
      <c r="D72" s="531"/>
      <c r="E72" s="477"/>
      <c r="F72" s="477"/>
      <c r="G72" s="477"/>
      <c r="H72" s="477"/>
      <c r="I72" s="477"/>
      <c r="J72" s="477"/>
      <c r="K72" s="477"/>
      <c r="L72" s="524"/>
    </row>
    <row r="73" spans="1:12" s="485" customFormat="1" ht="14.25" thickTop="1" thickBot="1" x14ac:dyDescent="0.25">
      <c r="A73" s="1509" t="s">
        <v>776</v>
      </c>
      <c r="B73" s="483">
        <v>8840</v>
      </c>
      <c r="C73" s="531"/>
      <c r="D73" s="531"/>
      <c r="E73" s="477"/>
      <c r="F73" s="477"/>
      <c r="G73" s="477"/>
      <c r="H73" s="477"/>
      <c r="I73" s="477"/>
      <c r="J73" s="477"/>
      <c r="K73" s="480"/>
      <c r="L73" s="524"/>
    </row>
    <row r="74" spans="1:12" s="485" customFormat="1" ht="14.25" thickTop="1" thickBot="1" x14ac:dyDescent="0.25">
      <c r="A74" s="1509" t="s">
        <v>393</v>
      </c>
      <c r="B74" s="483">
        <v>8910</v>
      </c>
      <c r="C74" s="531"/>
      <c r="D74" s="531"/>
      <c r="E74" s="480"/>
      <c r="F74" s="530"/>
      <c r="G74" s="530"/>
      <c r="H74" s="530"/>
      <c r="I74" s="480"/>
      <c r="J74" s="480"/>
      <c r="K74" s="530"/>
      <c r="L74" s="524"/>
    </row>
    <row r="75" spans="1:12" s="485" customFormat="1" ht="14.25" thickTop="1" thickBot="1" x14ac:dyDescent="0.25">
      <c r="A75" s="1512" t="s">
        <v>459</v>
      </c>
      <c r="B75" s="483">
        <v>8990</v>
      </c>
      <c r="C75" s="531"/>
      <c r="D75" s="531"/>
      <c r="E75" s="530"/>
      <c r="F75" s="532"/>
      <c r="G75" s="532"/>
      <c r="H75" s="532"/>
      <c r="I75" s="530"/>
      <c r="J75" s="530"/>
      <c r="K75" s="532"/>
      <c r="L75" s="524"/>
    </row>
    <row r="76" spans="1:12" s="485" customFormat="1" ht="14.25" thickTop="1" thickBot="1" x14ac:dyDescent="0.25">
      <c r="A76" s="2172" t="s">
        <v>460</v>
      </c>
      <c r="B76" s="2173"/>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74" t="s">
        <v>1239</v>
      </c>
      <c r="B77" s="2175"/>
      <c r="C77" s="1722">
        <f t="shared" ref="C77:K77" si="8">C44-C76</f>
        <v>0</v>
      </c>
      <c r="D77" s="1722">
        <f t="shared" si="8"/>
        <v>0</v>
      </c>
      <c r="E77" s="1722">
        <f t="shared" si="8"/>
        <v>0</v>
      </c>
      <c r="F77" s="1722">
        <f t="shared" si="8"/>
        <v>5500</v>
      </c>
      <c r="G77" s="1722">
        <f t="shared" si="8"/>
        <v>0</v>
      </c>
      <c r="H77" s="1722">
        <f t="shared" si="8"/>
        <v>0</v>
      </c>
      <c r="I77" s="1722">
        <f t="shared" si="8"/>
        <v>0</v>
      </c>
      <c r="J77" s="1722">
        <f t="shared" si="8"/>
        <v>0</v>
      </c>
      <c r="K77" s="1722">
        <f t="shared" si="8"/>
        <v>0</v>
      </c>
      <c r="L77" s="347"/>
    </row>
    <row r="78" spans="1:12" ht="21.75" customHeight="1" thickTop="1" thickBot="1" x14ac:dyDescent="0.25">
      <c r="A78" s="2178" t="s">
        <v>618</v>
      </c>
      <c r="B78" s="2179"/>
      <c r="C78" s="1721">
        <f t="shared" ref="C78:K78" si="9">C20+C77</f>
        <v>-78485</v>
      </c>
      <c r="D78" s="1721">
        <f t="shared" si="9"/>
        <v>434275</v>
      </c>
      <c r="E78" s="1721">
        <f t="shared" si="9"/>
        <v>20669</v>
      </c>
      <c r="F78" s="1721">
        <f t="shared" si="9"/>
        <v>11751</v>
      </c>
      <c r="G78" s="1721">
        <f t="shared" si="9"/>
        <v>72015</v>
      </c>
      <c r="H78" s="1721">
        <f t="shared" si="9"/>
        <v>0</v>
      </c>
      <c r="I78" s="1721">
        <f t="shared" si="9"/>
        <v>21116</v>
      </c>
      <c r="J78" s="1721">
        <f t="shared" si="9"/>
        <v>19753</v>
      </c>
      <c r="K78" s="1721">
        <f t="shared" si="9"/>
        <v>48651</v>
      </c>
      <c r="L78" s="533"/>
    </row>
    <row r="79" spans="1:12" ht="13.5" thickTop="1" x14ac:dyDescent="0.2">
      <c r="A79" s="1513" t="s">
        <v>2071</v>
      </c>
      <c r="B79" s="534"/>
      <c r="C79" s="478">
        <v>927910</v>
      </c>
      <c r="D79" s="535">
        <v>634384</v>
      </c>
      <c r="E79" s="535">
        <v>323848</v>
      </c>
      <c r="F79" s="535">
        <v>292255</v>
      </c>
      <c r="G79" s="535">
        <v>40674</v>
      </c>
      <c r="H79" s="535"/>
      <c r="I79" s="535">
        <v>401598</v>
      </c>
      <c r="J79" s="535">
        <v>5877</v>
      </c>
      <c r="K79" s="535">
        <v>191431</v>
      </c>
      <c r="L79" s="347"/>
    </row>
    <row r="80" spans="1:12" x14ac:dyDescent="0.2">
      <c r="A80" s="2184" t="s">
        <v>1898</v>
      </c>
      <c r="B80" s="2185"/>
      <c r="C80" s="467"/>
      <c r="D80" s="467"/>
      <c r="E80" s="467"/>
      <c r="F80" s="467"/>
      <c r="G80" s="467"/>
      <c r="H80" s="467"/>
      <c r="I80" s="467"/>
      <c r="J80" s="467"/>
      <c r="K80" s="467"/>
      <c r="L80" s="347"/>
    </row>
    <row r="81" spans="1:12" ht="13.5" thickBot="1" x14ac:dyDescent="0.25">
      <c r="A81" s="2176" t="s">
        <v>2072</v>
      </c>
      <c r="B81" s="2177"/>
      <c r="C81" s="1707">
        <f>(SUM(C78:C80))</f>
        <v>849425</v>
      </c>
      <c r="D81" s="1707">
        <f>SUM(D78:D80)</f>
        <v>1068659</v>
      </c>
      <c r="E81" s="1707">
        <f t="shared" ref="E81:K81" si="10">SUM(E78:E80)</f>
        <v>344517</v>
      </c>
      <c r="F81" s="1707">
        <f t="shared" si="10"/>
        <v>304006</v>
      </c>
      <c r="G81" s="1707">
        <f t="shared" si="10"/>
        <v>112689</v>
      </c>
      <c r="H81" s="1707">
        <f t="shared" si="10"/>
        <v>0</v>
      </c>
      <c r="I81" s="1707">
        <f t="shared" si="10"/>
        <v>422714</v>
      </c>
      <c r="J81" s="1707">
        <f t="shared" si="10"/>
        <v>25630</v>
      </c>
      <c r="K81" s="1707">
        <f t="shared" si="10"/>
        <v>240082</v>
      </c>
      <c r="L81" s="347"/>
    </row>
    <row r="82" spans="1:12" ht="0.75" customHeight="1" thickTop="1" thickBot="1" x14ac:dyDescent="0.25">
      <c r="A82" s="536" t="s">
        <v>361</v>
      </c>
      <c r="B82" s="537"/>
      <c r="C82" s="538">
        <f>(C81-C79)</f>
        <v>-78485</v>
      </c>
      <c r="D82" s="538">
        <f t="shared" ref="D82:K82" si="11">(D81-D79)</f>
        <v>434275</v>
      </c>
      <c r="E82" s="538">
        <f t="shared" si="11"/>
        <v>20669</v>
      </c>
      <c r="F82" s="538">
        <f t="shared" si="11"/>
        <v>11751</v>
      </c>
      <c r="G82" s="538">
        <f t="shared" si="11"/>
        <v>72015</v>
      </c>
      <c r="H82" s="538">
        <f t="shared" si="11"/>
        <v>0</v>
      </c>
      <c r="I82" s="538">
        <f t="shared" si="11"/>
        <v>21116</v>
      </c>
      <c r="J82" s="538">
        <f t="shared" si="11"/>
        <v>19753</v>
      </c>
      <c r="K82" s="538">
        <f t="shared" si="11"/>
        <v>48651</v>
      </c>
    </row>
    <row r="83" spans="1:12" ht="14.25" hidden="1" thickTop="1" thickBot="1" x14ac:dyDescent="0.25">
      <c r="A83" s="539" t="s">
        <v>362</v>
      </c>
      <c r="B83" s="464"/>
      <c r="C83" s="540">
        <f>C82/C81</f>
        <v>-9.2397798510757273E-2</v>
      </c>
      <c r="D83" s="540">
        <f t="shared" ref="D83:K83" si="12">D82/D81</f>
        <v>0.40637378246943129</v>
      </c>
      <c r="E83" s="540">
        <f t="shared" si="12"/>
        <v>5.9994136718942749E-2</v>
      </c>
      <c r="F83" s="540">
        <f t="shared" si="12"/>
        <v>3.8653842358374504E-2</v>
      </c>
      <c r="G83" s="540">
        <f t="shared" si="12"/>
        <v>0.63905971301546738</v>
      </c>
      <c r="H83" s="540" t="e">
        <f t="shared" si="12"/>
        <v>#DIV/0!</v>
      </c>
      <c r="I83" s="540">
        <f t="shared" si="12"/>
        <v>4.9953396386209117E-2</v>
      </c>
      <c r="J83" s="540">
        <f t="shared" si="12"/>
        <v>0.77069840031213421</v>
      </c>
      <c r="K83" s="540">
        <f t="shared" si="12"/>
        <v>0.20264326355161985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headings="1"/>
  <pageMargins left="0.5" right="0.5" top="1.5" bottom="0.75" header="1" footer="0.5"/>
  <pageSetup scale="68"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4"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topLeftCell="B1" colorId="8" zoomScale="115" zoomScaleNormal="115" zoomScaleSheetLayoutView="75" workbookViewId="0">
      <pane ySplit="2" topLeftCell="A148" activePane="bottomLeft" state="frozen"/>
      <selection activeCell="A47" sqref="A47"/>
      <selection pane="bottomLeft" activeCell="F152" sqref="F152"/>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80" t="s">
        <v>1905</v>
      </c>
      <c r="B1" s="452"/>
      <c r="C1" s="453" t="s">
        <v>445</v>
      </c>
      <c r="D1" s="453" t="s">
        <v>446</v>
      </c>
      <c r="E1" s="453" t="s">
        <v>447</v>
      </c>
      <c r="F1" s="453" t="s">
        <v>448</v>
      </c>
      <c r="G1" s="453" t="s">
        <v>449</v>
      </c>
      <c r="H1" s="453" t="s">
        <v>450</v>
      </c>
      <c r="I1" s="453" t="s">
        <v>451</v>
      </c>
      <c r="J1" s="453" t="s">
        <v>452</v>
      </c>
      <c r="K1" s="453" t="s">
        <v>780</v>
      </c>
    </row>
    <row r="2" spans="1:12" ht="36" x14ac:dyDescent="0.2">
      <c r="A2" s="218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3"/>
      <c r="D4" s="543"/>
      <c r="E4" s="543"/>
      <c r="F4" s="544"/>
      <c r="G4" s="545"/>
      <c r="H4" s="546"/>
      <c r="I4" s="546"/>
      <c r="J4" s="546"/>
      <c r="K4" s="546"/>
    </row>
    <row r="5" spans="1:12" ht="15" x14ac:dyDescent="0.2">
      <c r="A5" s="493" t="s">
        <v>1760</v>
      </c>
      <c r="B5" s="547"/>
      <c r="C5" s="481">
        <f>1089492+1335534</f>
        <v>2425026</v>
      </c>
      <c r="D5" s="481">
        <f>140154+171865</f>
        <v>312019</v>
      </c>
      <c r="E5" s="466">
        <f>290120+348145</f>
        <v>638265</v>
      </c>
      <c r="F5" s="548">
        <f>93449+114592</f>
        <v>208041</v>
      </c>
      <c r="G5" s="466">
        <v>63761</v>
      </c>
      <c r="H5" s="466"/>
      <c r="I5" s="466">
        <f>9356+11492</f>
        <v>20848</v>
      </c>
      <c r="J5" s="467">
        <f>45190+55419</f>
        <v>100609</v>
      </c>
      <c r="K5" s="466">
        <f>21857+26829</f>
        <v>48686</v>
      </c>
    </row>
    <row r="6" spans="1:12" ht="15" x14ac:dyDescent="0.2">
      <c r="A6" s="463" t="s">
        <v>1761</v>
      </c>
      <c r="B6" s="470">
        <v>1130</v>
      </c>
      <c r="C6" s="466"/>
      <c r="D6" s="466"/>
      <c r="E6" s="475"/>
      <c r="F6" s="475"/>
      <c r="G6" s="468"/>
      <c r="H6" s="468"/>
      <c r="I6" s="468"/>
      <c r="J6" s="468"/>
      <c r="K6" s="468"/>
    </row>
    <row r="7" spans="1:12" x14ac:dyDescent="0.2">
      <c r="A7" s="463" t="s">
        <v>112</v>
      </c>
      <c r="B7" s="549">
        <v>1140</v>
      </c>
      <c r="C7" s="466">
        <f>15606+19137</f>
        <v>34743</v>
      </c>
      <c r="D7" s="466"/>
      <c r="E7" s="468"/>
      <c r="F7" s="467"/>
      <c r="G7" s="467"/>
      <c r="H7" s="467"/>
      <c r="I7" s="468"/>
      <c r="J7" s="468"/>
      <c r="K7" s="468"/>
    </row>
    <row r="8" spans="1:12" x14ac:dyDescent="0.2">
      <c r="A8" s="463" t="s">
        <v>433</v>
      </c>
      <c r="B8" s="470">
        <v>1150</v>
      </c>
      <c r="C8" s="475"/>
      <c r="D8" s="475"/>
      <c r="E8" s="477"/>
      <c r="F8" s="477"/>
      <c r="G8" s="481">
        <v>63760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2459769</v>
      </c>
      <c r="D12" s="1726">
        <f t="shared" si="0"/>
        <v>312019</v>
      </c>
      <c r="E12" s="1726">
        <f t="shared" si="0"/>
        <v>638265</v>
      </c>
      <c r="F12" s="1726">
        <f t="shared" si="0"/>
        <v>208041</v>
      </c>
      <c r="G12" s="1726">
        <f t="shared" si="0"/>
        <v>127521</v>
      </c>
      <c r="H12" s="1726">
        <f t="shared" si="0"/>
        <v>0</v>
      </c>
      <c r="I12" s="1726">
        <f t="shared" si="0"/>
        <v>20848</v>
      </c>
      <c r="J12" s="1726">
        <f t="shared" si="0"/>
        <v>100609</v>
      </c>
      <c r="K12" s="1707">
        <f t="shared" si="0"/>
        <v>48686</v>
      </c>
    </row>
    <row r="13" spans="1:12" ht="15.75" customHeight="1" thickTop="1" x14ac:dyDescent="0.2">
      <c r="A13" s="1611" t="s">
        <v>471</v>
      </c>
      <c r="B13" s="161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79696</v>
      </c>
      <c r="E16" s="466"/>
      <c r="F16" s="466"/>
      <c r="G16" s="466">
        <v>2262</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0</v>
      </c>
      <c r="D18" s="1729">
        <f t="shared" ref="D18:K18" si="1">SUM(D14:D17)</f>
        <v>79696</v>
      </c>
      <c r="E18" s="1729">
        <f t="shared" si="1"/>
        <v>0</v>
      </c>
      <c r="F18" s="1729">
        <f t="shared" si="1"/>
        <v>0</v>
      </c>
      <c r="G18" s="1729">
        <f t="shared" si="1"/>
        <v>2262</v>
      </c>
      <c r="H18" s="1729">
        <f t="shared" si="1"/>
        <v>0</v>
      </c>
      <c r="I18" s="1729">
        <f t="shared" si="1"/>
        <v>0</v>
      </c>
      <c r="J18" s="1729">
        <f t="shared" si="1"/>
        <v>0</v>
      </c>
      <c r="K18" s="1730">
        <f t="shared" si="1"/>
        <v>0</v>
      </c>
    </row>
    <row r="19" spans="1:11" ht="15.75" customHeight="1" thickTop="1" x14ac:dyDescent="0.2">
      <c r="A19" s="1611" t="s">
        <v>472</v>
      </c>
      <c r="B19" s="1612">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4" t="s">
        <v>615</v>
      </c>
      <c r="B39" s="556">
        <v>1354</v>
      </c>
      <c r="C39" s="489"/>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1" t="s">
        <v>292</v>
      </c>
      <c r="B41" s="1612">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1168</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1169</v>
      </c>
      <c r="B56" s="557">
        <v>1442</v>
      </c>
      <c r="C56" s="468"/>
      <c r="D56" s="468"/>
      <c r="E56" s="468"/>
      <c r="F56" s="466"/>
      <c r="G56" s="468"/>
      <c r="H56" s="468"/>
      <c r="I56" s="468"/>
      <c r="J56" s="468"/>
      <c r="K56" s="468"/>
    </row>
    <row r="57" spans="1:11" ht="12.75" customHeight="1" x14ac:dyDescent="0.2">
      <c r="A57" s="1515" t="s">
        <v>510</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933</v>
      </c>
      <c r="B59" s="557">
        <v>1451</v>
      </c>
      <c r="C59" s="468"/>
      <c r="D59" s="468"/>
      <c r="E59" s="468"/>
      <c r="F59" s="466"/>
      <c r="G59" s="468"/>
      <c r="H59" s="468"/>
      <c r="I59" s="468"/>
      <c r="J59" s="468"/>
      <c r="K59" s="468"/>
    </row>
    <row r="60" spans="1:11" ht="12.75" customHeight="1" x14ac:dyDescent="0.2">
      <c r="A60" s="151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6"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2981</v>
      </c>
      <c r="D65" s="466">
        <f>836+89</f>
        <v>925</v>
      </c>
      <c r="E65" s="466">
        <f>385+181</f>
        <v>566</v>
      </c>
      <c r="F65" s="467">
        <f>1746+60</f>
        <v>1806</v>
      </c>
      <c r="G65" s="466">
        <f>87+37</f>
        <v>124</v>
      </c>
      <c r="H65" s="466"/>
      <c r="I65" s="466">
        <f>262+6</f>
        <v>268</v>
      </c>
      <c r="J65" s="467">
        <f>123+29</f>
        <v>152</v>
      </c>
      <c r="K65" s="466">
        <f>371+14</f>
        <v>385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2981</v>
      </c>
      <c r="D67" s="1707">
        <f t="shared" ref="D67:K67" si="2">SUM(D65:D66)</f>
        <v>925</v>
      </c>
      <c r="E67" s="1707">
        <f t="shared" si="2"/>
        <v>566</v>
      </c>
      <c r="F67" s="1707">
        <f t="shared" si="2"/>
        <v>1806</v>
      </c>
      <c r="G67" s="1707">
        <f t="shared" si="2"/>
        <v>124</v>
      </c>
      <c r="H67" s="1707">
        <f t="shared" si="2"/>
        <v>0</v>
      </c>
      <c r="I67" s="1707">
        <f t="shared" si="2"/>
        <v>268</v>
      </c>
      <c r="J67" s="1707">
        <f t="shared" si="2"/>
        <v>152</v>
      </c>
      <c r="K67" s="1707">
        <f t="shared" si="2"/>
        <v>385</v>
      </c>
    </row>
    <row r="68" spans="1:11" ht="15.75" customHeight="1" thickTop="1" x14ac:dyDescent="0.2">
      <c r="A68" s="1611" t="s">
        <v>475</v>
      </c>
      <c r="B68" s="1613">
        <v>1600</v>
      </c>
      <c r="C68" s="553"/>
      <c r="D68" s="468"/>
      <c r="E68" s="468"/>
      <c r="F68" s="468"/>
      <c r="G68" s="468"/>
      <c r="H68" s="468"/>
      <c r="I68" s="468"/>
      <c r="J68" s="468"/>
      <c r="K68" s="468"/>
    </row>
    <row r="69" spans="1:11" ht="12.75" customHeight="1" x14ac:dyDescent="0.2">
      <c r="A69" s="463" t="s">
        <v>687</v>
      </c>
      <c r="B69" s="470">
        <v>1611</v>
      </c>
      <c r="C69" s="466">
        <f>58345-8168</f>
        <v>50177</v>
      </c>
      <c r="D69" s="468"/>
      <c r="E69" s="468"/>
      <c r="F69" s="468"/>
      <c r="G69" s="468"/>
      <c r="H69" s="468"/>
      <c r="I69" s="468"/>
      <c r="J69" s="468"/>
      <c r="K69" s="468"/>
    </row>
    <row r="70" spans="1:11" ht="12.75" customHeight="1" x14ac:dyDescent="0.2">
      <c r="A70" s="463" t="s">
        <v>1054</v>
      </c>
      <c r="B70" s="470">
        <v>1612</v>
      </c>
      <c r="C70" s="551">
        <v>8168</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7" t="s">
        <v>569</v>
      </c>
      <c r="B75" s="1728"/>
      <c r="C75" s="1707">
        <f>SUM(C69:C74)</f>
        <v>58345</v>
      </c>
      <c r="D75" s="468"/>
      <c r="E75" s="468"/>
      <c r="F75" s="468"/>
      <c r="G75" s="468"/>
      <c r="H75" s="468"/>
      <c r="I75" s="468"/>
      <c r="J75" s="468"/>
      <c r="K75" s="468"/>
    </row>
    <row r="76" spans="1:11" ht="15.75" customHeight="1" thickTop="1" x14ac:dyDescent="0.2">
      <c r="A76" s="1611" t="s">
        <v>936</v>
      </c>
      <c r="B76" s="1613">
        <v>1700</v>
      </c>
      <c r="C76" s="553"/>
      <c r="D76" s="468"/>
      <c r="E76" s="468"/>
      <c r="F76" s="468"/>
      <c r="G76" s="468"/>
      <c r="H76" s="468"/>
      <c r="I76" s="468"/>
      <c r="J76" s="468"/>
      <c r="K76" s="468"/>
    </row>
    <row r="77" spans="1:11" ht="12.75" customHeight="1" x14ac:dyDescent="0.2">
      <c r="A77" s="463" t="s">
        <v>570</v>
      </c>
      <c r="B77" s="470">
        <v>1711</v>
      </c>
      <c r="C77" s="516">
        <v>31190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24302</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7" t="s">
        <v>259</v>
      </c>
      <c r="B82" s="1728"/>
      <c r="C82" s="1726">
        <f>SUM(C77:C81)</f>
        <v>55492</v>
      </c>
      <c r="D82" s="1707">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573</v>
      </c>
      <c r="B84" s="470">
        <v>1811</v>
      </c>
      <c r="C84" s="466">
        <v>49626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49626</v>
      </c>
      <c r="D93" s="468"/>
      <c r="E93" s="468"/>
      <c r="F93" s="468"/>
      <c r="G93" s="468"/>
      <c r="H93" s="468"/>
      <c r="I93" s="468"/>
      <c r="J93" s="468"/>
      <c r="K93" s="468"/>
    </row>
    <row r="94" spans="1:11" ht="15.75" customHeight="1" thickTop="1" x14ac:dyDescent="0.2">
      <c r="A94" s="1611" t="s">
        <v>1199</v>
      </c>
      <c r="B94" s="1613">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20000</v>
      </c>
      <c r="D96" s="551"/>
      <c r="E96" s="479"/>
      <c r="F96" s="478"/>
      <c r="G96" s="478"/>
      <c r="H96" s="478"/>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v>27159</v>
      </c>
      <c r="E100" s="489"/>
      <c r="F100" s="489"/>
      <c r="G100" s="489"/>
      <c r="H100" s="489"/>
      <c r="I100" s="467"/>
      <c r="J100" s="489"/>
      <c r="K100" s="467"/>
    </row>
    <row r="101" spans="1:12" ht="12.75" customHeight="1" x14ac:dyDescent="0.2">
      <c r="A101" s="463" t="s">
        <v>264</v>
      </c>
      <c r="B101" s="470">
        <v>1970</v>
      </c>
      <c r="C101" s="489">
        <v>7359</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4168</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29057</v>
      </c>
      <c r="D107" s="466">
        <v>13022</v>
      </c>
      <c r="E107" s="466"/>
      <c r="F107" s="466">
        <v>484</v>
      </c>
      <c r="G107" s="466"/>
      <c r="H107" s="466"/>
      <c r="I107" s="466"/>
      <c r="J107" s="467"/>
      <c r="K107" s="466"/>
    </row>
    <row r="108" spans="1:12" ht="12.75" customHeight="1" thickBot="1" x14ac:dyDescent="0.25">
      <c r="A108" s="1727" t="s">
        <v>508</v>
      </c>
      <c r="B108" s="1731"/>
      <c r="C108" s="1726">
        <f>SUM(C95:C107)</f>
        <v>60584</v>
      </c>
      <c r="D108" s="1726">
        <f t="shared" ref="D108:K108" si="3">SUM(D95:D107)</f>
        <v>40181</v>
      </c>
      <c r="E108" s="1726">
        <f t="shared" si="3"/>
        <v>0</v>
      </c>
      <c r="F108" s="1726">
        <f t="shared" si="3"/>
        <v>484</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2686797</v>
      </c>
      <c r="D109" s="1734">
        <f t="shared" si="4"/>
        <v>432821</v>
      </c>
      <c r="E109" s="1734">
        <f t="shared" si="4"/>
        <v>638831</v>
      </c>
      <c r="F109" s="1734">
        <f t="shared" si="4"/>
        <v>210331</v>
      </c>
      <c r="G109" s="1734">
        <f t="shared" si="4"/>
        <v>129907</v>
      </c>
      <c r="H109" s="1734">
        <f t="shared" si="4"/>
        <v>0</v>
      </c>
      <c r="I109" s="1734">
        <f t="shared" si="4"/>
        <v>21116</v>
      </c>
      <c r="J109" s="1734">
        <f t="shared" si="4"/>
        <v>100761</v>
      </c>
      <c r="K109" s="1721">
        <f t="shared" si="4"/>
        <v>49071</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2"/>
      <c r="D116" s="521"/>
      <c r="E116" s="561"/>
      <c r="F116" s="521"/>
      <c r="G116" s="521"/>
      <c r="H116" s="561"/>
      <c r="I116" s="468"/>
      <c r="J116" s="521"/>
      <c r="K116" s="521"/>
    </row>
    <row r="117" spans="1:11" ht="12.75" customHeight="1" x14ac:dyDescent="0.2">
      <c r="A117" s="463" t="s">
        <v>1766</v>
      </c>
      <c r="B117" s="562">
        <v>3001</v>
      </c>
      <c r="C117" s="516">
        <v>568962</v>
      </c>
      <c r="D117" s="481">
        <v>467030</v>
      </c>
      <c r="E117" s="466"/>
      <c r="F117" s="481"/>
      <c r="G117" s="481">
        <v>110248</v>
      </c>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5" t="s">
        <v>1904</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568962</v>
      </c>
      <c r="D121" s="1726">
        <f t="shared" si="5"/>
        <v>467030</v>
      </c>
      <c r="E121" s="1726">
        <f t="shared" si="5"/>
        <v>0</v>
      </c>
      <c r="F121" s="1726">
        <f t="shared" si="5"/>
        <v>0</v>
      </c>
      <c r="G121" s="1726">
        <f t="shared" si="5"/>
        <v>110248</v>
      </c>
      <c r="H121" s="1726">
        <f t="shared" si="5"/>
        <v>0</v>
      </c>
      <c r="I121" s="468"/>
      <c r="J121" s="1726">
        <f>SUM(J117:J120)</f>
        <v>0</v>
      </c>
      <c r="K121" s="1707">
        <f>SUM(K117:K120)</f>
        <v>0</v>
      </c>
    </row>
    <row r="122" spans="1:11" ht="15.75" customHeight="1" thickTop="1" x14ac:dyDescent="0.2">
      <c r="A122" s="1611" t="s">
        <v>1570</v>
      </c>
      <c r="B122" s="1616"/>
      <c r="C122" s="565"/>
      <c r="D122" s="509"/>
      <c r="E122" s="468"/>
      <c r="F122" s="566"/>
      <c r="G122" s="468"/>
      <c r="H122" s="468"/>
      <c r="I122" s="468"/>
      <c r="J122" s="468"/>
      <c r="K122" s="468"/>
    </row>
    <row r="123" spans="1:11" ht="15" customHeight="1" x14ac:dyDescent="0.2">
      <c r="A123" s="1617" t="s">
        <v>688</v>
      </c>
      <c r="B123" s="1618"/>
      <c r="C123" s="521"/>
      <c r="D123" s="509"/>
      <c r="E123" s="468"/>
      <c r="F123" s="521"/>
      <c r="G123" s="468"/>
      <c r="H123" s="468"/>
      <c r="I123" s="468"/>
      <c r="J123" s="468"/>
      <c r="K123" s="468"/>
    </row>
    <row r="124" spans="1:11" ht="12.75" customHeight="1" x14ac:dyDescent="0.2">
      <c r="A124" s="463" t="s">
        <v>921</v>
      </c>
      <c r="B124" s="567">
        <v>3100</v>
      </c>
      <c r="C124" s="481">
        <v>29845</v>
      </c>
      <c r="D124" s="561"/>
      <c r="E124" s="468"/>
      <c r="F124" s="548"/>
      <c r="G124" s="468"/>
      <c r="H124" s="468"/>
      <c r="I124" s="468"/>
      <c r="J124" s="468"/>
      <c r="K124" s="468"/>
    </row>
    <row r="125" spans="1:11" ht="12.75" customHeight="1" x14ac:dyDescent="0.2">
      <c r="A125" s="463" t="s">
        <v>1521</v>
      </c>
      <c r="B125" s="562">
        <v>3105</v>
      </c>
      <c r="C125" s="466">
        <v>34699</v>
      </c>
      <c r="D125" s="561"/>
      <c r="E125" s="468"/>
      <c r="F125" s="466"/>
      <c r="G125" s="468"/>
      <c r="H125" s="468"/>
      <c r="I125" s="468"/>
      <c r="J125" s="468"/>
      <c r="K125" s="468"/>
    </row>
    <row r="126" spans="1:11" ht="12.75" customHeight="1" x14ac:dyDescent="0.2">
      <c r="A126" s="463" t="s">
        <v>922</v>
      </c>
      <c r="B126" s="562">
        <v>3110</v>
      </c>
      <c r="C126" s="551">
        <v>50000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1096</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115640</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3807</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573</v>
      </c>
      <c r="D139" s="466"/>
      <c r="E139" s="561"/>
      <c r="F139" s="477"/>
      <c r="G139" s="467"/>
      <c r="H139" s="468"/>
      <c r="I139" s="468"/>
      <c r="J139" s="468"/>
      <c r="K139" s="468"/>
    </row>
    <row r="140" spans="1:11" ht="12.75" customHeight="1" thickBot="1" x14ac:dyDescent="0.25">
      <c r="A140" s="1727" t="s">
        <v>624</v>
      </c>
      <c r="B140" s="1739"/>
      <c r="C140" s="1726">
        <f>SUM(C133:C139)</f>
        <v>4380</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19" t="s">
        <v>691</v>
      </c>
      <c r="B141" s="1620"/>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17" t="s">
        <v>1116</v>
      </c>
      <c r="B145" s="568">
        <v>3360</v>
      </c>
      <c r="C145" s="569">
        <v>1414</v>
      </c>
      <c r="D145" s="570"/>
      <c r="E145" s="509"/>
      <c r="F145" s="468"/>
      <c r="G145" s="571"/>
      <c r="H145" s="468"/>
      <c r="I145" s="468"/>
      <c r="J145" s="468"/>
      <c r="K145" s="468"/>
    </row>
    <row r="146" spans="1:11" ht="12.75" customHeight="1" thickBot="1" x14ac:dyDescent="0.25">
      <c r="A146" s="1518" t="s">
        <v>979</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v>8744</v>
      </c>
      <c r="D147" s="573"/>
      <c r="E147" s="509"/>
      <c r="F147" s="468"/>
      <c r="G147" s="468"/>
      <c r="H147" s="468"/>
      <c r="I147" s="468"/>
      <c r="J147" s="468"/>
      <c r="K147" s="468"/>
    </row>
    <row r="148" spans="1:11" ht="12.75" customHeight="1" thickTop="1" thickBot="1" x14ac:dyDescent="0.25">
      <c r="A148" s="1519" t="s">
        <v>791</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473</v>
      </c>
      <c r="B150" s="1621"/>
      <c r="C150" s="553"/>
      <c r="D150" s="468"/>
      <c r="E150" s="561"/>
      <c r="F150" s="468"/>
      <c r="G150" s="468"/>
      <c r="H150" s="468"/>
      <c r="I150" s="468"/>
      <c r="J150" s="468"/>
      <c r="K150" s="468"/>
    </row>
    <row r="151" spans="1:11" ht="12.75" customHeight="1" x14ac:dyDescent="0.2">
      <c r="A151" s="463" t="s">
        <v>1523</v>
      </c>
      <c r="B151" s="562">
        <v>3500</v>
      </c>
      <c r="C151" s="551"/>
      <c r="D151" s="466"/>
      <c r="E151" s="561"/>
      <c r="F151" s="466">
        <v>119645</v>
      </c>
      <c r="G151" s="467"/>
      <c r="H151" s="468"/>
      <c r="I151" s="468"/>
      <c r="J151" s="468"/>
      <c r="K151" s="468"/>
    </row>
    <row r="152" spans="1:11" ht="12.75" customHeight="1" x14ac:dyDescent="0.2">
      <c r="A152" s="463" t="s">
        <v>1117</v>
      </c>
      <c r="B152" s="562">
        <v>3510</v>
      </c>
      <c r="C152" s="551"/>
      <c r="D152" s="466"/>
      <c r="E152" s="561"/>
      <c r="F152" s="466">
        <v>75472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195117</v>
      </c>
      <c r="G154" s="1726">
        <f>SUM(G151:G153)</f>
        <v>0</v>
      </c>
      <c r="H154" s="468"/>
      <c r="I154" s="468"/>
      <c r="J154" s="468"/>
      <c r="K154" s="468"/>
    </row>
    <row r="155" spans="1:11" ht="12.75" customHeight="1" thickTop="1" thickBot="1" x14ac:dyDescent="0.25">
      <c r="A155" s="1519" t="s">
        <v>398</v>
      </c>
      <c r="B155" s="574">
        <v>3610</v>
      </c>
      <c r="C155" s="576"/>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1057</v>
      </c>
      <c r="B157" s="574">
        <v>3695</v>
      </c>
      <c r="C157" s="576"/>
      <c r="D157" s="468"/>
      <c r="E157" s="561"/>
      <c r="F157" s="576"/>
      <c r="G157" s="576"/>
      <c r="H157" s="468"/>
      <c r="I157" s="468"/>
      <c r="J157" s="468"/>
      <c r="K157" s="468"/>
    </row>
    <row r="158" spans="1:11" ht="12.75" customHeight="1" thickTop="1" thickBot="1" x14ac:dyDescent="0.25">
      <c r="A158" s="1519" t="s">
        <v>1111</v>
      </c>
      <c r="B158" s="574">
        <v>3705</v>
      </c>
      <c r="C158" s="576">
        <v>214602</v>
      </c>
      <c r="D158" s="578"/>
      <c r="E158" s="561"/>
      <c r="F158" s="576"/>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415</v>
      </c>
      <c r="B161" s="574">
        <v>3725</v>
      </c>
      <c r="C161" s="531"/>
      <c r="D161" s="468"/>
      <c r="E161" s="561"/>
      <c r="F161" s="531"/>
      <c r="G161" s="531"/>
      <c r="H161" s="468"/>
      <c r="I161" s="468"/>
      <c r="J161" s="468"/>
      <c r="K161" s="468"/>
    </row>
    <row r="162" spans="1:11" ht="12.75" customHeight="1" thickTop="1" thickBot="1" x14ac:dyDescent="0.25">
      <c r="A162" s="1519" t="s">
        <v>416</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1042</v>
      </c>
      <c r="B164" s="574">
        <v>3767</v>
      </c>
      <c r="C164" s="576"/>
      <c r="D164" s="531"/>
      <c r="E164" s="561"/>
      <c r="F164" s="531"/>
      <c r="G164" s="531"/>
      <c r="H164" s="468"/>
      <c r="I164" s="468"/>
      <c r="J164" s="468"/>
      <c r="K164" s="468"/>
    </row>
    <row r="165" spans="1:11" ht="12.75" customHeight="1" thickTop="1" thickBot="1" x14ac:dyDescent="0.25">
      <c r="A165" s="1519" t="s">
        <v>1043</v>
      </c>
      <c r="B165" s="574">
        <v>3775</v>
      </c>
      <c r="C165" s="576"/>
      <c r="D165" s="573"/>
      <c r="E165" s="530"/>
      <c r="F165" s="573"/>
      <c r="G165" s="532"/>
      <c r="H165" s="530"/>
      <c r="I165" s="468"/>
      <c r="J165" s="468"/>
      <c r="K165" s="530"/>
    </row>
    <row r="166" spans="1:11" ht="12.75" customHeight="1" thickTop="1" thickBot="1" x14ac:dyDescent="0.25">
      <c r="A166" s="1519" t="s">
        <v>1524</v>
      </c>
      <c r="B166" s="574">
        <v>3780</v>
      </c>
      <c r="C166" s="531"/>
      <c r="D166" s="530"/>
      <c r="E166" s="531"/>
      <c r="F166" s="531"/>
      <c r="G166" s="531"/>
      <c r="H166" s="531"/>
      <c r="I166" s="468"/>
      <c r="J166" s="468"/>
      <c r="K166" s="531"/>
    </row>
    <row r="167" spans="1:11" ht="12.75" customHeight="1" thickTop="1" thickBot="1" x14ac:dyDescent="0.25">
      <c r="A167" s="1519" t="s">
        <v>913</v>
      </c>
      <c r="B167" s="574">
        <v>3815</v>
      </c>
      <c r="C167" s="576"/>
      <c r="D167" s="468"/>
      <c r="E167" s="561"/>
      <c r="F167" s="576"/>
      <c r="G167" s="468"/>
      <c r="H167" s="468"/>
      <c r="I167" s="468"/>
      <c r="J167" s="468"/>
      <c r="K167" s="468"/>
    </row>
    <row r="168" spans="1:11" ht="12.75" customHeight="1" thickTop="1" thickBot="1" x14ac:dyDescent="0.25">
      <c r="A168" s="1519" t="s">
        <v>417</v>
      </c>
      <c r="B168" s="574">
        <v>3825</v>
      </c>
      <c r="C168" s="576"/>
      <c r="D168" s="468"/>
      <c r="E168" s="561"/>
      <c r="F168" s="576"/>
      <c r="G168" s="468"/>
      <c r="H168" s="468"/>
      <c r="I168" s="468"/>
      <c r="J168" s="468"/>
      <c r="K168" s="468"/>
    </row>
    <row r="169" spans="1:11" ht="12.75" customHeight="1" thickTop="1" thickBot="1" x14ac:dyDescent="0.25">
      <c r="A169" s="1519" t="s">
        <v>366</v>
      </c>
      <c r="B169" s="574">
        <v>3920</v>
      </c>
      <c r="C169" s="566"/>
      <c r="D169" s="578"/>
      <c r="E169" s="468"/>
      <c r="F169" s="566"/>
      <c r="G169" s="468"/>
      <c r="H169" s="530"/>
      <c r="I169" s="468"/>
      <c r="J169" s="468"/>
      <c r="K169" s="468"/>
    </row>
    <row r="170" spans="1:11" ht="12.75" customHeight="1" thickTop="1" thickBot="1" x14ac:dyDescent="0.25">
      <c r="A170" s="1519" t="s">
        <v>367</v>
      </c>
      <c r="B170" s="574">
        <v>3925</v>
      </c>
      <c r="C170" s="521"/>
      <c r="D170" s="576"/>
      <c r="E170" s="521"/>
      <c r="F170" s="521"/>
      <c r="G170" s="468"/>
      <c r="H170" s="531"/>
      <c r="I170" s="468"/>
      <c r="J170" s="468"/>
      <c r="K170" s="530"/>
    </row>
    <row r="171" spans="1:11" ht="14.25" thickTop="1" thickBot="1" x14ac:dyDescent="0.25">
      <c r="A171" s="1519" t="s">
        <v>72</v>
      </c>
      <c r="B171" s="574">
        <v>3999</v>
      </c>
      <c r="C171" s="579"/>
      <c r="D171" s="580"/>
      <c r="E171" s="580"/>
      <c r="F171" s="580"/>
      <c r="G171" s="581"/>
      <c r="H171" s="582"/>
      <c r="I171" s="581"/>
      <c r="J171" s="581"/>
      <c r="K171" s="582"/>
    </row>
    <row r="172" spans="1:11" ht="12.75" customHeight="1" thickTop="1" thickBot="1" x14ac:dyDescent="0.25">
      <c r="A172" s="2200" t="s">
        <v>418</v>
      </c>
      <c r="B172" s="2201"/>
      <c r="C172" s="1741">
        <f t="shared" ref="C172:K172" si="6">SUM(C131,C140,C144,C145:C149,C154,C155:C170,C171)</f>
        <v>344780</v>
      </c>
      <c r="D172" s="1741">
        <f t="shared" si="6"/>
        <v>0</v>
      </c>
      <c r="E172" s="1741">
        <f t="shared" si="6"/>
        <v>0</v>
      </c>
      <c r="F172" s="1741">
        <f t="shared" si="6"/>
        <v>195117</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913742</v>
      </c>
      <c r="D173" s="1734">
        <f>SUM(D121,D172)</f>
        <v>467030</v>
      </c>
      <c r="E173" s="1734">
        <f>SUM(E121,E172)</f>
        <v>0</v>
      </c>
      <c r="F173" s="1734">
        <f t="shared" ref="F173:K173" si="7">SUM(F121,F172)</f>
        <v>195117</v>
      </c>
      <c r="G173" s="1734">
        <f t="shared" si="7"/>
        <v>110248</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202" t="s">
        <v>1572</v>
      </c>
      <c r="B175" s="220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06" t="s">
        <v>1764</v>
      </c>
      <c r="B178" s="2207"/>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210" t="s">
        <v>1763</v>
      </c>
      <c r="B179" s="221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08" t="s">
        <v>818</v>
      </c>
      <c r="B184" s="2209"/>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204" t="s">
        <v>1906</v>
      </c>
      <c r="B185" s="2205"/>
      <c r="C185" s="584"/>
      <c r="D185" s="566"/>
      <c r="E185" s="509"/>
      <c r="F185" s="566"/>
      <c r="G185" s="566"/>
      <c r="H185" s="468"/>
      <c r="I185" s="468"/>
      <c r="J185" s="468"/>
      <c r="K185" s="468"/>
    </row>
    <row r="186" spans="1:11" ht="15.75" customHeight="1" x14ac:dyDescent="0.2">
      <c r="A186" s="1622" t="s">
        <v>1692</v>
      </c>
      <c r="B186" s="1623"/>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40196</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40196</v>
      </c>
      <c r="D191" s="1726">
        <f>SUM(D187:D190)</f>
        <v>0</v>
      </c>
      <c r="E191" s="561"/>
      <c r="F191" s="1726">
        <f>SUM(F187:F190)</f>
        <v>0</v>
      </c>
      <c r="G191" s="1726">
        <f>SUM(G187:G190)</f>
        <v>0</v>
      </c>
      <c r="H191" s="468"/>
      <c r="I191" s="468"/>
      <c r="J191" s="468"/>
      <c r="K191" s="468"/>
    </row>
    <row r="192" spans="1:11" ht="15.75" customHeight="1" thickTop="1" x14ac:dyDescent="0.2">
      <c r="A192" s="1619" t="s">
        <v>475</v>
      </c>
      <c r="B192" s="1624"/>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70408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21528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91936</v>
      </c>
      <c r="D201" s="468"/>
      <c r="E201" s="468"/>
      <c r="F201" s="468"/>
      <c r="G201" s="1707">
        <f>SUM(G193:G200)</f>
        <v>0</v>
      </c>
      <c r="H201" s="468"/>
      <c r="I201" s="468"/>
      <c r="J201" s="468"/>
      <c r="K201" s="468"/>
    </row>
    <row r="202" spans="1:11" ht="15.75" customHeight="1" thickTop="1" x14ac:dyDescent="0.2">
      <c r="A202" s="1619" t="s">
        <v>1200</v>
      </c>
      <c r="B202" s="1624"/>
      <c r="C202" s="553"/>
      <c r="D202" s="468"/>
      <c r="E202" s="468"/>
      <c r="F202" s="468"/>
      <c r="G202" s="468"/>
      <c r="H202" s="468"/>
      <c r="I202" s="468"/>
      <c r="J202" s="468"/>
      <c r="K202" s="468"/>
    </row>
    <row r="203" spans="1:11" ht="12.75" customHeight="1" x14ac:dyDescent="0.2">
      <c r="A203" s="463" t="s">
        <v>974</v>
      </c>
      <c r="B203" s="470">
        <v>4300</v>
      </c>
      <c r="C203" s="466">
        <v>19407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19407</v>
      </c>
      <c r="D211" s="1726">
        <f>SUM(D203:D210)</f>
        <v>0</v>
      </c>
      <c r="E211" s="468"/>
      <c r="F211" s="1726">
        <f>SUM(F203:F210)</f>
        <v>0</v>
      </c>
      <c r="G211" s="1726">
        <f>SUM(G203:G210)</f>
        <v>0</v>
      </c>
      <c r="H211" s="468"/>
      <c r="I211" s="468"/>
      <c r="J211" s="468"/>
      <c r="K211" s="468"/>
    </row>
    <row r="212" spans="1:11" ht="15.75" customHeight="1" thickTop="1" x14ac:dyDescent="0.2">
      <c r="A212" s="1619" t="s">
        <v>1201</v>
      </c>
      <c r="B212" s="1624"/>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75" customHeight="1" thickTop="1" x14ac:dyDescent="0.2">
      <c r="A217" s="1619" t="s">
        <v>1154</v>
      </c>
      <c r="B217" s="1624"/>
      <c r="C217" s="553"/>
      <c r="D217" s="553"/>
      <c r="E217" s="468"/>
      <c r="F217" s="553"/>
      <c r="G217" s="553"/>
      <c r="H217" s="468"/>
      <c r="I217" s="468"/>
      <c r="J217" s="468"/>
      <c r="K217" s="468"/>
    </row>
    <row r="218" spans="1:11" ht="12.75" customHeight="1" x14ac:dyDescent="0.2">
      <c r="A218" s="463" t="s">
        <v>1112</v>
      </c>
      <c r="B218" s="470">
        <v>4600</v>
      </c>
      <c r="C218" s="551">
        <v>12777</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92159</v>
      </c>
      <c r="D220" s="466"/>
      <c r="E220" s="468"/>
      <c r="F220" s="466"/>
      <c r="G220" s="466"/>
      <c r="H220" s="468"/>
      <c r="I220" s="468"/>
      <c r="J220" s="468"/>
      <c r="K220" s="468"/>
    </row>
    <row r="221" spans="1:11" ht="12.75" customHeight="1" x14ac:dyDescent="0.2">
      <c r="A221" s="463" t="s">
        <v>1114</v>
      </c>
      <c r="B221" s="470">
        <v>4625</v>
      </c>
      <c r="C221" s="551">
        <v>219</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105155</v>
      </c>
      <c r="D224" s="1726">
        <f>SUM(D218:D223)</f>
        <v>0</v>
      </c>
      <c r="E224" s="468"/>
      <c r="F224" s="1726">
        <f>SUM(F218:F223)</f>
        <v>0</v>
      </c>
      <c r="G224" s="1726">
        <f>SUM(G218:G223)</f>
        <v>0</v>
      </c>
      <c r="H224" s="468"/>
      <c r="I224" s="468"/>
      <c r="J224" s="468"/>
      <c r="K224" s="468"/>
    </row>
    <row r="225" spans="1:11" ht="15.75" customHeight="1" thickTop="1" x14ac:dyDescent="0.2">
      <c r="A225" s="1619" t="s">
        <v>1155</v>
      </c>
      <c r="B225" s="1624"/>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1" t="s">
        <v>1493</v>
      </c>
      <c r="B260" s="588">
        <v>4901</v>
      </c>
      <c r="C260" s="589"/>
      <c r="D260" s="469"/>
      <c r="E260" s="468"/>
      <c r="F260" s="468"/>
      <c r="G260" s="468"/>
      <c r="H260" s="468"/>
      <c r="I260" s="468"/>
      <c r="J260" s="468"/>
      <c r="K260" s="468"/>
    </row>
    <row r="261" spans="1:11" ht="12.75" customHeight="1" thickTop="1" thickBot="1" x14ac:dyDescent="0.25">
      <c r="A261" s="1522"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11065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4624</v>
      </c>
      <c r="D270" s="576"/>
      <c r="E270" s="468"/>
      <c r="F270" s="576"/>
      <c r="G270" s="576"/>
      <c r="H270" s="468"/>
      <c r="I270" s="468"/>
      <c r="J270" s="468"/>
      <c r="K270" s="468"/>
    </row>
    <row r="271" spans="1:11" ht="12.75" customHeight="1" thickTop="1" thickBot="1" x14ac:dyDescent="0.25">
      <c r="A271" s="463" t="s">
        <v>395</v>
      </c>
      <c r="B271" s="470">
        <v>4992</v>
      </c>
      <c r="C271" s="575">
        <f>64355-4624</f>
        <v>59731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332114</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332114</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3932653</v>
      </c>
      <c r="D275" s="1734">
        <f t="shared" si="12"/>
        <v>899851</v>
      </c>
      <c r="E275" s="1734">
        <f t="shared" si="12"/>
        <v>638831</v>
      </c>
      <c r="F275" s="1734">
        <f t="shared" si="12"/>
        <v>405448</v>
      </c>
      <c r="G275" s="1734">
        <f t="shared" si="12"/>
        <v>240155</v>
      </c>
      <c r="H275" s="1734">
        <f t="shared" si="12"/>
        <v>0</v>
      </c>
      <c r="I275" s="1734">
        <f t="shared" si="12"/>
        <v>21116</v>
      </c>
      <c r="J275" s="1734">
        <f t="shared" si="12"/>
        <v>100761</v>
      </c>
      <c r="K275" s="1721">
        <f t="shared" si="12"/>
        <v>49071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orizontalCentered="1" headings="1" gridLines="1"/>
  <pageMargins left="0.5" right="0.5" top="1.4" bottom="0.75" header="1" footer="0.5"/>
  <pageSetup scale="70" firstPageNumber="9" fitToHeight="6"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3"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89" activePane="bottomLeft" state="frozen"/>
      <selection activeCell="A47" sqref="A47"/>
      <selection pane="bottomLeft" activeCell="L302" sqref="L30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8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1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18" t="s">
        <v>315</v>
      </c>
      <c r="B3" s="2219"/>
      <c r="C3" s="1567"/>
      <c r="D3" s="1567"/>
      <c r="E3" s="1567"/>
      <c r="F3" s="1567"/>
      <c r="G3" s="1567"/>
      <c r="H3" s="1567"/>
      <c r="I3" s="1567"/>
      <c r="J3" s="1567"/>
      <c r="K3" s="1568"/>
      <c r="L3" s="1569"/>
      <c r="M3" s="610"/>
      <c r="N3" s="610"/>
    </row>
    <row r="4" spans="1:14" s="259" customFormat="1" ht="15.75" customHeight="1" x14ac:dyDescent="0.2">
      <c r="A4" s="1625" t="s">
        <v>46</v>
      </c>
      <c r="B4" s="1626" t="s">
        <v>591</v>
      </c>
      <c r="C4" s="611"/>
      <c r="D4" s="611"/>
      <c r="E4" s="611"/>
      <c r="F4" s="611"/>
      <c r="G4" s="611"/>
      <c r="H4" s="611"/>
      <c r="I4" s="612"/>
      <c r="J4" s="611"/>
      <c r="K4" s="613"/>
      <c r="L4" s="611"/>
      <c r="M4" s="614"/>
      <c r="N4" s="614"/>
    </row>
    <row r="5" spans="1:14" x14ac:dyDescent="0.2">
      <c r="A5" s="1523" t="s">
        <v>1018</v>
      </c>
      <c r="B5" s="615">
        <v>1100</v>
      </c>
      <c r="C5" s="466">
        <f>681740+39204+486983+13346+485404</f>
        <v>1706677</v>
      </c>
      <c r="D5" s="466">
        <f>6546+81802+8556+5062+61224+5691+8518+7104+90823+5251</f>
        <v>280577</v>
      </c>
      <c r="E5" s="466">
        <f>202+153+270</f>
        <v>625</v>
      </c>
      <c r="F5" s="466">
        <f>9955+20927+1991+5415+10396-2+12682+3964+2</f>
        <v>65330</v>
      </c>
      <c r="G5" s="466"/>
      <c r="H5" s="466">
        <f>485+100+5835+570</f>
        <v>6990</v>
      </c>
      <c r="I5" s="467"/>
      <c r="J5" s="467"/>
      <c r="K5" s="1690">
        <f>SUM(C5:J5)</f>
        <v>2060199</v>
      </c>
      <c r="L5" s="466">
        <v>2307150</v>
      </c>
    </row>
    <row r="6" spans="1:14" x14ac:dyDescent="0.2">
      <c r="A6" s="1523" t="s">
        <v>1508</v>
      </c>
      <c r="B6" s="615" t="s">
        <v>1506</v>
      </c>
      <c r="C6" s="477"/>
      <c r="D6" s="477"/>
      <c r="E6" s="466"/>
      <c r="F6" s="477"/>
      <c r="G6" s="477"/>
      <c r="H6" s="477"/>
      <c r="I6" s="477"/>
      <c r="J6" s="477"/>
      <c r="K6" s="1690">
        <f>SUM(C6,E6)</f>
        <v>0</v>
      </c>
      <c r="L6" s="466"/>
    </row>
    <row r="7" spans="1:14" x14ac:dyDescent="0.2">
      <c r="A7" s="1523" t="s">
        <v>165</v>
      </c>
      <c r="B7" s="615" t="s">
        <v>1024</v>
      </c>
      <c r="C7" s="467">
        <f>62602+36097</f>
        <v>98699</v>
      </c>
      <c r="D7" s="467">
        <f>719+3824+686</f>
        <v>5229</v>
      </c>
      <c r="E7" s="467">
        <f>2000+4232</f>
        <v>6232</v>
      </c>
      <c r="F7" s="467">
        <f>3130+2348+2552+8889+668-3</f>
        <v>17584</v>
      </c>
      <c r="G7" s="467">
        <v>21512</v>
      </c>
      <c r="H7" s="467"/>
      <c r="I7" s="467"/>
      <c r="J7" s="467"/>
      <c r="K7" s="1690">
        <f t="shared" ref="K7:K32" si="0">SUM(C7:J7)</f>
        <v>149256</v>
      </c>
      <c r="L7" s="466">
        <v>194234</v>
      </c>
    </row>
    <row r="8" spans="1:14" x14ac:dyDescent="0.2">
      <c r="A8" s="1523" t="s">
        <v>166</v>
      </c>
      <c r="B8" s="615">
        <v>1200</v>
      </c>
      <c r="C8" s="466">
        <v>203357</v>
      </c>
      <c r="D8" s="466">
        <f>2399+19397+2114</f>
        <v>23910</v>
      </c>
      <c r="E8" s="466"/>
      <c r="F8" s="466"/>
      <c r="G8" s="466"/>
      <c r="H8" s="466"/>
      <c r="I8" s="467"/>
      <c r="J8" s="467"/>
      <c r="K8" s="1690">
        <f t="shared" si="0"/>
        <v>227267</v>
      </c>
      <c r="L8" s="466">
        <v>247500</v>
      </c>
    </row>
    <row r="9" spans="1:14" x14ac:dyDescent="0.2">
      <c r="A9" s="1523" t="s">
        <v>745</v>
      </c>
      <c r="B9" s="615" t="s">
        <v>1025</v>
      </c>
      <c r="C9" s="467"/>
      <c r="D9" s="467"/>
      <c r="E9" s="467"/>
      <c r="F9" s="467"/>
      <c r="G9" s="467"/>
      <c r="H9" s="467"/>
      <c r="I9" s="467"/>
      <c r="J9" s="467"/>
      <c r="K9" s="1690">
        <f t="shared" si="0"/>
        <v>0</v>
      </c>
      <c r="L9" s="466"/>
    </row>
    <row r="10" spans="1:14" x14ac:dyDescent="0.2">
      <c r="A10" s="1523" t="s">
        <v>746</v>
      </c>
      <c r="B10" s="615">
        <v>1250</v>
      </c>
      <c r="C10" s="466">
        <f>15000+38519+513</f>
        <v>54032</v>
      </c>
      <c r="D10" s="466">
        <f>7221+20000</f>
        <v>27221</v>
      </c>
      <c r="E10" s="466"/>
      <c r="F10" s="466"/>
      <c r="G10" s="466"/>
      <c r="H10" s="466"/>
      <c r="I10" s="467"/>
      <c r="J10" s="467"/>
      <c r="K10" s="1690">
        <f t="shared" si="0"/>
        <v>81253</v>
      </c>
      <c r="L10" s="466">
        <v>112733</v>
      </c>
    </row>
    <row r="11" spans="1:14" x14ac:dyDescent="0.2">
      <c r="A11" s="1523" t="s">
        <v>1192</v>
      </c>
      <c r="B11" s="615" t="s">
        <v>163</v>
      </c>
      <c r="C11" s="467"/>
      <c r="D11" s="467"/>
      <c r="E11" s="467"/>
      <c r="F11" s="467"/>
      <c r="G11" s="467"/>
      <c r="H11" s="467"/>
      <c r="I11" s="467"/>
      <c r="J11" s="467"/>
      <c r="K11" s="1690">
        <f t="shared" si="0"/>
        <v>0</v>
      </c>
      <c r="L11" s="466"/>
    </row>
    <row r="12" spans="1:14" x14ac:dyDescent="0.2">
      <c r="A12" s="1523" t="s">
        <v>1019</v>
      </c>
      <c r="B12" s="615">
        <v>1300</v>
      </c>
      <c r="C12" s="466"/>
      <c r="D12" s="466"/>
      <c r="E12" s="466"/>
      <c r="F12" s="466"/>
      <c r="G12" s="466"/>
      <c r="H12" s="466"/>
      <c r="I12" s="467"/>
      <c r="J12" s="467"/>
      <c r="K12" s="1690">
        <f t="shared" si="0"/>
        <v>0</v>
      </c>
      <c r="L12" s="466"/>
    </row>
    <row r="13" spans="1:14" x14ac:dyDescent="0.2">
      <c r="A13" s="1523" t="s">
        <v>747</v>
      </c>
      <c r="B13" s="615">
        <v>1400</v>
      </c>
      <c r="C13" s="466">
        <v>12021</v>
      </c>
      <c r="D13" s="466">
        <f>64+993+89</f>
        <v>1146</v>
      </c>
      <c r="E13" s="466">
        <v>143</v>
      </c>
      <c r="F13" s="466">
        <f>558+4101-1</f>
        <v>4658</v>
      </c>
      <c r="G13" s="466"/>
      <c r="H13" s="466">
        <v>100</v>
      </c>
      <c r="I13" s="467"/>
      <c r="J13" s="467"/>
      <c r="K13" s="1690">
        <f t="shared" si="0"/>
        <v>18068</v>
      </c>
      <c r="L13" s="466">
        <v>56566</v>
      </c>
    </row>
    <row r="14" spans="1:14" x14ac:dyDescent="0.2">
      <c r="A14" s="1523" t="s">
        <v>1020</v>
      </c>
      <c r="B14" s="615">
        <v>1500</v>
      </c>
      <c r="C14" s="466">
        <f>83721+6397</f>
        <v>90118</v>
      </c>
      <c r="D14" s="466">
        <f>476+646+981+9</f>
        <v>2112</v>
      </c>
      <c r="E14" s="466">
        <f>31603+160</f>
        <v>31763</v>
      </c>
      <c r="F14" s="466">
        <f>14388+167+5261+352</f>
        <v>20168</v>
      </c>
      <c r="G14" s="466">
        <v>20000</v>
      </c>
      <c r="H14" s="466">
        <f>1694+1000</f>
        <v>2694</v>
      </c>
      <c r="I14" s="467"/>
      <c r="J14" s="467"/>
      <c r="K14" s="1690">
        <f t="shared" si="0"/>
        <v>166855</v>
      </c>
      <c r="L14" s="466">
        <v>189150</v>
      </c>
    </row>
    <row r="15" spans="1:14" x14ac:dyDescent="0.2">
      <c r="A15" s="1523" t="s">
        <v>1021</v>
      </c>
      <c r="B15" s="615">
        <v>1600</v>
      </c>
      <c r="C15" s="466"/>
      <c r="D15" s="466"/>
      <c r="E15" s="466"/>
      <c r="F15" s="466"/>
      <c r="G15" s="466"/>
      <c r="H15" s="466"/>
      <c r="I15" s="467"/>
      <c r="J15" s="467"/>
      <c r="K15" s="1690">
        <f t="shared" si="0"/>
        <v>0</v>
      </c>
      <c r="L15" s="466"/>
    </row>
    <row r="16" spans="1:14" x14ac:dyDescent="0.2">
      <c r="A16" s="1523" t="s">
        <v>1044</v>
      </c>
      <c r="B16" s="615" t="s">
        <v>444</v>
      </c>
      <c r="C16" s="466"/>
      <c r="D16" s="466"/>
      <c r="E16" s="466"/>
      <c r="F16" s="466"/>
      <c r="G16" s="466"/>
      <c r="H16" s="466"/>
      <c r="I16" s="467"/>
      <c r="J16" s="467"/>
      <c r="K16" s="1690">
        <f t="shared" si="0"/>
        <v>0</v>
      </c>
      <c r="L16" s="466"/>
    </row>
    <row r="17" spans="1:12" x14ac:dyDescent="0.2">
      <c r="A17" s="1523" t="s">
        <v>748</v>
      </c>
      <c r="B17" s="615" t="s">
        <v>164</v>
      </c>
      <c r="C17" s="467">
        <v>30314</v>
      </c>
      <c r="D17" s="467">
        <f>176+267</f>
        <v>443</v>
      </c>
      <c r="E17" s="467"/>
      <c r="F17" s="467"/>
      <c r="G17" s="467"/>
      <c r="H17" s="467"/>
      <c r="I17" s="467"/>
      <c r="J17" s="467"/>
      <c r="K17" s="1690">
        <f t="shared" si="0"/>
        <v>30757</v>
      </c>
      <c r="L17" s="466"/>
    </row>
    <row r="18" spans="1:12" x14ac:dyDescent="0.2">
      <c r="A18" s="1523" t="s">
        <v>1148</v>
      </c>
      <c r="B18" s="615">
        <v>1800</v>
      </c>
      <c r="C18" s="466"/>
      <c r="D18" s="466"/>
      <c r="E18" s="466"/>
      <c r="F18" s="466"/>
      <c r="G18" s="466"/>
      <c r="H18" s="466"/>
      <c r="I18" s="467"/>
      <c r="J18" s="467"/>
      <c r="K18" s="1690">
        <f t="shared" si="0"/>
        <v>0</v>
      </c>
      <c r="L18" s="466"/>
    </row>
    <row r="19" spans="1:12" x14ac:dyDescent="0.2">
      <c r="A19" s="1523" t="s">
        <v>136</v>
      </c>
      <c r="B19" s="615">
        <v>1900</v>
      </c>
      <c r="C19" s="466"/>
      <c r="D19" s="466"/>
      <c r="E19" s="466"/>
      <c r="F19" s="466"/>
      <c r="G19" s="466"/>
      <c r="H19" s="466"/>
      <c r="I19" s="467"/>
      <c r="J19" s="467"/>
      <c r="K19" s="1690">
        <f t="shared" si="0"/>
        <v>0</v>
      </c>
      <c r="L19" s="466"/>
    </row>
    <row r="20" spans="1:12" x14ac:dyDescent="0.2">
      <c r="A20" s="1524" t="s">
        <v>762</v>
      </c>
      <c r="B20" s="603" t="s">
        <v>749</v>
      </c>
      <c r="C20" s="477"/>
      <c r="D20" s="477"/>
      <c r="E20" s="477"/>
      <c r="F20" s="477"/>
      <c r="G20" s="477"/>
      <c r="H20" s="474"/>
      <c r="I20" s="617"/>
      <c r="J20" s="475"/>
      <c r="K20" s="1690">
        <f t="shared" si="0"/>
        <v>0</v>
      </c>
      <c r="L20" s="471"/>
    </row>
    <row r="21" spans="1:12" x14ac:dyDescent="0.2">
      <c r="A21" s="1524" t="s">
        <v>763</v>
      </c>
      <c r="B21" s="603" t="s">
        <v>750</v>
      </c>
      <c r="C21" s="477"/>
      <c r="D21" s="477"/>
      <c r="E21" s="477"/>
      <c r="F21" s="477"/>
      <c r="G21" s="477"/>
      <c r="H21" s="474"/>
      <c r="I21" s="617"/>
      <c r="J21" s="477"/>
      <c r="K21" s="1690">
        <f t="shared" si="0"/>
        <v>0</v>
      </c>
      <c r="L21" s="471"/>
    </row>
    <row r="22" spans="1:12" x14ac:dyDescent="0.2">
      <c r="A22" s="1524" t="s">
        <v>764</v>
      </c>
      <c r="B22" s="603" t="s">
        <v>751</v>
      </c>
      <c r="C22" s="477"/>
      <c r="D22" s="477"/>
      <c r="E22" s="477"/>
      <c r="F22" s="477"/>
      <c r="G22" s="477"/>
      <c r="H22" s="474"/>
      <c r="I22" s="617"/>
      <c r="J22" s="477"/>
      <c r="K22" s="1690">
        <f t="shared" si="0"/>
        <v>0</v>
      </c>
      <c r="L22" s="471"/>
    </row>
    <row r="23" spans="1:12" x14ac:dyDescent="0.2">
      <c r="A23" s="1524" t="s">
        <v>765</v>
      </c>
      <c r="B23" s="603" t="s">
        <v>752</v>
      </c>
      <c r="C23" s="477"/>
      <c r="D23" s="477"/>
      <c r="E23" s="477"/>
      <c r="F23" s="477"/>
      <c r="G23" s="477"/>
      <c r="H23" s="474"/>
      <c r="I23" s="617"/>
      <c r="J23" s="477"/>
      <c r="K23" s="1690">
        <f t="shared" si="0"/>
        <v>0</v>
      </c>
      <c r="L23" s="471"/>
    </row>
    <row r="24" spans="1:12" ht="12.75" customHeight="1" x14ac:dyDescent="0.2">
      <c r="A24" s="1524" t="s">
        <v>766</v>
      </c>
      <c r="B24" s="603" t="s">
        <v>753</v>
      </c>
      <c r="C24" s="477"/>
      <c r="D24" s="477"/>
      <c r="E24" s="477"/>
      <c r="F24" s="477"/>
      <c r="G24" s="477"/>
      <c r="H24" s="474"/>
      <c r="I24" s="617"/>
      <c r="J24" s="477"/>
      <c r="K24" s="1690">
        <f t="shared" si="0"/>
        <v>0</v>
      </c>
      <c r="L24" s="471"/>
    </row>
    <row r="25" spans="1:12" ht="12.75" customHeight="1" x14ac:dyDescent="0.2">
      <c r="A25" s="1524" t="s">
        <v>835</v>
      </c>
      <c r="B25" s="603" t="s">
        <v>754</v>
      </c>
      <c r="C25" s="477"/>
      <c r="D25" s="477"/>
      <c r="E25" s="477"/>
      <c r="F25" s="477"/>
      <c r="G25" s="477"/>
      <c r="H25" s="474"/>
      <c r="I25" s="617"/>
      <c r="J25" s="477"/>
      <c r="K25" s="1690">
        <f t="shared" si="0"/>
        <v>0</v>
      </c>
      <c r="L25" s="471"/>
    </row>
    <row r="26" spans="1:12" x14ac:dyDescent="0.2">
      <c r="A26" s="1524" t="s">
        <v>643</v>
      </c>
      <c r="B26" s="603" t="s">
        <v>755</v>
      </c>
      <c r="C26" s="477"/>
      <c r="D26" s="477"/>
      <c r="E26" s="477"/>
      <c r="F26" s="477"/>
      <c r="G26" s="477"/>
      <c r="H26" s="474"/>
      <c r="I26" s="617"/>
      <c r="J26" s="477"/>
      <c r="K26" s="1690">
        <f t="shared" si="0"/>
        <v>0</v>
      </c>
      <c r="L26" s="471"/>
    </row>
    <row r="27" spans="1:12" x14ac:dyDescent="0.2">
      <c r="A27" s="1524" t="s">
        <v>644</v>
      </c>
      <c r="B27" s="603" t="s">
        <v>756</v>
      </c>
      <c r="C27" s="477"/>
      <c r="D27" s="477"/>
      <c r="E27" s="477"/>
      <c r="F27" s="477"/>
      <c r="G27" s="477"/>
      <c r="H27" s="474"/>
      <c r="I27" s="617"/>
      <c r="J27" s="477"/>
      <c r="K27" s="1690">
        <f t="shared" si="0"/>
        <v>0</v>
      </c>
      <c r="L27" s="471"/>
    </row>
    <row r="28" spans="1:12" x14ac:dyDescent="0.2">
      <c r="A28" s="1524" t="s">
        <v>152</v>
      </c>
      <c r="B28" s="603" t="s">
        <v>757</v>
      </c>
      <c r="C28" s="477"/>
      <c r="D28" s="477"/>
      <c r="E28" s="477"/>
      <c r="F28" s="477"/>
      <c r="G28" s="477"/>
      <c r="H28" s="474"/>
      <c r="I28" s="617"/>
      <c r="J28" s="477"/>
      <c r="K28" s="1690">
        <f t="shared" si="0"/>
        <v>0</v>
      </c>
      <c r="L28" s="471"/>
    </row>
    <row r="29" spans="1:12" x14ac:dyDescent="0.2">
      <c r="A29" s="1524" t="s">
        <v>153</v>
      </c>
      <c r="B29" s="603" t="s">
        <v>758</v>
      </c>
      <c r="C29" s="477"/>
      <c r="D29" s="477"/>
      <c r="E29" s="477"/>
      <c r="F29" s="477"/>
      <c r="G29" s="477"/>
      <c r="H29" s="474"/>
      <c r="I29" s="617"/>
      <c r="J29" s="477"/>
      <c r="K29" s="1690">
        <f t="shared" si="0"/>
        <v>0</v>
      </c>
      <c r="L29" s="471"/>
    </row>
    <row r="30" spans="1:12" x14ac:dyDescent="0.2">
      <c r="A30" s="1524" t="s">
        <v>154</v>
      </c>
      <c r="B30" s="603" t="s">
        <v>759</v>
      </c>
      <c r="C30" s="477"/>
      <c r="D30" s="477"/>
      <c r="E30" s="477"/>
      <c r="F30" s="477"/>
      <c r="G30" s="477"/>
      <c r="H30" s="474"/>
      <c r="I30" s="617"/>
      <c r="J30" s="477"/>
      <c r="K30" s="1690">
        <f t="shared" si="0"/>
        <v>0</v>
      </c>
      <c r="L30" s="471"/>
    </row>
    <row r="31" spans="1:12" x14ac:dyDescent="0.2">
      <c r="A31" s="1524" t="s">
        <v>155</v>
      </c>
      <c r="B31" s="603" t="s">
        <v>760</v>
      </c>
      <c r="C31" s="477"/>
      <c r="D31" s="477"/>
      <c r="E31" s="477"/>
      <c r="F31" s="477"/>
      <c r="G31" s="477"/>
      <c r="H31" s="474"/>
      <c r="I31" s="617"/>
      <c r="J31" s="477"/>
      <c r="K31" s="1690">
        <f t="shared" si="0"/>
        <v>0</v>
      </c>
      <c r="L31" s="471"/>
    </row>
    <row r="32" spans="1:12" x14ac:dyDescent="0.2">
      <c r="A32" s="1525" t="s">
        <v>1191</v>
      </c>
      <c r="B32" s="615" t="s">
        <v>761</v>
      </c>
      <c r="C32" s="477"/>
      <c r="D32" s="477"/>
      <c r="E32" s="477"/>
      <c r="F32" s="477"/>
      <c r="G32" s="477"/>
      <c r="H32" s="474"/>
      <c r="I32" s="617"/>
      <c r="J32" s="480"/>
      <c r="K32" s="1690">
        <f t="shared" si="0"/>
        <v>0</v>
      </c>
      <c r="L32" s="471"/>
    </row>
    <row r="33" spans="1:14" ht="12.75" customHeight="1" thickBot="1" x14ac:dyDescent="0.25">
      <c r="A33" s="1687" t="s">
        <v>1767</v>
      </c>
      <c r="B33" s="1688" t="s">
        <v>591</v>
      </c>
      <c r="C33" s="1689">
        <f>SUM(C5:C32)</f>
        <v>2195218</v>
      </c>
      <c r="D33" s="1689">
        <f t="shared" ref="D33:L33" si="1">SUM(D5:D32)</f>
        <v>340638</v>
      </c>
      <c r="E33" s="1689">
        <f t="shared" si="1"/>
        <v>38763</v>
      </c>
      <c r="F33" s="1689">
        <f t="shared" si="1"/>
        <v>107740</v>
      </c>
      <c r="G33" s="1689">
        <f t="shared" si="1"/>
        <v>41512</v>
      </c>
      <c r="H33" s="1689">
        <f t="shared" si="1"/>
        <v>9784</v>
      </c>
      <c r="I33" s="1689">
        <f t="shared" si="1"/>
        <v>0</v>
      </c>
      <c r="J33" s="1689">
        <f t="shared" si="1"/>
        <v>0</v>
      </c>
      <c r="K33" s="1689">
        <f t="shared" si="1"/>
        <v>2733655</v>
      </c>
      <c r="L33" s="1689">
        <f t="shared" si="1"/>
        <v>3107333</v>
      </c>
    </row>
    <row r="34" spans="1:14" s="621" customFormat="1" ht="15.75" customHeight="1" thickTop="1" x14ac:dyDescent="0.2">
      <c r="A34" s="1627" t="s">
        <v>48</v>
      </c>
      <c r="B34" s="162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3" t="s">
        <v>1150</v>
      </c>
      <c r="B36" s="615">
        <v>2110</v>
      </c>
      <c r="C36" s="481"/>
      <c r="D36" s="481"/>
      <c r="E36" s="481"/>
      <c r="F36" s="481"/>
      <c r="G36" s="481"/>
      <c r="H36" s="481"/>
      <c r="I36" s="467"/>
      <c r="J36" s="467"/>
      <c r="K36" s="1690">
        <f t="shared" ref="K36:K41" si="2">SUM(C36:J36)</f>
        <v>0</v>
      </c>
      <c r="L36" s="466"/>
    </row>
    <row r="37" spans="1:14" x14ac:dyDescent="0.2">
      <c r="A37" s="1523" t="s">
        <v>1151</v>
      </c>
      <c r="B37" s="615">
        <v>2120</v>
      </c>
      <c r="C37" s="466">
        <v>48179</v>
      </c>
      <c r="D37" s="466">
        <f>633+7755+526</f>
        <v>8914</v>
      </c>
      <c r="E37" s="466">
        <v>200</v>
      </c>
      <c r="F37" s="466">
        <v>342</v>
      </c>
      <c r="G37" s="466"/>
      <c r="H37" s="466">
        <v>50</v>
      </c>
      <c r="I37" s="467"/>
      <c r="J37" s="467"/>
      <c r="K37" s="1690">
        <f t="shared" si="2"/>
        <v>57685</v>
      </c>
      <c r="L37" s="466">
        <v>61365</v>
      </c>
    </row>
    <row r="38" spans="1:14" x14ac:dyDescent="0.2">
      <c r="A38" s="1523" t="s">
        <v>207</v>
      </c>
      <c r="B38" s="615">
        <v>2130</v>
      </c>
      <c r="C38" s="466">
        <v>46903</v>
      </c>
      <c r="D38" s="466">
        <v>9633</v>
      </c>
      <c r="E38" s="466"/>
      <c r="F38" s="466">
        <f>2011+1</f>
        <v>2012</v>
      </c>
      <c r="G38" s="466"/>
      <c r="H38" s="466">
        <v>70</v>
      </c>
      <c r="I38" s="467"/>
      <c r="J38" s="467"/>
      <c r="K38" s="1690">
        <f t="shared" si="2"/>
        <v>58618</v>
      </c>
      <c r="L38" s="466">
        <v>66412</v>
      </c>
    </row>
    <row r="39" spans="1:14" x14ac:dyDescent="0.2">
      <c r="A39" s="1523" t="s">
        <v>208</v>
      </c>
      <c r="B39" s="615">
        <v>2140</v>
      </c>
      <c r="C39" s="466"/>
      <c r="D39" s="466"/>
      <c r="E39" s="466"/>
      <c r="F39" s="466"/>
      <c r="G39" s="466"/>
      <c r="H39" s="466"/>
      <c r="I39" s="467"/>
      <c r="J39" s="467"/>
      <c r="K39" s="1690">
        <f t="shared" si="2"/>
        <v>0</v>
      </c>
      <c r="L39" s="466"/>
    </row>
    <row r="40" spans="1:14" x14ac:dyDescent="0.2">
      <c r="A40" s="1523" t="s">
        <v>209</v>
      </c>
      <c r="B40" s="615">
        <v>2150</v>
      </c>
      <c r="C40" s="466"/>
      <c r="D40" s="466"/>
      <c r="E40" s="466"/>
      <c r="F40" s="466"/>
      <c r="G40" s="466"/>
      <c r="H40" s="466"/>
      <c r="I40" s="467"/>
      <c r="J40" s="467"/>
      <c r="K40" s="1690">
        <f t="shared" si="2"/>
        <v>0</v>
      </c>
      <c r="L40" s="466"/>
    </row>
    <row r="41" spans="1:14" x14ac:dyDescent="0.2">
      <c r="A41" s="1523" t="s">
        <v>1768</v>
      </c>
      <c r="B41" s="615">
        <v>2190</v>
      </c>
      <c r="C41" s="466">
        <v>183045</v>
      </c>
      <c r="D41" s="466">
        <f>24553+230+1</f>
        <v>24784</v>
      </c>
      <c r="E41" s="466"/>
      <c r="F41" s="466"/>
      <c r="G41" s="466"/>
      <c r="H41" s="466"/>
      <c r="I41" s="467"/>
      <c r="J41" s="467"/>
      <c r="K41" s="1690">
        <f t="shared" si="2"/>
        <v>207829</v>
      </c>
      <c r="L41" s="466">
        <v>253300</v>
      </c>
    </row>
    <row r="42" spans="1:14" ht="12.75" customHeight="1" thickBot="1" x14ac:dyDescent="0.25">
      <c r="A42" s="1687" t="s">
        <v>581</v>
      </c>
      <c r="B42" s="1688" t="s">
        <v>740</v>
      </c>
      <c r="C42" s="1689">
        <f>SUM(C36:C41)</f>
        <v>278127</v>
      </c>
      <c r="D42" s="1689">
        <f t="shared" ref="D42:L42" si="3">SUM(D36:D41)</f>
        <v>43331</v>
      </c>
      <c r="E42" s="1689">
        <f t="shared" si="3"/>
        <v>200</v>
      </c>
      <c r="F42" s="1689">
        <f t="shared" si="3"/>
        <v>2354</v>
      </c>
      <c r="G42" s="1689">
        <f t="shared" si="3"/>
        <v>0</v>
      </c>
      <c r="H42" s="1689">
        <f t="shared" si="3"/>
        <v>120</v>
      </c>
      <c r="I42" s="1689">
        <f t="shared" si="3"/>
        <v>0</v>
      </c>
      <c r="J42" s="1689">
        <f t="shared" si="3"/>
        <v>0</v>
      </c>
      <c r="K42" s="1689">
        <f t="shared" si="3"/>
        <v>324132</v>
      </c>
      <c r="L42" s="1689">
        <f t="shared" si="3"/>
        <v>381077</v>
      </c>
    </row>
    <row r="43" spans="1:14" ht="15.75" customHeight="1" thickTop="1" x14ac:dyDescent="0.2">
      <c r="A43" s="625" t="s">
        <v>613</v>
      </c>
      <c r="B43" s="626"/>
      <c r="C43" s="627"/>
      <c r="D43" s="627"/>
      <c r="E43" s="627"/>
      <c r="F43" s="627"/>
      <c r="G43" s="627"/>
      <c r="H43" s="627"/>
      <c r="I43" s="617"/>
      <c r="J43" s="617"/>
      <c r="K43" s="627"/>
      <c r="L43" s="627"/>
    </row>
    <row r="44" spans="1:14" x14ac:dyDescent="0.2">
      <c r="A44" s="1523" t="s">
        <v>868</v>
      </c>
      <c r="B44" s="615">
        <v>2210</v>
      </c>
      <c r="C44" s="481"/>
      <c r="D44" s="481"/>
      <c r="E44" s="481">
        <v>61381</v>
      </c>
      <c r="F44" s="481"/>
      <c r="G44" s="481"/>
      <c r="H44" s="481"/>
      <c r="I44" s="467"/>
      <c r="J44" s="467"/>
      <c r="K44" s="1691">
        <f>SUM(C44:J44)</f>
        <v>61381</v>
      </c>
      <c r="L44" s="481">
        <v>65000</v>
      </c>
    </row>
    <row r="45" spans="1:14" x14ac:dyDescent="0.2">
      <c r="A45" s="1523" t="s">
        <v>869</v>
      </c>
      <c r="B45" s="615">
        <v>2220</v>
      </c>
      <c r="C45" s="466"/>
      <c r="D45" s="466"/>
      <c r="E45" s="466">
        <f>571-1</f>
        <v>570</v>
      </c>
      <c r="F45" s="466">
        <f>158+747+500</f>
        <v>1405</v>
      </c>
      <c r="G45" s="466"/>
      <c r="H45" s="466"/>
      <c r="I45" s="467"/>
      <c r="J45" s="467"/>
      <c r="K45" s="1691">
        <f>SUM(C45:J45)</f>
        <v>1975</v>
      </c>
      <c r="L45" s="466">
        <v>2880</v>
      </c>
    </row>
    <row r="46" spans="1:14" x14ac:dyDescent="0.2">
      <c r="A46" s="1523" t="s">
        <v>870</v>
      </c>
      <c r="B46" s="615">
        <v>2230</v>
      </c>
      <c r="C46" s="466"/>
      <c r="D46" s="466"/>
      <c r="E46" s="466"/>
      <c r="F46" s="466"/>
      <c r="G46" s="466"/>
      <c r="H46" s="466"/>
      <c r="I46" s="467"/>
      <c r="J46" s="467"/>
      <c r="K46" s="1691">
        <f>SUM(C46:J46)</f>
        <v>0</v>
      </c>
      <c r="L46" s="466"/>
    </row>
    <row r="47" spans="1:14" ht="12.75" customHeight="1" thickBot="1" x14ac:dyDescent="0.25">
      <c r="A47" s="1687" t="s">
        <v>582</v>
      </c>
      <c r="B47" s="1688" t="s">
        <v>32</v>
      </c>
      <c r="C47" s="1689">
        <f>SUM(C44:C46)</f>
        <v>0</v>
      </c>
      <c r="D47" s="1689">
        <f t="shared" ref="D47:K47" si="4">SUM(D44:D46)</f>
        <v>0</v>
      </c>
      <c r="E47" s="1689">
        <f t="shared" si="4"/>
        <v>61951</v>
      </c>
      <c r="F47" s="1689">
        <f t="shared" si="4"/>
        <v>1405</v>
      </c>
      <c r="G47" s="1689">
        <f t="shared" si="4"/>
        <v>0</v>
      </c>
      <c r="H47" s="1689">
        <f t="shared" si="4"/>
        <v>0</v>
      </c>
      <c r="I47" s="1689">
        <f t="shared" si="4"/>
        <v>0</v>
      </c>
      <c r="J47" s="1689">
        <f t="shared" si="4"/>
        <v>0</v>
      </c>
      <c r="K47" s="1689">
        <f t="shared" si="4"/>
        <v>63356</v>
      </c>
      <c r="L47" s="1689">
        <f>SUM(L44:L46)</f>
        <v>67880</v>
      </c>
    </row>
    <row r="48" spans="1:14" ht="15.75" customHeight="1" thickTop="1" x14ac:dyDescent="0.2">
      <c r="A48" s="625" t="s">
        <v>631</v>
      </c>
      <c r="B48" s="626"/>
      <c r="C48" s="627"/>
      <c r="D48" s="627"/>
      <c r="E48" s="627"/>
      <c r="F48" s="627"/>
      <c r="G48" s="627"/>
      <c r="H48" s="627"/>
      <c r="I48" s="617"/>
      <c r="J48" s="617"/>
      <c r="K48" s="627"/>
      <c r="L48" s="627"/>
    </row>
    <row r="49" spans="1:14" x14ac:dyDescent="0.2">
      <c r="A49" s="1523" t="s">
        <v>871</v>
      </c>
      <c r="B49" s="615">
        <v>2310</v>
      </c>
      <c r="C49" s="481"/>
      <c r="D49" s="481"/>
      <c r="E49" s="481">
        <f>22159+108+1000+653+2447-1</f>
        <v>26366</v>
      </c>
      <c r="F49" s="481">
        <f>341+19613</f>
        <v>19954</v>
      </c>
      <c r="G49" s="481"/>
      <c r="H49" s="481">
        <v>23294</v>
      </c>
      <c r="I49" s="467"/>
      <c r="J49" s="467"/>
      <c r="K49" s="1691">
        <f>SUM(C49:J49)</f>
        <v>69614</v>
      </c>
      <c r="L49" s="481">
        <v>65900</v>
      </c>
    </row>
    <row r="50" spans="1:14" x14ac:dyDescent="0.2">
      <c r="A50" s="1523" t="s">
        <v>872</v>
      </c>
      <c r="B50" s="615">
        <v>2320</v>
      </c>
      <c r="C50" s="466">
        <f>132637</f>
        <v>132637</v>
      </c>
      <c r="D50" s="466">
        <f>377+42+1898</f>
        <v>2317</v>
      </c>
      <c r="E50" s="466">
        <v>2240</v>
      </c>
      <c r="F50" s="466">
        <v>52</v>
      </c>
      <c r="G50" s="466"/>
      <c r="H50" s="466">
        <v>1901</v>
      </c>
      <c r="I50" s="467"/>
      <c r="J50" s="467"/>
      <c r="K50" s="1691">
        <f>SUM(C50:J50)</f>
        <v>139147</v>
      </c>
      <c r="L50" s="466">
        <v>153870</v>
      </c>
    </row>
    <row r="51" spans="1:14" x14ac:dyDescent="0.2">
      <c r="A51" s="1523" t="s">
        <v>44</v>
      </c>
      <c r="B51" s="615">
        <v>2330</v>
      </c>
      <c r="C51" s="466"/>
      <c r="D51" s="466"/>
      <c r="E51" s="466"/>
      <c r="F51" s="466"/>
      <c r="G51" s="466"/>
      <c r="H51" s="466"/>
      <c r="I51" s="467"/>
      <c r="J51" s="467"/>
      <c r="K51" s="1691">
        <f>SUM(C51:J51)</f>
        <v>0</v>
      </c>
      <c r="L51" s="466"/>
    </row>
    <row r="52" spans="1:14" ht="22.5" x14ac:dyDescent="0.2">
      <c r="A52" s="1524" t="s">
        <v>316</v>
      </c>
      <c r="B52" s="628" t="s">
        <v>384</v>
      </c>
      <c r="C52" s="474"/>
      <c r="D52" s="474"/>
      <c r="E52" s="474"/>
      <c r="F52" s="474"/>
      <c r="G52" s="474"/>
      <c r="H52" s="474"/>
      <c r="I52" s="474"/>
      <c r="J52" s="474"/>
      <c r="K52" s="1691">
        <f>SUM(C52:J52)</f>
        <v>0</v>
      </c>
      <c r="L52" s="474"/>
    </row>
    <row r="53" spans="1:14" ht="12.75" customHeight="1" thickBot="1" x14ac:dyDescent="0.25">
      <c r="A53" s="1687" t="s">
        <v>741</v>
      </c>
      <c r="B53" s="1688" t="s">
        <v>33</v>
      </c>
      <c r="C53" s="1689">
        <f>SUM(C49:C52)</f>
        <v>132637</v>
      </c>
      <c r="D53" s="1689">
        <f t="shared" ref="D53:L53" si="5">SUM(D49:D52)</f>
        <v>2317</v>
      </c>
      <c r="E53" s="1689">
        <f t="shared" si="5"/>
        <v>28606</v>
      </c>
      <c r="F53" s="1689">
        <f t="shared" si="5"/>
        <v>20006</v>
      </c>
      <c r="G53" s="1689">
        <f t="shared" si="5"/>
        <v>0</v>
      </c>
      <c r="H53" s="1689">
        <f t="shared" si="5"/>
        <v>25195</v>
      </c>
      <c r="I53" s="1689">
        <f t="shared" si="5"/>
        <v>0</v>
      </c>
      <c r="J53" s="1689">
        <f t="shared" si="5"/>
        <v>0</v>
      </c>
      <c r="K53" s="1689">
        <f t="shared" si="5"/>
        <v>208761</v>
      </c>
      <c r="L53" s="1689">
        <f t="shared" si="5"/>
        <v>219770</v>
      </c>
    </row>
    <row r="54" spans="1:14" ht="15.75" customHeight="1" thickTop="1" x14ac:dyDescent="0.2">
      <c r="A54" s="625" t="s">
        <v>632</v>
      </c>
      <c r="B54" s="626"/>
      <c r="C54" s="627"/>
      <c r="D54" s="627"/>
      <c r="E54" s="627"/>
      <c r="F54" s="627"/>
      <c r="G54" s="627"/>
      <c r="H54" s="627"/>
      <c r="I54" s="617"/>
      <c r="J54" s="617"/>
      <c r="K54" s="627"/>
      <c r="L54" s="627"/>
    </row>
    <row r="55" spans="1:14" x14ac:dyDescent="0.2">
      <c r="A55" s="1523" t="s">
        <v>1127</v>
      </c>
      <c r="B55" s="615">
        <v>2410</v>
      </c>
      <c r="C55" s="481">
        <f>174816+58914</f>
        <v>233730</v>
      </c>
      <c r="D55" s="481">
        <f>515+35+2462+8980</f>
        <v>11992</v>
      </c>
      <c r="E55" s="481">
        <f>213-1</f>
        <v>212</v>
      </c>
      <c r="F55" s="481">
        <v>609</v>
      </c>
      <c r="G55" s="481"/>
      <c r="H55" s="481">
        <v>1841</v>
      </c>
      <c r="I55" s="467"/>
      <c r="J55" s="467"/>
      <c r="K55" s="1691">
        <f>SUM(C55:J55)</f>
        <v>248384</v>
      </c>
      <c r="L55" s="481">
        <v>259935</v>
      </c>
    </row>
    <row r="56" spans="1:14" ht="12.75" customHeight="1" x14ac:dyDescent="0.2">
      <c r="A56" s="1527" t="s">
        <v>394</v>
      </c>
      <c r="B56" s="629">
        <v>2490</v>
      </c>
      <c r="C56" s="466"/>
      <c r="D56" s="466"/>
      <c r="E56" s="466"/>
      <c r="F56" s="466"/>
      <c r="G56" s="466"/>
      <c r="H56" s="466"/>
      <c r="I56" s="467"/>
      <c r="J56" s="467"/>
      <c r="K56" s="1691">
        <f>SUM(C56:J56)</f>
        <v>0</v>
      </c>
      <c r="L56" s="466"/>
    </row>
    <row r="57" spans="1:14" s="343" customFormat="1" ht="12.75" customHeight="1" thickBot="1" x14ac:dyDescent="0.25">
      <c r="A57" s="1687" t="s">
        <v>281</v>
      </c>
      <c r="B57" s="1692" t="s">
        <v>34</v>
      </c>
      <c r="C57" s="1693">
        <f>SUM(C55:C56)</f>
        <v>233730</v>
      </c>
      <c r="D57" s="1693">
        <f t="shared" ref="D57:K57" si="6">SUM(D55:D56)</f>
        <v>11992</v>
      </c>
      <c r="E57" s="1693">
        <f t="shared" si="6"/>
        <v>212</v>
      </c>
      <c r="F57" s="1693">
        <f t="shared" si="6"/>
        <v>609</v>
      </c>
      <c r="G57" s="1693">
        <f t="shared" si="6"/>
        <v>0</v>
      </c>
      <c r="H57" s="1693">
        <f t="shared" si="6"/>
        <v>1841</v>
      </c>
      <c r="I57" s="1693">
        <f t="shared" si="6"/>
        <v>0</v>
      </c>
      <c r="J57" s="1693">
        <f t="shared" si="6"/>
        <v>0</v>
      </c>
      <c r="K57" s="1693">
        <f t="shared" si="6"/>
        <v>248384</v>
      </c>
      <c r="L57" s="1689">
        <f>SUM(L55:L56)</f>
        <v>259935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3" t="s">
        <v>1128</v>
      </c>
      <c r="B59" s="615">
        <v>2510</v>
      </c>
      <c r="C59" s="481"/>
      <c r="D59" s="481"/>
      <c r="E59" s="481"/>
      <c r="F59" s="481"/>
      <c r="G59" s="481"/>
      <c r="H59" s="481"/>
      <c r="I59" s="467"/>
      <c r="J59" s="467"/>
      <c r="K59" s="1691">
        <f t="shared" ref="K59:K64" si="7">SUM(C59:J59)</f>
        <v>0</v>
      </c>
      <c r="L59" s="481"/>
      <c r="M59" s="610"/>
      <c r="N59" s="610"/>
    </row>
    <row r="60" spans="1:14" s="343" customFormat="1" x14ac:dyDescent="0.2">
      <c r="A60" s="1523" t="s">
        <v>483</v>
      </c>
      <c r="B60" s="615">
        <v>2520</v>
      </c>
      <c r="C60" s="466">
        <v>55960</v>
      </c>
      <c r="D60" s="466">
        <v>9416</v>
      </c>
      <c r="E60" s="466"/>
      <c r="F60" s="466">
        <v>421</v>
      </c>
      <c r="G60" s="466"/>
      <c r="H60" s="466"/>
      <c r="I60" s="467"/>
      <c r="J60" s="467"/>
      <c r="K60" s="1691">
        <f t="shared" si="7"/>
        <v>65797</v>
      </c>
      <c r="L60" s="466">
        <v>77350</v>
      </c>
      <c r="M60" s="610"/>
      <c r="N60" s="610"/>
    </row>
    <row r="61" spans="1:14" s="343" customFormat="1" x14ac:dyDescent="0.2">
      <c r="A61" s="1523" t="s">
        <v>206</v>
      </c>
      <c r="B61" s="615">
        <v>2540</v>
      </c>
      <c r="C61" s="466"/>
      <c r="D61" s="466"/>
      <c r="E61" s="466"/>
      <c r="F61" s="466"/>
      <c r="G61" s="466"/>
      <c r="H61" s="466"/>
      <c r="I61" s="467"/>
      <c r="J61" s="467"/>
      <c r="K61" s="1691">
        <f t="shared" si="7"/>
        <v>0</v>
      </c>
      <c r="L61" s="466"/>
      <c r="M61" s="610"/>
      <c r="N61" s="610"/>
    </row>
    <row r="62" spans="1:14" s="343" customFormat="1" x14ac:dyDescent="0.2">
      <c r="A62" s="1523" t="s">
        <v>1010</v>
      </c>
      <c r="B62" s="615">
        <v>2550</v>
      </c>
      <c r="C62" s="466"/>
      <c r="D62" s="466"/>
      <c r="E62" s="466"/>
      <c r="F62" s="466"/>
      <c r="G62" s="466"/>
      <c r="H62" s="466"/>
      <c r="I62" s="467"/>
      <c r="J62" s="467"/>
      <c r="K62" s="1691">
        <f t="shared" si="7"/>
        <v>0</v>
      </c>
      <c r="L62" s="466"/>
      <c r="M62" s="610"/>
      <c r="N62" s="610"/>
    </row>
    <row r="63" spans="1:14" s="610" customFormat="1" x14ac:dyDescent="0.2">
      <c r="A63" s="1523" t="s">
        <v>102</v>
      </c>
      <c r="B63" s="615">
        <v>2560</v>
      </c>
      <c r="C63" s="466">
        <v>47165</v>
      </c>
      <c r="D63" s="466">
        <v>8319</v>
      </c>
      <c r="E63" s="466">
        <f>71087+377</f>
        <v>71464</v>
      </c>
      <c r="F63" s="466">
        <v>3318</v>
      </c>
      <c r="G63" s="466"/>
      <c r="H63" s="466"/>
      <c r="I63" s="467"/>
      <c r="J63" s="467"/>
      <c r="K63" s="1691">
        <f t="shared" si="7"/>
        <v>130266</v>
      </c>
      <c r="L63" s="466">
        <v>150850</v>
      </c>
    </row>
    <row r="64" spans="1:14" s="610" customFormat="1" x14ac:dyDescent="0.2">
      <c r="A64" s="1528" t="s">
        <v>103</v>
      </c>
      <c r="B64" s="631">
        <v>2570</v>
      </c>
      <c r="C64" s="481"/>
      <c r="D64" s="481"/>
      <c r="E64" s="481"/>
      <c r="F64" s="481"/>
      <c r="G64" s="481"/>
      <c r="H64" s="481"/>
      <c r="I64" s="467"/>
      <c r="J64" s="467"/>
      <c r="K64" s="1691">
        <f t="shared" si="7"/>
        <v>0</v>
      </c>
      <c r="L64" s="481"/>
    </row>
    <row r="65" spans="1:14" s="343" customFormat="1" ht="12.75" customHeight="1" thickBot="1" x14ac:dyDescent="0.25">
      <c r="A65" s="1687" t="s">
        <v>743</v>
      </c>
      <c r="B65" s="1688" t="s">
        <v>35</v>
      </c>
      <c r="C65" s="1689">
        <f>SUM(C59:C64)</f>
        <v>103125</v>
      </c>
      <c r="D65" s="1689">
        <f t="shared" ref="D65:L65" si="8">SUM(D59:D64)</f>
        <v>17735</v>
      </c>
      <c r="E65" s="1689">
        <f t="shared" si="8"/>
        <v>71464</v>
      </c>
      <c r="F65" s="1689">
        <f t="shared" si="8"/>
        <v>3739</v>
      </c>
      <c r="G65" s="1689">
        <f t="shared" si="8"/>
        <v>0</v>
      </c>
      <c r="H65" s="1689">
        <f t="shared" si="8"/>
        <v>0</v>
      </c>
      <c r="I65" s="1689">
        <f t="shared" si="8"/>
        <v>0</v>
      </c>
      <c r="J65" s="1689">
        <f t="shared" si="8"/>
        <v>0</v>
      </c>
      <c r="K65" s="1689">
        <f t="shared" si="8"/>
        <v>196063</v>
      </c>
      <c r="L65" s="1689">
        <f t="shared" si="8"/>
        <v>228200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3" t="s">
        <v>1120</v>
      </c>
      <c r="B67" s="615">
        <v>2610</v>
      </c>
      <c r="C67" s="466"/>
      <c r="D67" s="466"/>
      <c r="E67" s="466"/>
      <c r="F67" s="466"/>
      <c r="G67" s="466"/>
      <c r="H67" s="466"/>
      <c r="I67" s="467"/>
      <c r="J67" s="467"/>
      <c r="K67" s="1691">
        <f>SUM(C67:J67)</f>
        <v>0</v>
      </c>
      <c r="L67" s="481"/>
      <c r="M67" s="610"/>
      <c r="N67" s="610"/>
    </row>
    <row r="68" spans="1:14" s="343" customFormat="1" x14ac:dyDescent="0.2">
      <c r="A68" s="1523" t="s">
        <v>628</v>
      </c>
      <c r="B68" s="615">
        <v>2620</v>
      </c>
      <c r="C68" s="466"/>
      <c r="D68" s="466"/>
      <c r="E68" s="466"/>
      <c r="F68" s="466"/>
      <c r="G68" s="466"/>
      <c r="H68" s="466"/>
      <c r="I68" s="467"/>
      <c r="J68" s="467"/>
      <c r="K68" s="1691">
        <f>SUM(C68:J68)</f>
        <v>0</v>
      </c>
      <c r="L68" s="466"/>
      <c r="M68" s="610"/>
      <c r="N68" s="610"/>
    </row>
    <row r="69" spans="1:14" s="343" customFormat="1" x14ac:dyDescent="0.2">
      <c r="A69" s="1523" t="s">
        <v>1121</v>
      </c>
      <c r="B69" s="615">
        <v>2630</v>
      </c>
      <c r="C69" s="466"/>
      <c r="D69" s="466"/>
      <c r="E69" s="466"/>
      <c r="F69" s="466"/>
      <c r="G69" s="466"/>
      <c r="H69" s="466"/>
      <c r="I69" s="467"/>
      <c r="J69" s="467"/>
      <c r="K69" s="1691">
        <f>SUM(C69:J69)</f>
        <v>0</v>
      </c>
      <c r="L69" s="466"/>
      <c r="M69" s="610"/>
      <c r="N69" s="610"/>
    </row>
    <row r="70" spans="1:14" s="343" customFormat="1" x14ac:dyDescent="0.2">
      <c r="A70" s="1523" t="s">
        <v>423</v>
      </c>
      <c r="B70" s="615">
        <v>2640</v>
      </c>
      <c r="C70" s="466"/>
      <c r="D70" s="466"/>
      <c r="E70" s="466"/>
      <c r="F70" s="466"/>
      <c r="G70" s="466"/>
      <c r="H70" s="466"/>
      <c r="I70" s="467"/>
      <c r="J70" s="467"/>
      <c r="K70" s="1691">
        <f>SUM(C70:J70)</f>
        <v>0</v>
      </c>
      <c r="L70" s="466"/>
      <c r="M70" s="610"/>
      <c r="N70" s="610"/>
    </row>
    <row r="71" spans="1:14" s="343" customFormat="1" x14ac:dyDescent="0.2">
      <c r="A71" s="1523" t="s">
        <v>424</v>
      </c>
      <c r="B71" s="615">
        <v>2660</v>
      </c>
      <c r="C71" s="466"/>
      <c r="D71" s="466"/>
      <c r="E71" s="466"/>
      <c r="F71" s="466"/>
      <c r="G71" s="466"/>
      <c r="H71" s="466"/>
      <c r="I71" s="467"/>
      <c r="J71" s="467"/>
      <c r="K71" s="1691">
        <f>SUM(C71:J71)</f>
        <v>0</v>
      </c>
      <c r="L71" s="466"/>
      <c r="M71" s="610"/>
      <c r="N71" s="610"/>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10"/>
      <c r="N72" s="610"/>
    </row>
    <row r="73" spans="1:14" s="343" customFormat="1" ht="14.25" thickTop="1" thickBot="1" x14ac:dyDescent="0.25">
      <c r="A73" s="1529" t="s">
        <v>1037</v>
      </c>
      <c r="B73" s="633" t="s">
        <v>595</v>
      </c>
      <c r="C73" s="573"/>
      <c r="D73" s="573"/>
      <c r="E73" s="573"/>
      <c r="F73" s="573"/>
      <c r="G73" s="573"/>
      <c r="H73" s="573"/>
      <c r="I73" s="531"/>
      <c r="J73" s="531"/>
      <c r="K73" s="1689">
        <f>SUM(C73:J73)</f>
        <v>0</v>
      </c>
      <c r="L73" s="576"/>
      <c r="M73" s="610"/>
      <c r="N73" s="610"/>
    </row>
    <row r="74" spans="1:14" ht="12.75" customHeight="1" thickTop="1" thickBot="1" x14ac:dyDescent="0.25">
      <c r="A74" s="1687" t="s">
        <v>865</v>
      </c>
      <c r="B74" s="1695">
        <v>2000</v>
      </c>
      <c r="C74" s="1696">
        <f>SUM(C42,C47,C53,C57,C65,C72,C73)</f>
        <v>747619</v>
      </c>
      <c r="D74" s="1696">
        <f t="shared" ref="D74:K74" si="10">SUM(D42,D47,D53,D57,D65,D72,D73)</f>
        <v>75375</v>
      </c>
      <c r="E74" s="1696">
        <f t="shared" si="10"/>
        <v>162433</v>
      </c>
      <c r="F74" s="1696">
        <f t="shared" si="10"/>
        <v>28113</v>
      </c>
      <c r="G74" s="1696">
        <f t="shared" si="10"/>
        <v>0</v>
      </c>
      <c r="H74" s="1696">
        <f t="shared" si="10"/>
        <v>27156</v>
      </c>
      <c r="I74" s="1696">
        <f t="shared" si="10"/>
        <v>0</v>
      </c>
      <c r="J74" s="1696">
        <f t="shared" si="10"/>
        <v>0</v>
      </c>
      <c r="K74" s="1696">
        <f t="shared" si="10"/>
        <v>1040696</v>
      </c>
      <c r="L74" s="1696">
        <f>SUM(L42,L47,L53,L57,L65,L72,L73)</f>
        <v>1156862</v>
      </c>
    </row>
    <row r="75" spans="1:14" s="259" customFormat="1" ht="15.75" customHeight="1" thickTop="1" thickBot="1" x14ac:dyDescent="0.25">
      <c r="A75" s="1629" t="s">
        <v>49</v>
      </c>
      <c r="B75" s="1630" t="s">
        <v>596</v>
      </c>
      <c r="C75" s="573"/>
      <c r="D75" s="573"/>
      <c r="E75" s="573"/>
      <c r="F75" s="573"/>
      <c r="G75" s="573"/>
      <c r="H75" s="573"/>
      <c r="I75" s="531"/>
      <c r="J75" s="531"/>
      <c r="K75" s="1689">
        <f>SUM(C75:J75)</f>
        <v>0</v>
      </c>
      <c r="L75" s="576"/>
      <c r="M75" s="614"/>
      <c r="N75" s="614"/>
    </row>
    <row r="76" spans="1:14" s="634" customFormat="1" ht="15.75" customHeight="1" thickTop="1" x14ac:dyDescent="0.2">
      <c r="A76" s="1631" t="s">
        <v>383</v>
      </c>
      <c r="B76" s="162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3" t="s">
        <v>517</v>
      </c>
      <c r="B78" s="615">
        <v>4110</v>
      </c>
      <c r="C78" s="617"/>
      <c r="D78" s="617"/>
      <c r="E78" s="481"/>
      <c r="F78" s="617"/>
      <c r="G78" s="617"/>
      <c r="H78" s="635"/>
      <c r="I78" s="477"/>
      <c r="J78" s="477"/>
      <c r="K78" s="1690">
        <f t="shared" ref="K78:K83" si="11">SUM(C78:J78)</f>
        <v>0</v>
      </c>
      <c r="L78" s="481"/>
    </row>
    <row r="79" spans="1:14" x14ac:dyDescent="0.2">
      <c r="A79" s="1523" t="s">
        <v>322</v>
      </c>
      <c r="B79" s="615">
        <v>4120</v>
      </c>
      <c r="C79" s="617"/>
      <c r="D79" s="617"/>
      <c r="E79" s="466"/>
      <c r="F79" s="617"/>
      <c r="G79" s="617"/>
      <c r="H79" s="466">
        <v>217759</v>
      </c>
      <c r="I79" s="477"/>
      <c r="J79" s="477"/>
      <c r="K79" s="1690">
        <f t="shared" si="11"/>
        <v>217759</v>
      </c>
      <c r="L79" s="466">
        <v>380000</v>
      </c>
    </row>
    <row r="80" spans="1:14" x14ac:dyDescent="0.2">
      <c r="A80" s="1523" t="s">
        <v>323</v>
      </c>
      <c r="B80" s="615">
        <v>4130</v>
      </c>
      <c r="C80" s="617"/>
      <c r="D80" s="617"/>
      <c r="E80" s="466"/>
      <c r="F80" s="617"/>
      <c r="G80" s="617"/>
      <c r="H80" s="466"/>
      <c r="I80" s="477"/>
      <c r="J80" s="477"/>
      <c r="K80" s="1690">
        <f t="shared" si="11"/>
        <v>0</v>
      </c>
      <c r="L80" s="466"/>
    </row>
    <row r="81" spans="1:12" x14ac:dyDescent="0.2">
      <c r="A81" s="1523" t="s">
        <v>721</v>
      </c>
      <c r="B81" s="615">
        <v>4140</v>
      </c>
      <c r="C81" s="617"/>
      <c r="D81" s="617"/>
      <c r="E81" s="466"/>
      <c r="F81" s="617"/>
      <c r="G81" s="617"/>
      <c r="H81" s="466">
        <v>19028</v>
      </c>
      <c r="I81" s="477"/>
      <c r="J81" s="477"/>
      <c r="K81" s="1690">
        <f t="shared" si="11"/>
        <v>19028</v>
      </c>
      <c r="L81" s="466">
        <v>23000</v>
      </c>
    </row>
    <row r="82" spans="1:12" x14ac:dyDescent="0.2">
      <c r="A82" s="1523" t="s">
        <v>88</v>
      </c>
      <c r="B82" s="615">
        <v>4170</v>
      </c>
      <c r="C82" s="617"/>
      <c r="D82" s="617"/>
      <c r="E82" s="466"/>
      <c r="F82" s="617"/>
      <c r="G82" s="617"/>
      <c r="H82" s="466"/>
      <c r="I82" s="477"/>
      <c r="J82" s="477"/>
      <c r="K82" s="1690">
        <f t="shared" si="11"/>
        <v>0</v>
      </c>
      <c r="L82" s="466"/>
    </row>
    <row r="83" spans="1:12" x14ac:dyDescent="0.2">
      <c r="A83" s="1527" t="s">
        <v>722</v>
      </c>
      <c r="B83" s="629">
        <v>4190</v>
      </c>
      <c r="C83" s="617"/>
      <c r="D83" s="617"/>
      <c r="E83" s="466"/>
      <c r="F83" s="617"/>
      <c r="G83" s="617"/>
      <c r="H83" s="466"/>
      <c r="I83" s="477"/>
      <c r="J83" s="477"/>
      <c r="K83" s="1690">
        <f t="shared" si="11"/>
        <v>0</v>
      </c>
      <c r="L83" s="466"/>
    </row>
    <row r="84" spans="1:12" ht="13.5" thickBot="1" x14ac:dyDescent="0.25">
      <c r="A84" s="1687" t="s">
        <v>1565</v>
      </c>
      <c r="B84" s="1697">
        <v>4100</v>
      </c>
      <c r="C84" s="617"/>
      <c r="D84" s="617"/>
      <c r="E84" s="1689">
        <f>SUM(E78:E83)</f>
        <v>0</v>
      </c>
      <c r="F84" s="617"/>
      <c r="G84" s="617"/>
      <c r="H84" s="1689">
        <f>SUM(H78:H83)</f>
        <v>236787</v>
      </c>
      <c r="I84" s="477"/>
      <c r="J84" s="477"/>
      <c r="K84" s="1689">
        <f>SUM(K78:K83)</f>
        <v>236787</v>
      </c>
      <c r="L84" s="1689">
        <f>SUM(L78:L83)</f>
        <v>403000</v>
      </c>
    </row>
    <row r="85" spans="1:12" ht="12.75" customHeight="1" thickTop="1" thickBot="1" x14ac:dyDescent="0.25">
      <c r="A85" s="1530" t="s">
        <v>273</v>
      </c>
      <c r="B85" s="636">
        <v>4210</v>
      </c>
      <c r="C85" s="617"/>
      <c r="D85" s="617"/>
      <c r="E85" s="637"/>
      <c r="F85" s="617"/>
      <c r="G85" s="617"/>
      <c r="H85" s="535"/>
      <c r="I85" s="477"/>
      <c r="J85" s="477"/>
      <c r="K85" s="1696">
        <f>H85</f>
        <v>0</v>
      </c>
      <c r="L85" s="530"/>
    </row>
    <row r="86" spans="1:12" ht="12.75" customHeight="1" thickTop="1" thickBot="1" x14ac:dyDescent="0.25">
      <c r="A86" s="1531" t="s">
        <v>723</v>
      </c>
      <c r="B86" s="638">
        <v>4220</v>
      </c>
      <c r="C86" s="617"/>
      <c r="D86" s="617"/>
      <c r="E86" s="639"/>
      <c r="F86" s="617"/>
      <c r="G86" s="617"/>
      <c r="H86" s="467"/>
      <c r="I86" s="477"/>
      <c r="J86" s="477"/>
      <c r="K86" s="1696">
        <f t="shared" ref="K86:K98" si="12">H86</f>
        <v>0</v>
      </c>
      <c r="L86" s="530"/>
    </row>
    <row r="87" spans="1:12" ht="14.25" thickTop="1" thickBot="1" x14ac:dyDescent="0.25">
      <c r="A87" s="1532" t="s">
        <v>724</v>
      </c>
      <c r="B87" s="640">
        <v>4230</v>
      </c>
      <c r="C87" s="617"/>
      <c r="D87" s="617"/>
      <c r="E87" s="639"/>
      <c r="F87" s="617"/>
      <c r="G87" s="617"/>
      <c r="H87" s="467"/>
      <c r="I87" s="477"/>
      <c r="J87" s="477"/>
      <c r="K87" s="1696">
        <f t="shared" si="12"/>
        <v>0</v>
      </c>
      <c r="L87" s="530"/>
    </row>
    <row r="88" spans="1:12" ht="12.75" customHeight="1" thickTop="1" thickBot="1" x14ac:dyDescent="0.25">
      <c r="A88" s="1532" t="s">
        <v>789</v>
      </c>
      <c r="B88" s="640">
        <v>4240</v>
      </c>
      <c r="C88" s="617"/>
      <c r="D88" s="617"/>
      <c r="E88" s="639"/>
      <c r="F88" s="617"/>
      <c r="G88" s="617"/>
      <c r="H88" s="467"/>
      <c r="I88" s="477"/>
      <c r="J88" s="477"/>
      <c r="K88" s="1696">
        <f t="shared" si="12"/>
        <v>0</v>
      </c>
      <c r="L88" s="530"/>
    </row>
    <row r="89" spans="1:12" ht="12.75" customHeight="1" thickTop="1" thickBot="1" x14ac:dyDescent="0.25">
      <c r="A89" s="1532" t="s">
        <v>725</v>
      </c>
      <c r="B89" s="640">
        <v>4270</v>
      </c>
      <c r="C89" s="617"/>
      <c r="D89" s="617"/>
      <c r="E89" s="639"/>
      <c r="F89" s="617"/>
      <c r="G89" s="617"/>
      <c r="H89" s="467"/>
      <c r="I89" s="477"/>
      <c r="J89" s="477"/>
      <c r="K89" s="1696">
        <f t="shared" si="12"/>
        <v>0</v>
      </c>
      <c r="L89" s="530"/>
    </row>
    <row r="90" spans="1:12" ht="12.75" customHeight="1" thickTop="1" thickBot="1" x14ac:dyDescent="0.25">
      <c r="A90" s="1532" t="s">
        <v>710</v>
      </c>
      <c r="B90" s="640">
        <v>4280</v>
      </c>
      <c r="C90" s="617"/>
      <c r="D90" s="617"/>
      <c r="E90" s="639"/>
      <c r="F90" s="617"/>
      <c r="G90" s="617"/>
      <c r="H90" s="467"/>
      <c r="I90" s="477"/>
      <c r="J90" s="477"/>
      <c r="K90" s="1696">
        <f t="shared" si="12"/>
        <v>0</v>
      </c>
      <c r="L90" s="530"/>
    </row>
    <row r="91" spans="1:12" ht="12.75" customHeight="1" thickTop="1" thickBot="1" x14ac:dyDescent="0.25">
      <c r="A91" s="1532" t="s">
        <v>711</v>
      </c>
      <c r="B91" s="640">
        <v>4290</v>
      </c>
      <c r="C91" s="617"/>
      <c r="D91" s="617"/>
      <c r="E91" s="639"/>
      <c r="F91" s="617"/>
      <c r="G91" s="617"/>
      <c r="H91" s="467"/>
      <c r="I91" s="477"/>
      <c r="J91" s="477"/>
      <c r="K91" s="1696">
        <f t="shared" si="12"/>
        <v>0</v>
      </c>
      <c r="L91" s="530"/>
    </row>
    <row r="92" spans="1:12" ht="14.25" thickTop="1" thickBot="1" x14ac:dyDescent="0.25">
      <c r="A92" s="1699" t="s">
        <v>1641</v>
      </c>
      <c r="B92" s="1697">
        <v>4200</v>
      </c>
      <c r="C92" s="617"/>
      <c r="D92" s="617"/>
      <c r="E92" s="639"/>
      <c r="F92" s="617"/>
      <c r="G92" s="617"/>
      <c r="H92" s="1689">
        <f>SUM(H85:H91)</f>
        <v>0</v>
      </c>
      <c r="I92" s="477"/>
      <c r="J92" s="477"/>
      <c r="K92" s="1696">
        <f t="shared" si="12"/>
        <v>0</v>
      </c>
      <c r="L92" s="1689">
        <f>SUM(L85:L91)</f>
        <v>0</v>
      </c>
    </row>
    <row r="93" spans="1:12" ht="14.25" thickTop="1" thickBot="1" x14ac:dyDescent="0.25">
      <c r="A93" s="1531" t="s">
        <v>712</v>
      </c>
      <c r="B93" s="641">
        <v>4310</v>
      </c>
      <c r="C93" s="617"/>
      <c r="D93" s="617"/>
      <c r="E93" s="639"/>
      <c r="F93" s="617"/>
      <c r="G93" s="617"/>
      <c r="H93" s="642"/>
      <c r="I93" s="477"/>
      <c r="J93" s="477"/>
      <c r="K93" s="1696">
        <f t="shared" si="12"/>
        <v>0</v>
      </c>
      <c r="L93" s="532"/>
    </row>
    <row r="94" spans="1:12" ht="12.75" customHeight="1" thickTop="1" thickBot="1" x14ac:dyDescent="0.25">
      <c r="A94" s="1532" t="s">
        <v>713</v>
      </c>
      <c r="B94" s="640">
        <v>4320</v>
      </c>
      <c r="C94" s="617"/>
      <c r="D94" s="617"/>
      <c r="E94" s="639"/>
      <c r="F94" s="617"/>
      <c r="G94" s="617"/>
      <c r="H94" s="467"/>
      <c r="I94" s="477"/>
      <c r="J94" s="477"/>
      <c r="K94" s="1696">
        <f t="shared" si="12"/>
        <v>0</v>
      </c>
      <c r="L94" s="530"/>
    </row>
    <row r="95" spans="1:12" ht="15" customHeight="1" thickTop="1" thickBot="1" x14ac:dyDescent="0.25">
      <c r="A95" s="1532" t="s">
        <v>1568</v>
      </c>
      <c r="B95" s="640">
        <v>4330</v>
      </c>
      <c r="C95" s="617"/>
      <c r="D95" s="617"/>
      <c r="E95" s="639"/>
      <c r="F95" s="617"/>
      <c r="G95" s="617"/>
      <c r="H95" s="467"/>
      <c r="I95" s="477"/>
      <c r="J95" s="477"/>
      <c r="K95" s="1696">
        <f t="shared" si="12"/>
        <v>0</v>
      </c>
      <c r="L95" s="530"/>
    </row>
    <row r="96" spans="1:12" ht="14.25" thickTop="1" thickBot="1" x14ac:dyDescent="0.25">
      <c r="A96" s="1532" t="s">
        <v>714</v>
      </c>
      <c r="B96" s="640">
        <v>4340</v>
      </c>
      <c r="C96" s="617"/>
      <c r="D96" s="617"/>
      <c r="E96" s="639"/>
      <c r="F96" s="617"/>
      <c r="G96" s="617"/>
      <c r="H96" s="467"/>
      <c r="I96" s="477"/>
      <c r="J96" s="477"/>
      <c r="K96" s="1696">
        <f t="shared" si="12"/>
        <v>0</v>
      </c>
      <c r="L96" s="530"/>
    </row>
    <row r="97" spans="1:14" ht="12.75" customHeight="1" thickTop="1" thickBot="1" x14ac:dyDescent="0.25">
      <c r="A97" s="1532" t="s">
        <v>787</v>
      </c>
      <c r="B97" s="640">
        <v>4370</v>
      </c>
      <c r="C97" s="617"/>
      <c r="D97" s="617"/>
      <c r="E97" s="639"/>
      <c r="F97" s="617"/>
      <c r="G97" s="617"/>
      <c r="H97" s="467"/>
      <c r="I97" s="477"/>
      <c r="J97" s="477"/>
      <c r="K97" s="1696">
        <f t="shared" si="12"/>
        <v>0</v>
      </c>
      <c r="L97" s="530"/>
    </row>
    <row r="98" spans="1:14" ht="14.25" thickTop="1" thickBot="1" x14ac:dyDescent="0.25">
      <c r="A98" s="1532" t="s">
        <v>788</v>
      </c>
      <c r="B98" s="640">
        <v>4380</v>
      </c>
      <c r="C98" s="617"/>
      <c r="D98" s="617"/>
      <c r="E98" s="643"/>
      <c r="F98" s="617"/>
      <c r="G98" s="617"/>
      <c r="H98" s="467"/>
      <c r="I98" s="477"/>
      <c r="J98" s="477"/>
      <c r="K98" s="1696">
        <f t="shared" si="12"/>
        <v>0</v>
      </c>
      <c r="L98" s="530"/>
    </row>
    <row r="99" spans="1:14" ht="14.25" thickTop="1" thickBot="1" x14ac:dyDescent="0.25">
      <c r="A99" s="1532" t="s">
        <v>385</v>
      </c>
      <c r="B99" s="640">
        <v>4390</v>
      </c>
      <c r="C99" s="617"/>
      <c r="D99" s="617"/>
      <c r="E99" s="532"/>
      <c r="F99" s="617"/>
      <c r="G99" s="617"/>
      <c r="H99" s="467"/>
      <c r="I99" s="477"/>
      <c r="J99" s="477"/>
      <c r="K99" s="1696">
        <f>SUM(E99,H99)</f>
        <v>0</v>
      </c>
      <c r="L99" s="530"/>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29" t="s">
        <v>1569</v>
      </c>
      <c r="B101" s="644" t="s">
        <v>988</v>
      </c>
      <c r="C101" s="617"/>
      <c r="D101" s="617"/>
      <c r="E101" s="531"/>
      <c r="F101" s="617"/>
      <c r="G101" s="617"/>
      <c r="H101" s="531"/>
      <c r="I101" s="477"/>
      <c r="J101" s="477"/>
      <c r="K101" s="1698">
        <f>SUM(C101:J101)</f>
        <v>0</v>
      </c>
      <c r="L101" s="530"/>
    </row>
    <row r="102" spans="1:14" ht="12.75" customHeight="1" thickTop="1" thickBot="1" x14ac:dyDescent="0.25">
      <c r="A102" s="1687" t="s">
        <v>1567</v>
      </c>
      <c r="B102" s="1697">
        <v>4000</v>
      </c>
      <c r="C102" s="617"/>
      <c r="D102" s="617"/>
      <c r="E102" s="1696">
        <f>SUM(E84,E92,E100,E101)</f>
        <v>0</v>
      </c>
      <c r="F102" s="617"/>
      <c r="G102" s="617"/>
      <c r="H102" s="1696">
        <f>SUM(H84,H92,H100,H101)</f>
        <v>236787</v>
      </c>
      <c r="I102" s="477"/>
      <c r="J102" s="477"/>
      <c r="K102" s="1696">
        <f>SUM(K84,K92,K100,K101)</f>
        <v>236787</v>
      </c>
      <c r="L102" s="1696">
        <f>SUM(L84,L92,L100,L101)</f>
        <v>403000</v>
      </c>
    </row>
    <row r="103" spans="1:14" s="634" customFormat="1" ht="15.75" customHeight="1" thickTop="1" x14ac:dyDescent="0.2">
      <c r="A103" s="1631" t="s">
        <v>534</v>
      </c>
      <c r="B103" s="162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90">
        <f>H105</f>
        <v>0</v>
      </c>
      <c r="L105" s="481"/>
      <c r="M105" s="210"/>
      <c r="N105" s="210"/>
    </row>
    <row r="106" spans="1:14" s="598" customFormat="1" x14ac:dyDescent="0.2">
      <c r="A106" s="1523"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3" t="s">
        <v>1232</v>
      </c>
      <c r="B107" s="615">
        <v>5130</v>
      </c>
      <c r="C107" s="617"/>
      <c r="D107" s="617"/>
      <c r="E107" s="617"/>
      <c r="F107" s="617"/>
      <c r="G107" s="617"/>
      <c r="H107" s="466"/>
      <c r="I107" s="468"/>
      <c r="J107" s="468"/>
      <c r="K107" s="1690">
        <f>H107</f>
        <v>0</v>
      </c>
      <c r="L107" s="466"/>
      <c r="M107" s="210"/>
      <c r="N107" s="210"/>
    </row>
    <row r="108" spans="1:14" s="598" customFormat="1" x14ac:dyDescent="0.2">
      <c r="A108" s="1523" t="s">
        <v>91</v>
      </c>
      <c r="B108" s="615" t="s">
        <v>610</v>
      </c>
      <c r="C108" s="617"/>
      <c r="D108" s="617"/>
      <c r="E108" s="617"/>
      <c r="F108" s="617"/>
      <c r="G108" s="617"/>
      <c r="H108" s="466"/>
      <c r="I108" s="468"/>
      <c r="J108" s="468"/>
      <c r="K108" s="1690">
        <f>H108</f>
        <v>0</v>
      </c>
      <c r="L108" s="466"/>
      <c r="M108" s="210"/>
      <c r="N108" s="210"/>
    </row>
    <row r="109" spans="1:14" s="598" customFormat="1" x14ac:dyDescent="0.2">
      <c r="A109" s="1523"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3" t="s">
        <v>386</v>
      </c>
      <c r="B111" s="648" t="s">
        <v>38</v>
      </c>
      <c r="C111" s="617"/>
      <c r="D111" s="617"/>
      <c r="E111" s="617"/>
      <c r="F111" s="617"/>
      <c r="G111" s="617"/>
      <c r="H111" s="535"/>
      <c r="I111" s="468"/>
      <c r="J111" s="468"/>
      <c r="K111" s="1702">
        <f>H111</f>
        <v>0</v>
      </c>
      <c r="L111" s="532"/>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5" t="s">
        <v>535</v>
      </c>
      <c r="B113" s="1632" t="s">
        <v>916</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2942837</v>
      </c>
      <c r="D114" s="1689">
        <f t="shared" ref="D114:K114" si="13">SUM(D33,D74,D75,D102,D112,D113)</f>
        <v>416013</v>
      </c>
      <c r="E114" s="1689">
        <f t="shared" si="13"/>
        <v>201196</v>
      </c>
      <c r="F114" s="1689">
        <f t="shared" si="13"/>
        <v>135853</v>
      </c>
      <c r="G114" s="1689">
        <f t="shared" si="13"/>
        <v>41512</v>
      </c>
      <c r="H114" s="1689">
        <f>SUM(H33,H74,H75,H102,H112,H113)</f>
        <v>273727</v>
      </c>
      <c r="I114" s="1689">
        <f t="shared" si="13"/>
        <v>0</v>
      </c>
      <c r="J114" s="1689">
        <f t="shared" si="13"/>
        <v>0</v>
      </c>
      <c r="K114" s="1689">
        <f t="shared" si="13"/>
        <v>4011138</v>
      </c>
      <c r="L114" s="1689">
        <f>SUM(L33,L74,L75,L102,L112,L113)</f>
        <v>4667195</v>
      </c>
    </row>
    <row r="115" spans="1:14" ht="13.5" thickTop="1" x14ac:dyDescent="0.2">
      <c r="A115" s="2237" t="s">
        <v>1053</v>
      </c>
      <c r="B115" s="2238"/>
      <c r="C115" s="619"/>
      <c r="D115" s="619"/>
      <c r="E115" s="619"/>
      <c r="F115" s="619"/>
      <c r="G115" s="619"/>
      <c r="H115" s="619"/>
      <c r="I115" s="619"/>
      <c r="J115" s="619"/>
      <c r="K115" s="1703">
        <f>'Revenues 9-14'!C275-'Expenditures 15-22'!K114</f>
        <v>-78485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15" t="s">
        <v>314</v>
      </c>
      <c r="B117" s="2216"/>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3" t="s">
        <v>1128</v>
      </c>
      <c r="B122" s="615">
        <v>2510</v>
      </c>
      <c r="C122" s="466"/>
      <c r="D122" s="466"/>
      <c r="E122" s="466"/>
      <c r="F122" s="466"/>
      <c r="G122" s="466"/>
      <c r="H122" s="466"/>
      <c r="I122" s="467"/>
      <c r="J122" s="467"/>
      <c r="K122" s="1689">
        <f>SUM(C122:J122)</f>
        <v>0</v>
      </c>
      <c r="L122" s="466"/>
    </row>
    <row r="123" spans="1:14" ht="14.25" thickTop="1" thickBot="1" x14ac:dyDescent="0.25">
      <c r="A123" s="1523" t="s">
        <v>4</v>
      </c>
      <c r="B123" s="615">
        <v>2530</v>
      </c>
      <c r="C123" s="466"/>
      <c r="D123" s="466"/>
      <c r="E123" s="466"/>
      <c r="F123" s="466"/>
      <c r="G123" s="466"/>
      <c r="H123" s="466"/>
      <c r="I123" s="467"/>
      <c r="J123" s="467"/>
      <c r="K123" s="1689">
        <f>SUM(C123:J123)</f>
        <v>0</v>
      </c>
      <c r="L123" s="466"/>
    </row>
    <row r="124" spans="1:14" ht="14.25" thickTop="1" thickBot="1" x14ac:dyDescent="0.25">
      <c r="A124" s="1523" t="s">
        <v>206</v>
      </c>
      <c r="B124" s="615">
        <v>2540</v>
      </c>
      <c r="C124" s="466">
        <f>186744+3558+1635</f>
        <v>191937</v>
      </c>
      <c r="D124" s="466">
        <v>36585</v>
      </c>
      <c r="E124" s="466">
        <f>61598+14434+9025</f>
        <v>85057</v>
      </c>
      <c r="F124" s="466">
        <f>10446+14950+16665+84936</f>
        <v>126997</v>
      </c>
      <c r="G124" s="466">
        <v>25000</v>
      </c>
      <c r="H124" s="466"/>
      <c r="I124" s="467"/>
      <c r="J124" s="467"/>
      <c r="K124" s="1689">
        <f>SUM(C124:J124)</f>
        <v>465576</v>
      </c>
      <c r="L124" s="466">
        <v>547600</v>
      </c>
    </row>
    <row r="125" spans="1:14" ht="14.25" thickTop="1" thickBot="1" x14ac:dyDescent="0.25">
      <c r="A125" s="1523" t="s">
        <v>1010</v>
      </c>
      <c r="B125" s="615">
        <v>2550</v>
      </c>
      <c r="C125" s="466"/>
      <c r="D125" s="466"/>
      <c r="E125" s="466"/>
      <c r="F125" s="466"/>
      <c r="G125" s="466"/>
      <c r="H125" s="466"/>
      <c r="I125" s="467"/>
      <c r="J125" s="467"/>
      <c r="K125" s="1689">
        <f>SUM(C125:J125)</f>
        <v>0</v>
      </c>
      <c r="L125" s="466"/>
    </row>
    <row r="126" spans="1:14" ht="14.25" thickTop="1" thickBot="1" x14ac:dyDescent="0.25">
      <c r="A126" s="1523"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191937</v>
      </c>
      <c r="D127" s="1689">
        <f t="shared" ref="D127:L127" si="14">SUM(D122:D126)</f>
        <v>36585</v>
      </c>
      <c r="E127" s="1689">
        <f t="shared" si="14"/>
        <v>85057</v>
      </c>
      <c r="F127" s="1689">
        <f t="shared" si="14"/>
        <v>126997</v>
      </c>
      <c r="G127" s="1689">
        <f t="shared" si="14"/>
        <v>25000</v>
      </c>
      <c r="H127" s="1689">
        <f t="shared" si="14"/>
        <v>0</v>
      </c>
      <c r="I127" s="1689">
        <f t="shared" si="14"/>
        <v>0</v>
      </c>
      <c r="J127" s="1689">
        <f t="shared" si="14"/>
        <v>0</v>
      </c>
      <c r="K127" s="1689">
        <f t="shared" si="14"/>
        <v>465576</v>
      </c>
      <c r="L127" s="1689">
        <f t="shared" si="14"/>
        <v>547600</v>
      </c>
    </row>
    <row r="128" spans="1:14" ht="12.75" customHeight="1" thickTop="1" x14ac:dyDescent="0.2">
      <c r="A128" s="1530"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191937</v>
      </c>
      <c r="D129" s="1696">
        <f t="shared" ref="D129:L129" si="15">SUM(D120,D127,D128)</f>
        <v>36585</v>
      </c>
      <c r="E129" s="1696">
        <f t="shared" si="15"/>
        <v>85057</v>
      </c>
      <c r="F129" s="1696">
        <f t="shared" si="15"/>
        <v>126997</v>
      </c>
      <c r="G129" s="1696">
        <f t="shared" si="15"/>
        <v>25000</v>
      </c>
      <c r="H129" s="1696">
        <f t="shared" si="15"/>
        <v>0</v>
      </c>
      <c r="I129" s="1696">
        <f t="shared" si="15"/>
        <v>0</v>
      </c>
      <c r="J129" s="1696">
        <f t="shared" si="15"/>
        <v>0</v>
      </c>
      <c r="K129" s="1696">
        <f t="shared" si="15"/>
        <v>465576</v>
      </c>
      <c r="L129" s="1696">
        <f t="shared" si="15"/>
        <v>547600</v>
      </c>
    </row>
    <row r="130" spans="1:14" ht="15.75" customHeight="1" thickTop="1" thickBot="1" x14ac:dyDescent="0.25">
      <c r="A130" s="1629" t="s">
        <v>1096</v>
      </c>
      <c r="B130" s="1630" t="s">
        <v>596</v>
      </c>
      <c r="C130" s="576"/>
      <c r="D130" s="576"/>
      <c r="E130" s="576"/>
      <c r="F130" s="576"/>
      <c r="G130" s="576"/>
      <c r="H130" s="576"/>
      <c r="I130" s="531"/>
      <c r="J130" s="531"/>
      <c r="K130" s="1689">
        <f>SUM(C130:J130)</f>
        <v>0</v>
      </c>
      <c r="L130" s="576"/>
    </row>
    <row r="131" spans="1:14" ht="15.75" customHeight="1" thickTop="1" x14ac:dyDescent="0.2">
      <c r="A131" s="1635" t="s">
        <v>637</v>
      </c>
      <c r="B131" s="162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9" t="s">
        <v>517</v>
      </c>
      <c r="B133" s="1861" t="s">
        <v>1956</v>
      </c>
      <c r="C133" s="468"/>
      <c r="D133" s="468"/>
      <c r="E133" s="642"/>
      <c r="F133" s="468"/>
      <c r="G133" s="468"/>
      <c r="H133" s="642"/>
      <c r="I133" s="468"/>
      <c r="J133" s="468"/>
      <c r="K133" s="1841">
        <f>SUM(E133,H133)</f>
        <v>0</v>
      </c>
      <c r="L133" s="642"/>
      <c r="M133" s="206"/>
      <c r="N133" s="206"/>
    </row>
    <row r="134" spans="1:14" x14ac:dyDescent="0.2">
      <c r="A134" s="1523" t="s">
        <v>322</v>
      </c>
      <c r="B134" s="615">
        <v>4120</v>
      </c>
      <c r="C134" s="617"/>
      <c r="D134" s="617"/>
      <c r="E134" s="478"/>
      <c r="F134" s="617"/>
      <c r="G134" s="617"/>
      <c r="H134" s="481"/>
      <c r="I134" s="477"/>
      <c r="J134" s="617"/>
      <c r="K134" s="1691">
        <f>SUM(E134,H134)</f>
        <v>0</v>
      </c>
      <c r="L134" s="481"/>
    </row>
    <row r="135" spans="1:14" x14ac:dyDescent="0.2">
      <c r="A135" s="1523" t="s">
        <v>721</v>
      </c>
      <c r="B135" s="615">
        <v>4140</v>
      </c>
      <c r="C135" s="617"/>
      <c r="D135" s="617"/>
      <c r="E135" s="467"/>
      <c r="F135" s="617"/>
      <c r="G135" s="617"/>
      <c r="H135" s="466"/>
      <c r="I135" s="477"/>
      <c r="J135" s="617"/>
      <c r="K135" s="1691">
        <f>SUM(E135,H135)</f>
        <v>0</v>
      </c>
      <c r="L135" s="466"/>
    </row>
    <row r="136" spans="1:14" x14ac:dyDescent="0.2">
      <c r="A136" s="1527"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29"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1" t="s">
        <v>1097</v>
      </c>
      <c r="B140" s="163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91">
        <f>SUM(H142)</f>
        <v>0</v>
      </c>
      <c r="L142" s="481"/>
    </row>
    <row r="143" spans="1:14" x14ac:dyDescent="0.2">
      <c r="A143" s="1523" t="s">
        <v>90</v>
      </c>
      <c r="B143" s="615">
        <v>5120</v>
      </c>
      <c r="C143" s="617"/>
      <c r="D143" s="617"/>
      <c r="E143" s="617"/>
      <c r="F143" s="617"/>
      <c r="G143" s="617"/>
      <c r="H143" s="466"/>
      <c r="I143" s="468"/>
      <c r="J143" s="617"/>
      <c r="K143" s="1691">
        <f>SUM(H143)</f>
        <v>0</v>
      </c>
      <c r="L143" s="466"/>
    </row>
    <row r="144" spans="1:14" ht="12.75" customHeight="1" x14ac:dyDescent="0.2">
      <c r="A144" s="1523" t="s">
        <v>1232</v>
      </c>
      <c r="B144" s="629" t="s">
        <v>638</v>
      </c>
      <c r="C144" s="617"/>
      <c r="D144" s="617"/>
      <c r="E144" s="617"/>
      <c r="F144" s="617"/>
      <c r="G144" s="617"/>
      <c r="H144" s="466"/>
      <c r="I144" s="468"/>
      <c r="J144" s="617"/>
      <c r="K144" s="1691">
        <f>SUM(H144)</f>
        <v>0</v>
      </c>
      <c r="L144" s="466"/>
    </row>
    <row r="145" spans="1:14" x14ac:dyDescent="0.2">
      <c r="A145" s="1523" t="s">
        <v>91</v>
      </c>
      <c r="B145" s="615" t="s">
        <v>610</v>
      </c>
      <c r="C145" s="617"/>
      <c r="D145" s="617"/>
      <c r="E145" s="617"/>
      <c r="F145" s="617"/>
      <c r="G145" s="617"/>
      <c r="H145" s="466"/>
      <c r="I145" s="468"/>
      <c r="J145" s="617"/>
      <c r="K145" s="1691">
        <f>SUM(H145)</f>
        <v>0</v>
      </c>
      <c r="L145" s="466"/>
    </row>
    <row r="146" spans="1:14" ht="12.75" customHeight="1" x14ac:dyDescent="0.2">
      <c r="A146" s="1523" t="s">
        <v>640</v>
      </c>
      <c r="B146" s="615" t="s">
        <v>639</v>
      </c>
      <c r="C146" s="617"/>
      <c r="D146" s="617"/>
      <c r="E146" s="617"/>
      <c r="F146" s="617"/>
      <c r="G146" s="617"/>
      <c r="H146" s="466"/>
      <c r="I146" s="468"/>
      <c r="J146" s="617"/>
      <c r="K146" s="1691">
        <f>SUM(H146)</f>
        <v>0</v>
      </c>
      <c r="L146" s="466"/>
    </row>
    <row r="147" spans="1:14" ht="12.75" customHeight="1" thickBot="1" x14ac:dyDescent="0.25">
      <c r="A147" s="1534"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6"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5" t="s">
        <v>1098</v>
      </c>
      <c r="B150" s="1632" t="s">
        <v>916</v>
      </c>
      <c r="C150" s="617"/>
      <c r="D150" s="617"/>
      <c r="E150" s="617"/>
      <c r="F150" s="617"/>
      <c r="G150" s="617"/>
      <c r="H150" s="663"/>
      <c r="I150" s="521"/>
      <c r="J150" s="617"/>
      <c r="K150" s="624"/>
      <c r="L150" s="573"/>
    </row>
    <row r="151" spans="1:14" ht="12.75" customHeight="1" thickTop="1" thickBot="1" x14ac:dyDescent="0.25">
      <c r="A151" s="2227" t="s">
        <v>641</v>
      </c>
      <c r="B151" s="2209"/>
      <c r="C151" s="1689">
        <f>SUM(C129,C130,C139,C149,C150)</f>
        <v>191937</v>
      </c>
      <c r="D151" s="1689">
        <f t="shared" ref="D151:K151" si="16">SUM(D129,D130,D139,D149,D150)</f>
        <v>36585</v>
      </c>
      <c r="E151" s="1689">
        <f t="shared" si="16"/>
        <v>85057</v>
      </c>
      <c r="F151" s="1689">
        <f t="shared" si="16"/>
        <v>126997</v>
      </c>
      <c r="G151" s="1689">
        <f t="shared" si="16"/>
        <v>25000</v>
      </c>
      <c r="H151" s="1689">
        <f t="shared" si="16"/>
        <v>0</v>
      </c>
      <c r="I151" s="1689">
        <f t="shared" si="16"/>
        <v>0</v>
      </c>
      <c r="J151" s="1689">
        <f t="shared" si="16"/>
        <v>0</v>
      </c>
      <c r="K151" s="1689">
        <f t="shared" si="16"/>
        <v>465576</v>
      </c>
      <c r="L151" s="1689">
        <f>SUM(L129,L130,L139,L149,L150)</f>
        <v>547600</v>
      </c>
    </row>
    <row r="152" spans="1:14" ht="12.75" customHeight="1" thickTop="1" x14ac:dyDescent="0.2">
      <c r="A152" s="2230" t="s">
        <v>1240</v>
      </c>
      <c r="B152" s="2231"/>
      <c r="C152" s="619"/>
      <c r="D152" s="619"/>
      <c r="E152" s="619"/>
      <c r="F152" s="619"/>
      <c r="G152" s="619"/>
      <c r="H152" s="619"/>
      <c r="I152" s="619"/>
      <c r="J152" s="617"/>
      <c r="K152" s="1703">
        <f>'Revenues 9-14'!D275-'Expenditures 15-22'!K151</f>
        <v>434275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15" t="s">
        <v>642</v>
      </c>
      <c r="B154" s="2217"/>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915</v>
      </c>
      <c r="C155" s="617"/>
      <c r="D155" s="617"/>
      <c r="E155" s="617"/>
      <c r="F155" s="617"/>
      <c r="G155" s="617"/>
      <c r="H155" s="1862"/>
      <c r="I155" s="617"/>
      <c r="J155" s="617"/>
      <c r="K155" s="1845"/>
      <c r="L155" s="1862"/>
      <c r="M155" s="620"/>
      <c r="N155" s="620"/>
    </row>
    <row r="156" spans="1:14" s="621" customFormat="1" ht="15.75" customHeight="1" thickTop="1" x14ac:dyDescent="0.2">
      <c r="A156" s="1842" t="s">
        <v>1957</v>
      </c>
      <c r="B156" s="1843"/>
      <c r="C156" s="617"/>
      <c r="D156" s="617"/>
      <c r="E156" s="617"/>
      <c r="F156" s="617"/>
      <c r="G156" s="617"/>
      <c r="H156" s="1863"/>
      <c r="I156" s="617"/>
      <c r="J156" s="617"/>
      <c r="K156" s="1844"/>
      <c r="L156" s="1863"/>
      <c r="M156" s="620"/>
      <c r="N156" s="620"/>
    </row>
    <row r="157" spans="1:14" s="621" customFormat="1" ht="12" x14ac:dyDescent="0.2">
      <c r="A157" s="1846" t="s">
        <v>517</v>
      </c>
      <c r="B157" s="1847" t="s">
        <v>1956</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1958</v>
      </c>
      <c r="C158" s="617"/>
      <c r="D158" s="617"/>
      <c r="E158" s="617"/>
      <c r="F158" s="617"/>
      <c r="G158" s="617"/>
      <c r="H158" s="467"/>
      <c r="I158" s="617"/>
      <c r="J158" s="617"/>
      <c r="K158" s="1690">
        <f>H158</f>
        <v>0</v>
      </c>
      <c r="L158" s="467"/>
      <c r="M158" s="620"/>
      <c r="N158" s="620"/>
    </row>
    <row r="159" spans="1:14" s="621" customFormat="1" ht="12" x14ac:dyDescent="0.2">
      <c r="A159" s="1846" t="s">
        <v>1959</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1960</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1" t="s">
        <v>84</v>
      </c>
      <c r="B161" s="163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90">
        <f>SUM(C163:J163)</f>
        <v>0</v>
      </c>
      <c r="L163" s="466"/>
    </row>
    <row r="164" spans="1:14" x14ac:dyDescent="0.2">
      <c r="A164" s="1523" t="s">
        <v>90</v>
      </c>
      <c r="B164" s="615">
        <v>5120</v>
      </c>
      <c r="C164" s="617"/>
      <c r="D164" s="617"/>
      <c r="E164" s="617"/>
      <c r="F164" s="617"/>
      <c r="G164" s="617"/>
      <c r="H164" s="466"/>
      <c r="I164" s="617"/>
      <c r="J164" s="617"/>
      <c r="K164" s="1690">
        <f>SUM(C164:J164)</f>
        <v>0</v>
      </c>
      <c r="L164" s="466"/>
    </row>
    <row r="165" spans="1:14" ht="12.75" customHeight="1" x14ac:dyDescent="0.2">
      <c r="A165" s="1523" t="s">
        <v>1232</v>
      </c>
      <c r="B165" s="615" t="s">
        <v>638</v>
      </c>
      <c r="C165" s="617"/>
      <c r="D165" s="617"/>
      <c r="E165" s="617"/>
      <c r="F165" s="617"/>
      <c r="G165" s="617"/>
      <c r="H165" s="466"/>
      <c r="I165" s="617"/>
      <c r="J165" s="617"/>
      <c r="K165" s="1690">
        <f>SUM(C165:J165)</f>
        <v>0</v>
      </c>
      <c r="L165" s="466"/>
    </row>
    <row r="166" spans="1:14" x14ac:dyDescent="0.2">
      <c r="A166" s="1523" t="s">
        <v>91</v>
      </c>
      <c r="B166" s="629" t="s">
        <v>610</v>
      </c>
      <c r="C166" s="617"/>
      <c r="D166" s="617"/>
      <c r="E166" s="617"/>
      <c r="F166" s="617"/>
      <c r="G166" s="617"/>
      <c r="H166" s="466"/>
      <c r="I166" s="617"/>
      <c r="J166" s="617"/>
      <c r="K166" s="1690">
        <f>SUM(C166:J166)</f>
        <v>0</v>
      </c>
      <c r="L166" s="466"/>
    </row>
    <row r="167" spans="1:14" ht="12.75" customHeight="1" x14ac:dyDescent="0.2">
      <c r="A167" s="1523"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187360</v>
      </c>
      <c r="I169" s="617"/>
      <c r="J169" s="617"/>
      <c r="K169" s="1690">
        <f>SUM(C169:H169)</f>
        <v>187360</v>
      </c>
      <c r="L169" s="657">
        <v>62000</v>
      </c>
    </row>
    <row r="170" spans="1:14" ht="33.75" customHeight="1" x14ac:dyDescent="0.2">
      <c r="A170" s="670" t="s">
        <v>1769</v>
      </c>
      <c r="B170" s="672" t="s">
        <v>31</v>
      </c>
      <c r="C170" s="617"/>
      <c r="D170" s="617"/>
      <c r="E170" s="617"/>
      <c r="F170" s="617"/>
      <c r="G170" s="617"/>
      <c r="H170" s="569">
        <v>430000</v>
      </c>
      <c r="I170" s="617"/>
      <c r="J170" s="617"/>
      <c r="K170" s="1690">
        <f>SUM(C170:J170)</f>
        <v>430000</v>
      </c>
      <c r="L170" s="569">
        <v>601000</v>
      </c>
    </row>
    <row r="171" spans="1:14" ht="15.75" customHeight="1" x14ac:dyDescent="0.2">
      <c r="A171" s="622" t="s">
        <v>790</v>
      </c>
      <c r="B171" s="673" t="s">
        <v>86</v>
      </c>
      <c r="C171" s="617"/>
      <c r="D171" s="617"/>
      <c r="E171" s="466"/>
      <c r="F171" s="617"/>
      <c r="G171" s="617"/>
      <c r="H171" s="569">
        <v>802</v>
      </c>
      <c r="I171" s="477"/>
      <c r="J171" s="617"/>
      <c r="K171" s="1690">
        <f>SUM(C171:J171)</f>
        <v>802</v>
      </c>
      <c r="L171" s="569">
        <v>1000</v>
      </c>
    </row>
    <row r="172" spans="1:14" ht="12.75" customHeight="1" thickBot="1" x14ac:dyDescent="0.25">
      <c r="A172" s="1687" t="s">
        <v>659</v>
      </c>
      <c r="B172" s="1688" t="s">
        <v>513</v>
      </c>
      <c r="C172" s="617"/>
      <c r="D172" s="617"/>
      <c r="E172" s="1696">
        <f>SUM(E168,E169,E170,E171)</f>
        <v>0</v>
      </c>
      <c r="F172" s="617"/>
      <c r="G172" s="617"/>
      <c r="H172" s="1696">
        <f>SUM(H168,H169,H170,H171)</f>
        <v>618162</v>
      </c>
      <c r="I172" s="639"/>
      <c r="J172" s="617"/>
      <c r="K172" s="1696">
        <f>SUM(K168,K169,K170,K171)</f>
        <v>618162</v>
      </c>
      <c r="L172" s="1696">
        <f>SUM(L168,L169,L170,L171)</f>
        <v>664000</v>
      </c>
    </row>
    <row r="173" spans="1:14" ht="15.75" customHeight="1" thickTop="1" thickBot="1" x14ac:dyDescent="0.25">
      <c r="A173" s="1638" t="s">
        <v>87</v>
      </c>
      <c r="B173" s="1630"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618162</v>
      </c>
      <c r="I174" s="639"/>
      <c r="J174" s="617"/>
      <c r="K174" s="1696">
        <f>SUM(K160,K172,K173)</f>
        <v>618162</v>
      </c>
      <c r="L174" s="1696">
        <f>SUM(L160,L172,L173)</f>
        <v>664000</v>
      </c>
    </row>
    <row r="175" spans="1:14" ht="13.5" thickTop="1" x14ac:dyDescent="0.2">
      <c r="A175" s="2237" t="s">
        <v>1053</v>
      </c>
      <c r="B175" s="2238"/>
      <c r="C175" s="617"/>
      <c r="D175" s="617"/>
      <c r="E175" s="617"/>
      <c r="F175" s="617"/>
      <c r="G175" s="617"/>
      <c r="H175" s="619"/>
      <c r="I175" s="617"/>
      <c r="J175" s="617"/>
      <c r="K175" s="1703">
        <f>'Revenues 9-14'!E275-'Expenditures 15-22'!K174</f>
        <v>20669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994</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995</v>
      </c>
      <c r="B178" s="164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90">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3" t="s">
        <v>1010</v>
      </c>
      <c r="B182" s="615">
        <v>2550</v>
      </c>
      <c r="C182" s="466">
        <f>169047+11588+14329</f>
        <v>194964</v>
      </c>
      <c r="D182" s="466">
        <v>11762</v>
      </c>
      <c r="E182" s="466">
        <f>130060+3239</f>
        <v>133299</v>
      </c>
      <c r="F182" s="466">
        <f>59173-1</f>
        <v>59172</v>
      </c>
      <c r="G182" s="466"/>
      <c r="H182" s="466"/>
      <c r="I182" s="467"/>
      <c r="J182" s="467"/>
      <c r="K182" s="1690">
        <f>SUM(C182:J182)</f>
        <v>399197</v>
      </c>
      <c r="L182" s="466">
        <v>456440</v>
      </c>
    </row>
    <row r="183" spans="1:14" ht="12.75" customHeight="1" thickBot="1" x14ac:dyDescent="0.25">
      <c r="A183" s="1528"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194964</v>
      </c>
      <c r="D184" s="1696">
        <f t="shared" ref="D184:J184" si="17">SUM(D180,D182,D183)</f>
        <v>11762</v>
      </c>
      <c r="E184" s="1696">
        <f t="shared" si="17"/>
        <v>133299</v>
      </c>
      <c r="F184" s="1696">
        <f t="shared" si="17"/>
        <v>59172</v>
      </c>
      <c r="G184" s="1696">
        <f t="shared" si="17"/>
        <v>0</v>
      </c>
      <c r="H184" s="1696">
        <f t="shared" si="17"/>
        <v>0</v>
      </c>
      <c r="I184" s="1696">
        <f t="shared" si="17"/>
        <v>0</v>
      </c>
      <c r="J184" s="1696">
        <f t="shared" si="17"/>
        <v>0</v>
      </c>
      <c r="K184" s="1696">
        <f>SUM(K180,K182,K183)</f>
        <v>399197</v>
      </c>
      <c r="L184" s="1696">
        <f>SUM(L180, L182:L183)</f>
        <v>456440</v>
      </c>
    </row>
    <row r="185" spans="1:14" ht="15.75" customHeight="1" thickTop="1" thickBot="1" x14ac:dyDescent="0.25">
      <c r="A185" s="1641" t="s">
        <v>996</v>
      </c>
      <c r="B185" s="1630">
        <v>3000</v>
      </c>
      <c r="C185" s="576"/>
      <c r="D185" s="576"/>
      <c r="E185" s="576"/>
      <c r="F185" s="576"/>
      <c r="G185" s="576"/>
      <c r="H185" s="576"/>
      <c r="I185" s="531"/>
      <c r="J185" s="531"/>
      <c r="K185" s="1689">
        <f>SUM(C185:J185)</f>
        <v>0</v>
      </c>
      <c r="L185" s="576"/>
    </row>
    <row r="186" spans="1:14" s="675" customFormat="1" ht="15.75" customHeight="1" thickTop="1" x14ac:dyDescent="0.2">
      <c r="A186" s="1625" t="s">
        <v>93</v>
      </c>
      <c r="B186" s="162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3" t="s">
        <v>517</v>
      </c>
      <c r="B188" s="615">
        <v>4110</v>
      </c>
      <c r="C188" s="617"/>
      <c r="D188" s="617"/>
      <c r="E188" s="466"/>
      <c r="F188" s="617"/>
      <c r="G188" s="617"/>
      <c r="H188" s="466"/>
      <c r="I188" s="477"/>
      <c r="J188" s="617"/>
      <c r="K188" s="1690">
        <f t="shared" ref="K188:K193" si="18">SUM(E188,H188)</f>
        <v>0</v>
      </c>
      <c r="L188" s="466"/>
    </row>
    <row r="189" spans="1:14" x14ac:dyDescent="0.2">
      <c r="A189" s="1523" t="s">
        <v>322</v>
      </c>
      <c r="B189" s="615">
        <v>4120</v>
      </c>
      <c r="C189" s="617"/>
      <c r="D189" s="617"/>
      <c r="E189" s="466"/>
      <c r="F189" s="617"/>
      <c r="G189" s="617"/>
      <c r="H189" s="466"/>
      <c r="I189" s="477"/>
      <c r="J189" s="617"/>
      <c r="K189" s="1690">
        <f t="shared" si="18"/>
        <v>0</v>
      </c>
      <c r="L189" s="466"/>
    </row>
    <row r="190" spans="1:14" x14ac:dyDescent="0.2">
      <c r="A190" s="1523" t="s">
        <v>323</v>
      </c>
      <c r="B190" s="629">
        <v>4130</v>
      </c>
      <c r="C190" s="617"/>
      <c r="D190" s="617"/>
      <c r="E190" s="466"/>
      <c r="F190" s="617"/>
      <c r="G190" s="617"/>
      <c r="H190" s="466"/>
      <c r="I190" s="477"/>
      <c r="J190" s="617"/>
      <c r="K190" s="1690">
        <f t="shared" si="18"/>
        <v>0</v>
      </c>
      <c r="L190" s="466"/>
    </row>
    <row r="191" spans="1:14" x14ac:dyDescent="0.2">
      <c r="A191" s="1523" t="s">
        <v>721</v>
      </c>
      <c r="B191" s="615">
        <v>4140</v>
      </c>
      <c r="C191" s="617"/>
      <c r="D191" s="617"/>
      <c r="E191" s="466"/>
      <c r="F191" s="617"/>
      <c r="G191" s="617"/>
      <c r="H191" s="466"/>
      <c r="I191" s="477"/>
      <c r="J191" s="617"/>
      <c r="K191" s="1690">
        <f t="shared" si="18"/>
        <v>0</v>
      </c>
      <c r="L191" s="466"/>
    </row>
    <row r="192" spans="1:14" x14ac:dyDescent="0.2">
      <c r="A192" s="1523" t="s">
        <v>88</v>
      </c>
      <c r="B192" s="615">
        <v>4170</v>
      </c>
      <c r="C192" s="617"/>
      <c r="D192" s="617"/>
      <c r="E192" s="466"/>
      <c r="F192" s="617"/>
      <c r="G192" s="617"/>
      <c r="H192" s="466"/>
      <c r="I192" s="477"/>
      <c r="J192" s="617"/>
      <c r="K192" s="1690">
        <f t="shared" si="18"/>
        <v>0</v>
      </c>
      <c r="L192" s="466"/>
    </row>
    <row r="193" spans="1:14" x14ac:dyDescent="0.2">
      <c r="A193" s="1527"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1" t="s">
        <v>997</v>
      </c>
      <c r="B197" s="162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90">
        <f>SUM(H199)</f>
        <v>0</v>
      </c>
      <c r="L199" s="466"/>
    </row>
    <row r="200" spans="1:14" x14ac:dyDescent="0.2">
      <c r="A200" s="1523" t="s">
        <v>90</v>
      </c>
      <c r="B200" s="615">
        <v>5120</v>
      </c>
      <c r="C200" s="617"/>
      <c r="D200" s="617"/>
      <c r="E200" s="617"/>
      <c r="F200" s="617"/>
      <c r="G200" s="617"/>
      <c r="H200" s="466"/>
      <c r="I200" s="617"/>
      <c r="J200" s="617"/>
      <c r="K200" s="1690">
        <f>SUM(H200)</f>
        <v>0</v>
      </c>
      <c r="L200" s="466"/>
    </row>
    <row r="201" spans="1:14" ht="12.75" customHeight="1" x14ac:dyDescent="0.2">
      <c r="A201" s="1523" t="s">
        <v>1232</v>
      </c>
      <c r="B201" s="629" t="s">
        <v>638</v>
      </c>
      <c r="C201" s="617"/>
      <c r="D201" s="617"/>
      <c r="E201" s="617"/>
      <c r="F201" s="617"/>
      <c r="G201" s="617"/>
      <c r="H201" s="466"/>
      <c r="I201" s="617"/>
      <c r="J201" s="617"/>
      <c r="K201" s="1690">
        <f>SUM(H201)</f>
        <v>0</v>
      </c>
      <c r="L201" s="466"/>
    </row>
    <row r="202" spans="1:14" x14ac:dyDescent="0.2">
      <c r="A202" s="1523" t="s">
        <v>91</v>
      </c>
      <c r="B202" s="615" t="s">
        <v>610</v>
      </c>
      <c r="C202" s="617"/>
      <c r="D202" s="617"/>
      <c r="E202" s="617"/>
      <c r="F202" s="617"/>
      <c r="G202" s="617"/>
      <c r="H202" s="466"/>
      <c r="I202" s="617"/>
      <c r="J202" s="617"/>
      <c r="K202" s="1690">
        <f>SUM(H202)</f>
        <v>0</v>
      </c>
      <c r="L202" s="466"/>
    </row>
    <row r="203" spans="1:14" x14ac:dyDescent="0.2">
      <c r="A203" s="1535"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1770</v>
      </c>
      <c r="B206" s="673" t="s">
        <v>31</v>
      </c>
      <c r="C206" s="617"/>
      <c r="D206" s="617"/>
      <c r="E206" s="617"/>
      <c r="F206" s="617"/>
      <c r="G206" s="617"/>
      <c r="H206" s="466"/>
      <c r="I206" s="617"/>
      <c r="J206" s="617"/>
      <c r="K206" s="1690">
        <f>SUM(H206)</f>
        <v>0</v>
      </c>
      <c r="L206" s="466"/>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5" t="s">
        <v>927</v>
      </c>
      <c r="B209" s="1632" t="s">
        <v>916</v>
      </c>
      <c r="C209" s="624"/>
      <c r="D209" s="624"/>
      <c r="E209" s="624"/>
      <c r="F209" s="624"/>
      <c r="G209" s="624"/>
      <c r="H209" s="624"/>
      <c r="I209" s="617"/>
      <c r="J209" s="617"/>
      <c r="K209" s="624"/>
      <c r="L209" s="576"/>
    </row>
    <row r="210" spans="1:14" ht="12.75" customHeight="1" thickTop="1" thickBot="1" x14ac:dyDescent="0.25">
      <c r="A210" s="1711" t="s">
        <v>295</v>
      </c>
      <c r="B210" s="1712"/>
      <c r="C210" s="1689">
        <f>SUM(C184,C185)</f>
        <v>194964</v>
      </c>
      <c r="D210" s="1689">
        <f>SUM(D184,D185)</f>
        <v>11762</v>
      </c>
      <c r="E210" s="1689">
        <f>SUM(E184,E185,E196)</f>
        <v>133299</v>
      </c>
      <c r="F210" s="1689">
        <f>SUM(F184,F185)</f>
        <v>59172</v>
      </c>
      <c r="G210" s="1689">
        <f>SUM(G184,G185)</f>
        <v>0</v>
      </c>
      <c r="H210" s="1689">
        <f>SUM(H184,H185,H196,H208,H209)</f>
        <v>0</v>
      </c>
      <c r="I210" s="1689">
        <f>SUM(I184,I185)</f>
        <v>0</v>
      </c>
      <c r="J210" s="1689">
        <f>SUM(J184,J185)</f>
        <v>0</v>
      </c>
      <c r="K210" s="1690">
        <f>SUM(K184,K185,K196,K208,K209)</f>
        <v>399197</v>
      </c>
      <c r="L210" s="1689">
        <f>SUM(L184,L185,L196,L208,L209)</f>
        <v>456440</v>
      </c>
    </row>
    <row r="211" spans="1:14" ht="13.5" thickTop="1" x14ac:dyDescent="0.2">
      <c r="A211" s="2237" t="s">
        <v>1053</v>
      </c>
      <c r="B211" s="2238"/>
      <c r="C211" s="619"/>
      <c r="D211" s="619"/>
      <c r="E211" s="619"/>
      <c r="F211" s="619"/>
      <c r="G211" s="619"/>
      <c r="H211" s="619"/>
      <c r="I211" s="617"/>
      <c r="J211" s="617"/>
      <c r="K211" s="1703">
        <f>'Revenues 9-14'!F275-'Expenditures 15-22'!K210</f>
        <v>6251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32" t="s">
        <v>1022</v>
      </c>
      <c r="B213" s="2233"/>
      <c r="C213" s="1570"/>
      <c r="D213" s="1571"/>
      <c r="E213" s="1571"/>
      <c r="F213" s="1571"/>
      <c r="G213" s="1571"/>
      <c r="H213" s="1571"/>
      <c r="I213" s="1571"/>
      <c r="J213" s="1571"/>
      <c r="K213" s="1571"/>
      <c r="L213" s="1572"/>
      <c r="M213" s="610"/>
      <c r="N213" s="610"/>
    </row>
    <row r="214" spans="1:14" s="675" customFormat="1" ht="15.75" customHeight="1" x14ac:dyDescent="0.2">
      <c r="A214" s="1642" t="s">
        <v>928</v>
      </c>
      <c r="B214" s="1634" t="s">
        <v>591</v>
      </c>
      <c r="C214" s="617"/>
      <c r="D214" s="624"/>
      <c r="E214" s="617"/>
      <c r="F214" s="617"/>
      <c r="G214" s="617"/>
      <c r="H214" s="617"/>
      <c r="I214" s="617"/>
      <c r="J214" s="617"/>
      <c r="K214" s="624"/>
      <c r="L214" s="624"/>
      <c r="M214" s="666"/>
      <c r="N214" s="666"/>
    </row>
    <row r="215" spans="1:14" x14ac:dyDescent="0.2">
      <c r="A215" s="1523" t="s">
        <v>1018</v>
      </c>
      <c r="B215" s="615">
        <v>1100</v>
      </c>
      <c r="C215" s="617"/>
      <c r="D215" s="466">
        <f>10+10394+6856+173+6050+2</f>
        <v>23485</v>
      </c>
      <c r="E215" s="617"/>
      <c r="F215" s="617"/>
      <c r="G215" s="617"/>
      <c r="H215" s="617"/>
      <c r="I215" s="617"/>
      <c r="J215" s="617"/>
      <c r="K215" s="1690">
        <f>D215</f>
        <v>23485</v>
      </c>
      <c r="L215" s="466">
        <v>18400</v>
      </c>
    </row>
    <row r="216" spans="1:14" x14ac:dyDescent="0.2">
      <c r="A216" s="1523" t="s">
        <v>165</v>
      </c>
      <c r="B216" s="615" t="s">
        <v>1024</v>
      </c>
      <c r="C216" s="617"/>
      <c r="D216" s="467">
        <f>4116+2398+1424</f>
        <v>7938</v>
      </c>
      <c r="E216" s="617"/>
      <c r="F216" s="617"/>
      <c r="G216" s="617"/>
      <c r="H216" s="617"/>
      <c r="I216" s="617"/>
      <c r="J216" s="617"/>
      <c r="K216" s="1690">
        <f t="shared" ref="K216:K228" si="19">D216</f>
        <v>7938</v>
      </c>
      <c r="L216" s="466">
        <v>15560</v>
      </c>
    </row>
    <row r="217" spans="1:14" x14ac:dyDescent="0.2">
      <c r="A217" s="1523" t="s">
        <v>166</v>
      </c>
      <c r="B217" s="615">
        <v>1200</v>
      </c>
      <c r="C217" s="617"/>
      <c r="D217" s="466">
        <v>2836</v>
      </c>
      <c r="E217" s="617"/>
      <c r="F217" s="617"/>
      <c r="G217" s="617"/>
      <c r="H217" s="617"/>
      <c r="I217" s="617"/>
      <c r="J217" s="617"/>
      <c r="K217" s="1690">
        <f t="shared" si="19"/>
        <v>2836</v>
      </c>
      <c r="L217" s="466">
        <v>3200</v>
      </c>
    </row>
    <row r="218" spans="1:14" x14ac:dyDescent="0.2">
      <c r="A218" s="1523" t="s">
        <v>296</v>
      </c>
      <c r="B218" s="615" t="s">
        <v>1025</v>
      </c>
      <c r="C218" s="617"/>
      <c r="D218" s="467"/>
      <c r="E218" s="617"/>
      <c r="F218" s="617"/>
      <c r="G218" s="617"/>
      <c r="H218" s="617"/>
      <c r="I218" s="617"/>
      <c r="J218" s="617"/>
      <c r="K218" s="1690">
        <f t="shared" si="19"/>
        <v>0</v>
      </c>
      <c r="L218" s="466"/>
    </row>
    <row r="219" spans="1:14" x14ac:dyDescent="0.2">
      <c r="A219" s="1523" t="s">
        <v>297</v>
      </c>
      <c r="B219" s="615">
        <v>1250</v>
      </c>
      <c r="C219" s="617"/>
      <c r="D219" s="466"/>
      <c r="E219" s="617"/>
      <c r="F219" s="617"/>
      <c r="G219" s="617"/>
      <c r="H219" s="617"/>
      <c r="I219" s="617"/>
      <c r="J219" s="617"/>
      <c r="K219" s="1690">
        <f t="shared" si="19"/>
        <v>0</v>
      </c>
      <c r="L219" s="466">
        <v>2550</v>
      </c>
    </row>
    <row r="220" spans="1:14" x14ac:dyDescent="0.2">
      <c r="A220" s="1523" t="s">
        <v>298</v>
      </c>
      <c r="B220" s="615" t="s">
        <v>163</v>
      </c>
      <c r="C220" s="617"/>
      <c r="D220" s="467"/>
      <c r="E220" s="617"/>
      <c r="F220" s="617"/>
      <c r="G220" s="617"/>
      <c r="H220" s="617"/>
      <c r="I220" s="617"/>
      <c r="J220" s="617"/>
      <c r="K220" s="1690">
        <f t="shared" si="19"/>
        <v>0</v>
      </c>
      <c r="L220" s="466"/>
    </row>
    <row r="221" spans="1:14" x14ac:dyDescent="0.2">
      <c r="A221" s="1523" t="s">
        <v>1019</v>
      </c>
      <c r="B221" s="615">
        <v>1300</v>
      </c>
      <c r="C221" s="617"/>
      <c r="D221" s="466"/>
      <c r="E221" s="617"/>
      <c r="F221" s="617"/>
      <c r="G221" s="617"/>
      <c r="H221" s="617"/>
      <c r="I221" s="617"/>
      <c r="J221" s="617"/>
      <c r="K221" s="1690">
        <f t="shared" si="19"/>
        <v>0</v>
      </c>
      <c r="L221" s="466"/>
    </row>
    <row r="222" spans="1:14" x14ac:dyDescent="0.2">
      <c r="A222" s="1523" t="s">
        <v>747</v>
      </c>
      <c r="B222" s="615">
        <v>1400</v>
      </c>
      <c r="C222" s="617"/>
      <c r="D222" s="466">
        <v>173</v>
      </c>
      <c r="E222" s="617"/>
      <c r="F222" s="617"/>
      <c r="G222" s="617"/>
      <c r="H222" s="617"/>
      <c r="I222" s="617"/>
      <c r="J222" s="617"/>
      <c r="K222" s="1690">
        <f t="shared" si="19"/>
        <v>173</v>
      </c>
      <c r="L222" s="466">
        <v>200</v>
      </c>
    </row>
    <row r="223" spans="1:14" x14ac:dyDescent="0.2">
      <c r="A223" s="1523" t="s">
        <v>1020</v>
      </c>
      <c r="B223" s="615">
        <v>1500</v>
      </c>
      <c r="C223" s="617"/>
      <c r="D223" s="466">
        <f>10+1718+1011+91</f>
        <v>2830</v>
      </c>
      <c r="E223" s="617"/>
      <c r="F223" s="617"/>
      <c r="G223" s="617"/>
      <c r="H223" s="617"/>
      <c r="I223" s="617"/>
      <c r="J223" s="617"/>
      <c r="K223" s="1690">
        <f t="shared" si="19"/>
        <v>2830</v>
      </c>
      <c r="L223" s="466">
        <v>3555</v>
      </c>
    </row>
    <row r="224" spans="1:14" x14ac:dyDescent="0.2">
      <c r="A224" s="1523" t="s">
        <v>1021</v>
      </c>
      <c r="B224" s="615">
        <v>1600</v>
      </c>
      <c r="C224" s="617"/>
      <c r="D224" s="466"/>
      <c r="E224" s="617"/>
      <c r="F224" s="617"/>
      <c r="G224" s="617"/>
      <c r="H224" s="617"/>
      <c r="I224" s="617"/>
      <c r="J224" s="617"/>
      <c r="K224" s="1690">
        <f t="shared" si="19"/>
        <v>0</v>
      </c>
      <c r="L224" s="466"/>
    </row>
    <row r="225" spans="1:12" x14ac:dyDescent="0.2">
      <c r="A225" s="1523" t="s">
        <v>1044</v>
      </c>
      <c r="B225" s="615">
        <v>1650</v>
      </c>
      <c r="C225" s="617"/>
      <c r="D225" s="466"/>
      <c r="E225" s="617"/>
      <c r="F225" s="617"/>
      <c r="G225" s="617"/>
      <c r="H225" s="617"/>
      <c r="I225" s="617"/>
      <c r="J225" s="617"/>
      <c r="K225" s="1690">
        <f t="shared" si="19"/>
        <v>0</v>
      </c>
      <c r="L225" s="466"/>
    </row>
    <row r="226" spans="1:12" x14ac:dyDescent="0.2">
      <c r="A226" s="1523" t="s">
        <v>748</v>
      </c>
      <c r="B226" s="615" t="s">
        <v>164</v>
      </c>
      <c r="C226" s="617"/>
      <c r="D226" s="467"/>
      <c r="E226" s="617"/>
      <c r="F226" s="617"/>
      <c r="G226" s="617"/>
      <c r="H226" s="617"/>
      <c r="I226" s="617"/>
      <c r="J226" s="617"/>
      <c r="K226" s="1690">
        <f t="shared" si="19"/>
        <v>0</v>
      </c>
      <c r="L226" s="466"/>
    </row>
    <row r="227" spans="1:12" x14ac:dyDescent="0.2">
      <c r="A227" s="1523" t="s">
        <v>1148</v>
      </c>
      <c r="B227" s="615">
        <v>1800</v>
      </c>
      <c r="C227" s="617"/>
      <c r="D227" s="466"/>
      <c r="E227" s="617"/>
      <c r="F227" s="617"/>
      <c r="G227" s="617"/>
      <c r="H227" s="617"/>
      <c r="I227" s="617"/>
      <c r="J227" s="617"/>
      <c r="K227" s="1690">
        <f t="shared" si="19"/>
        <v>0</v>
      </c>
      <c r="L227" s="466"/>
    </row>
    <row r="228" spans="1:12" x14ac:dyDescent="0.2">
      <c r="A228" s="1523" t="s">
        <v>1149</v>
      </c>
      <c r="B228" s="615">
        <v>1900</v>
      </c>
      <c r="C228" s="617"/>
      <c r="D228" s="466"/>
      <c r="E228" s="617"/>
      <c r="F228" s="617"/>
      <c r="G228" s="617"/>
      <c r="H228" s="617"/>
      <c r="I228" s="617"/>
      <c r="J228" s="617"/>
      <c r="K228" s="1690">
        <f t="shared" si="19"/>
        <v>0</v>
      </c>
      <c r="L228" s="466"/>
    </row>
    <row r="229" spans="1:12" ht="12.75" customHeight="1" thickBot="1" x14ac:dyDescent="0.25">
      <c r="A229" s="1687" t="s">
        <v>739</v>
      </c>
      <c r="B229" s="1694" t="s">
        <v>591</v>
      </c>
      <c r="C229" s="617"/>
      <c r="D229" s="1689">
        <f>SUM(D215:D228)</f>
        <v>37262</v>
      </c>
      <c r="E229" s="617"/>
      <c r="F229" s="617"/>
      <c r="G229" s="617"/>
      <c r="H229" s="617"/>
      <c r="I229" s="617"/>
      <c r="J229" s="617"/>
      <c r="K229" s="1689">
        <f>SUM(K215:K228)</f>
        <v>37262</v>
      </c>
      <c r="L229" s="1689">
        <f>SUM(L215:L228)</f>
        <v>43465</v>
      </c>
    </row>
    <row r="230" spans="1:12" ht="15.75" customHeight="1" thickTop="1" x14ac:dyDescent="0.2">
      <c r="A230" s="1631" t="s">
        <v>929</v>
      </c>
      <c r="B230" s="163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3" t="s">
        <v>1150</v>
      </c>
      <c r="B232" s="615">
        <v>2110</v>
      </c>
      <c r="C232" s="617"/>
      <c r="D232" s="466"/>
      <c r="E232" s="617"/>
      <c r="F232" s="617"/>
      <c r="G232" s="617"/>
      <c r="H232" s="617"/>
      <c r="I232" s="617"/>
      <c r="J232" s="617"/>
      <c r="K232" s="1690">
        <f t="shared" ref="K232:K237" si="20">D232</f>
        <v>0</v>
      </c>
      <c r="L232" s="466"/>
    </row>
    <row r="233" spans="1:12" x14ac:dyDescent="0.2">
      <c r="A233" s="1523" t="s">
        <v>1151</v>
      </c>
      <c r="B233" s="615">
        <v>2120</v>
      </c>
      <c r="C233" s="617"/>
      <c r="D233" s="466">
        <v>658</v>
      </c>
      <c r="E233" s="617"/>
      <c r="F233" s="617"/>
      <c r="G233" s="617"/>
      <c r="H233" s="617"/>
      <c r="I233" s="617"/>
      <c r="J233" s="617"/>
      <c r="K233" s="1690">
        <f t="shared" si="20"/>
        <v>658</v>
      </c>
      <c r="L233" s="466">
        <v>700</v>
      </c>
    </row>
    <row r="234" spans="1:12" x14ac:dyDescent="0.2">
      <c r="A234" s="1523" t="s">
        <v>207</v>
      </c>
      <c r="B234" s="615">
        <v>2130</v>
      </c>
      <c r="C234" s="617"/>
      <c r="D234" s="466">
        <f>1534+2324+550</f>
        <v>4408</v>
      </c>
      <c r="E234" s="617"/>
      <c r="F234" s="617"/>
      <c r="G234" s="617"/>
      <c r="H234" s="617"/>
      <c r="I234" s="617"/>
      <c r="J234" s="617"/>
      <c r="K234" s="1690">
        <f t="shared" si="20"/>
        <v>4408</v>
      </c>
      <c r="L234" s="466">
        <v>5020</v>
      </c>
    </row>
    <row r="235" spans="1:12" x14ac:dyDescent="0.2">
      <c r="A235" s="1523" t="s">
        <v>208</v>
      </c>
      <c r="B235" s="615">
        <v>2140</v>
      </c>
      <c r="C235" s="617"/>
      <c r="D235" s="466"/>
      <c r="E235" s="617"/>
      <c r="F235" s="617"/>
      <c r="G235" s="617"/>
      <c r="H235" s="617"/>
      <c r="I235" s="617"/>
      <c r="J235" s="617"/>
      <c r="K235" s="1690">
        <f t="shared" si="20"/>
        <v>0</v>
      </c>
      <c r="L235" s="466"/>
    </row>
    <row r="236" spans="1:12" x14ac:dyDescent="0.2">
      <c r="A236" s="1523" t="s">
        <v>209</v>
      </c>
      <c r="B236" s="615">
        <v>2150</v>
      </c>
      <c r="C236" s="617"/>
      <c r="D236" s="466"/>
      <c r="E236" s="617"/>
      <c r="F236" s="617"/>
      <c r="G236" s="617"/>
      <c r="H236" s="617"/>
      <c r="I236" s="617"/>
      <c r="J236" s="617"/>
      <c r="K236" s="1690">
        <f t="shared" si="20"/>
        <v>0</v>
      </c>
      <c r="L236" s="466"/>
    </row>
    <row r="237" spans="1:12" x14ac:dyDescent="0.2">
      <c r="A237" s="1523" t="s">
        <v>167</v>
      </c>
      <c r="B237" s="615">
        <v>2190</v>
      </c>
      <c r="C237" s="617"/>
      <c r="D237" s="466">
        <f>18786+10517+2469</f>
        <v>31772</v>
      </c>
      <c r="E237" s="617"/>
      <c r="F237" s="617"/>
      <c r="G237" s="617"/>
      <c r="H237" s="617"/>
      <c r="I237" s="617"/>
      <c r="J237" s="617"/>
      <c r="K237" s="1690">
        <f t="shared" si="20"/>
        <v>31772</v>
      </c>
      <c r="L237" s="466">
        <v>39100</v>
      </c>
    </row>
    <row r="238" spans="1:12" ht="12.75" customHeight="1" thickBot="1" x14ac:dyDescent="0.25">
      <c r="A238" s="1687" t="s">
        <v>581</v>
      </c>
      <c r="B238" s="1694" t="s">
        <v>740</v>
      </c>
      <c r="C238" s="617"/>
      <c r="D238" s="1689">
        <f>SUM(D232:D237)</f>
        <v>36838</v>
      </c>
      <c r="E238" s="617"/>
      <c r="F238" s="617"/>
      <c r="G238" s="617"/>
      <c r="H238" s="617"/>
      <c r="I238" s="617"/>
      <c r="J238" s="617"/>
      <c r="K238" s="1689">
        <f>SUM(K232:K237)</f>
        <v>36838</v>
      </c>
      <c r="L238" s="1689">
        <f>SUM(L232:L237)</f>
        <v>44820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3" t="s">
        <v>868</v>
      </c>
      <c r="B240" s="615">
        <v>2210</v>
      </c>
      <c r="C240" s="617"/>
      <c r="D240" s="481">
        <v>25</v>
      </c>
      <c r="E240" s="617"/>
      <c r="F240" s="617"/>
      <c r="G240" s="617"/>
      <c r="H240" s="617"/>
      <c r="I240" s="617"/>
      <c r="J240" s="617"/>
      <c r="K240" s="1691">
        <f>D240</f>
        <v>25</v>
      </c>
      <c r="L240" s="481">
        <v>50</v>
      </c>
    </row>
    <row r="241" spans="1:12" x14ac:dyDescent="0.2">
      <c r="A241" s="1523" t="s">
        <v>869</v>
      </c>
      <c r="B241" s="615">
        <v>2220</v>
      </c>
      <c r="C241" s="617"/>
      <c r="D241" s="466"/>
      <c r="E241" s="617"/>
      <c r="F241" s="617"/>
      <c r="G241" s="617"/>
      <c r="H241" s="617"/>
      <c r="I241" s="617"/>
      <c r="J241" s="617"/>
      <c r="K241" s="1691">
        <f>D241</f>
        <v>0</v>
      </c>
      <c r="L241" s="466"/>
    </row>
    <row r="242" spans="1:12" x14ac:dyDescent="0.2">
      <c r="A242" s="1523" t="s">
        <v>870</v>
      </c>
      <c r="B242" s="615">
        <v>2230</v>
      </c>
      <c r="C242" s="617"/>
      <c r="D242" s="466"/>
      <c r="E242" s="617"/>
      <c r="F242" s="617"/>
      <c r="G242" s="617"/>
      <c r="H242" s="617"/>
      <c r="I242" s="617"/>
      <c r="J242" s="617"/>
      <c r="K242" s="1691">
        <f>D242</f>
        <v>0</v>
      </c>
      <c r="L242" s="466"/>
    </row>
    <row r="243" spans="1:12" ht="12.75" customHeight="1" thickBot="1" x14ac:dyDescent="0.25">
      <c r="A243" s="1713" t="s">
        <v>582</v>
      </c>
      <c r="B243" s="1714">
        <v>2200</v>
      </c>
      <c r="C243" s="617"/>
      <c r="D243" s="1689">
        <f>SUM(D240:D242)</f>
        <v>25</v>
      </c>
      <c r="E243" s="617"/>
      <c r="F243" s="617"/>
      <c r="G243" s="617"/>
      <c r="H243" s="617"/>
      <c r="I243" s="617"/>
      <c r="J243" s="617"/>
      <c r="K243" s="1689">
        <f>SUM(K240:K242)</f>
        <v>25</v>
      </c>
      <c r="L243" s="1689">
        <f>SUM(L240:L242)</f>
        <v>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3" t="s">
        <v>871</v>
      </c>
      <c r="B245" s="615">
        <v>2310</v>
      </c>
      <c r="C245" s="617"/>
      <c r="D245" s="481">
        <v>7</v>
      </c>
      <c r="E245" s="617"/>
      <c r="F245" s="617"/>
      <c r="G245" s="617"/>
      <c r="H245" s="617"/>
      <c r="I245" s="617"/>
      <c r="J245" s="617"/>
      <c r="K245" s="1691">
        <f>D245</f>
        <v>7</v>
      </c>
      <c r="L245" s="481">
        <v>50</v>
      </c>
    </row>
    <row r="246" spans="1:12" x14ac:dyDescent="0.2">
      <c r="A246" s="1523" t="s">
        <v>872</v>
      </c>
      <c r="B246" s="615">
        <v>2320</v>
      </c>
      <c r="C246" s="617"/>
      <c r="D246" s="466">
        <v>1898</v>
      </c>
      <c r="E246" s="617"/>
      <c r="F246" s="617"/>
      <c r="G246" s="617"/>
      <c r="H246" s="617"/>
      <c r="I246" s="617"/>
      <c r="J246" s="617"/>
      <c r="K246" s="1691">
        <f t="shared" ref="K246:K256" si="21">D246</f>
        <v>1898</v>
      </c>
      <c r="L246" s="466">
        <v>1900</v>
      </c>
    </row>
    <row r="247" spans="1:12" x14ac:dyDescent="0.2">
      <c r="A247" s="1523" t="s">
        <v>873</v>
      </c>
      <c r="B247" s="615">
        <v>2330</v>
      </c>
      <c r="C247" s="617"/>
      <c r="D247" s="466"/>
      <c r="E247" s="617"/>
      <c r="F247" s="617"/>
      <c r="G247" s="617"/>
      <c r="H247" s="617"/>
      <c r="I247" s="617"/>
      <c r="J247" s="617"/>
      <c r="K247" s="1691">
        <f t="shared" si="21"/>
        <v>0</v>
      </c>
      <c r="L247" s="466"/>
    </row>
    <row r="248" spans="1:12" x14ac:dyDescent="0.2">
      <c r="A248" s="1524" t="s">
        <v>317</v>
      </c>
      <c r="B248" s="603" t="s">
        <v>299</v>
      </c>
      <c r="C248" s="617"/>
      <c r="D248" s="474"/>
      <c r="E248" s="617"/>
      <c r="F248" s="617"/>
      <c r="G248" s="617"/>
      <c r="H248" s="617"/>
      <c r="I248" s="617"/>
      <c r="J248" s="617"/>
      <c r="K248" s="1691">
        <f t="shared" si="21"/>
        <v>0</v>
      </c>
      <c r="L248" s="466"/>
    </row>
    <row r="249" spans="1:12" x14ac:dyDescent="0.2">
      <c r="A249" s="1525" t="s">
        <v>1908</v>
      </c>
      <c r="B249" s="684" t="s">
        <v>300</v>
      </c>
      <c r="C249" s="617"/>
      <c r="D249" s="474"/>
      <c r="E249" s="617"/>
      <c r="F249" s="617"/>
      <c r="G249" s="617"/>
      <c r="H249" s="617"/>
      <c r="I249" s="617"/>
      <c r="J249" s="617"/>
      <c r="K249" s="1691">
        <f t="shared" si="21"/>
        <v>0</v>
      </c>
      <c r="L249" s="466"/>
    </row>
    <row r="250" spans="1:12" x14ac:dyDescent="0.2">
      <c r="A250" s="1524" t="s">
        <v>1909</v>
      </c>
      <c r="B250" s="603" t="s">
        <v>301</v>
      </c>
      <c r="C250" s="617"/>
      <c r="D250" s="474"/>
      <c r="E250" s="617"/>
      <c r="F250" s="617"/>
      <c r="G250" s="617"/>
      <c r="H250" s="617"/>
      <c r="I250" s="617"/>
      <c r="J250" s="617"/>
      <c r="K250" s="1691">
        <f t="shared" si="21"/>
        <v>0</v>
      </c>
      <c r="L250" s="466"/>
    </row>
    <row r="251" spans="1:12" x14ac:dyDescent="0.2">
      <c r="A251" s="1524" t="s">
        <v>256</v>
      </c>
      <c r="B251" s="603" t="s">
        <v>302</v>
      </c>
      <c r="C251" s="617"/>
      <c r="D251" s="474"/>
      <c r="E251" s="617"/>
      <c r="F251" s="617"/>
      <c r="G251" s="617"/>
      <c r="H251" s="617"/>
      <c r="I251" s="617"/>
      <c r="J251" s="617"/>
      <c r="K251" s="1691">
        <f t="shared" si="21"/>
        <v>0</v>
      </c>
      <c r="L251" s="466"/>
    </row>
    <row r="252" spans="1:12" x14ac:dyDescent="0.2">
      <c r="A252" s="1524" t="s">
        <v>726</v>
      </c>
      <c r="B252" s="603" t="s">
        <v>303</v>
      </c>
      <c r="C252" s="617"/>
      <c r="D252" s="474"/>
      <c r="E252" s="617"/>
      <c r="F252" s="617"/>
      <c r="G252" s="617"/>
      <c r="H252" s="617"/>
      <c r="I252" s="617"/>
      <c r="J252" s="617"/>
      <c r="K252" s="1691">
        <f t="shared" si="21"/>
        <v>0</v>
      </c>
      <c r="L252" s="466"/>
    </row>
    <row r="253" spans="1:12" x14ac:dyDescent="0.2">
      <c r="A253" s="1524" t="s">
        <v>257</v>
      </c>
      <c r="B253" s="603" t="s">
        <v>304</v>
      </c>
      <c r="C253" s="617"/>
      <c r="D253" s="474"/>
      <c r="E253" s="617"/>
      <c r="F253" s="617"/>
      <c r="G253" s="617"/>
      <c r="H253" s="617"/>
      <c r="I253" s="617"/>
      <c r="J253" s="617"/>
      <c r="K253" s="1691">
        <f t="shared" si="21"/>
        <v>0</v>
      </c>
      <c r="L253" s="466"/>
    </row>
    <row r="254" spans="1:12" ht="22.5" x14ac:dyDescent="0.2">
      <c r="A254" s="1524" t="s">
        <v>1087</v>
      </c>
      <c r="B254" s="684" t="s">
        <v>305</v>
      </c>
      <c r="C254" s="617"/>
      <c r="D254" s="474"/>
      <c r="E254" s="617"/>
      <c r="F254" s="617"/>
      <c r="G254" s="617"/>
      <c r="H254" s="617"/>
      <c r="I254" s="617"/>
      <c r="J254" s="617"/>
      <c r="K254" s="1691">
        <f t="shared" si="21"/>
        <v>0</v>
      </c>
      <c r="L254" s="466"/>
    </row>
    <row r="255" spans="1:12" x14ac:dyDescent="0.2">
      <c r="A255" s="1524" t="s">
        <v>1088</v>
      </c>
      <c r="B255" s="603" t="s">
        <v>306</v>
      </c>
      <c r="C255" s="617"/>
      <c r="D255" s="474"/>
      <c r="E255" s="617"/>
      <c r="F255" s="617"/>
      <c r="G255" s="617"/>
      <c r="H255" s="617"/>
      <c r="I255" s="617"/>
      <c r="J255" s="617"/>
      <c r="K255" s="1691">
        <f t="shared" si="21"/>
        <v>0</v>
      </c>
      <c r="L255" s="466"/>
    </row>
    <row r="256" spans="1:12" x14ac:dyDescent="0.2">
      <c r="A256" s="1524"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1905</v>
      </c>
      <c r="E257" s="617"/>
      <c r="F257" s="617"/>
      <c r="G257" s="617"/>
      <c r="H257" s="617"/>
      <c r="I257" s="617"/>
      <c r="J257" s="617"/>
      <c r="K257" s="1689">
        <f>SUM(K245:K256)</f>
        <v>1905</v>
      </c>
      <c r="L257" s="1689">
        <f>SUM(L245:L256)</f>
        <v>1950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3" t="s">
        <v>1127</v>
      </c>
      <c r="B259" s="686">
        <v>2410</v>
      </c>
      <c r="C259" s="617"/>
      <c r="D259" s="481">
        <f>2535+7510+3465+810</f>
        <v>14320</v>
      </c>
      <c r="E259" s="617"/>
      <c r="F259" s="617"/>
      <c r="G259" s="617"/>
      <c r="H259" s="617"/>
      <c r="I259" s="617"/>
      <c r="J259" s="617"/>
      <c r="K259" s="1691">
        <f>D259</f>
        <v>14320</v>
      </c>
      <c r="L259" s="481">
        <v>15190</v>
      </c>
    </row>
    <row r="260" spans="1:14" s="598" customFormat="1" x14ac:dyDescent="0.2">
      <c r="A260" s="1541" t="s">
        <v>1907</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281</v>
      </c>
      <c r="B261" s="1716" t="s">
        <v>34</v>
      </c>
      <c r="C261" s="617"/>
      <c r="D261" s="1689">
        <f>SUM(D259:D260)</f>
        <v>14320</v>
      </c>
      <c r="E261" s="617"/>
      <c r="F261" s="617"/>
      <c r="G261" s="617"/>
      <c r="H261" s="617"/>
      <c r="I261" s="617"/>
      <c r="J261" s="617"/>
      <c r="K261" s="1689">
        <f>SUM(K259:K260)</f>
        <v>14320</v>
      </c>
      <c r="L261" s="1689">
        <f>SUM(L259:L260)</f>
        <v>15190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3" t="s">
        <v>1128</v>
      </c>
      <c r="B263" s="686">
        <v>2510</v>
      </c>
      <c r="C263" s="617"/>
      <c r="D263" s="466"/>
      <c r="E263" s="617"/>
      <c r="F263" s="617"/>
      <c r="G263" s="617"/>
      <c r="H263" s="617"/>
      <c r="I263" s="617"/>
      <c r="J263" s="617"/>
      <c r="K263" s="1691">
        <f>D263</f>
        <v>0</v>
      </c>
      <c r="L263" s="481"/>
    </row>
    <row r="264" spans="1:14" x14ac:dyDescent="0.2">
      <c r="A264" s="1523" t="s">
        <v>483</v>
      </c>
      <c r="B264" s="686">
        <v>2520</v>
      </c>
      <c r="C264" s="617"/>
      <c r="D264" s="466">
        <f>7189+3317+739</f>
        <v>11245</v>
      </c>
      <c r="E264" s="617"/>
      <c r="F264" s="617"/>
      <c r="G264" s="617"/>
      <c r="H264" s="617"/>
      <c r="I264" s="617"/>
      <c r="J264" s="617"/>
      <c r="K264" s="1691">
        <f t="shared" ref="K264:K269" si="22">D264</f>
        <v>11245</v>
      </c>
      <c r="L264" s="466">
        <v>11350</v>
      </c>
    </row>
    <row r="265" spans="1:14" x14ac:dyDescent="0.2">
      <c r="A265" s="1523" t="s">
        <v>4</v>
      </c>
      <c r="B265" s="615">
        <v>2530</v>
      </c>
      <c r="C265" s="617"/>
      <c r="D265" s="466"/>
      <c r="E265" s="617"/>
      <c r="F265" s="617"/>
      <c r="G265" s="617"/>
      <c r="H265" s="617"/>
      <c r="I265" s="617"/>
      <c r="J265" s="617"/>
      <c r="K265" s="1691">
        <f t="shared" si="22"/>
        <v>0</v>
      </c>
      <c r="L265" s="466"/>
    </row>
    <row r="266" spans="1:14" x14ac:dyDescent="0.2">
      <c r="A266" s="1523" t="s">
        <v>206</v>
      </c>
      <c r="B266" s="615">
        <v>2540</v>
      </c>
      <c r="C266" s="617"/>
      <c r="D266" s="466">
        <f>20160+10559+2480</f>
        <v>33199</v>
      </c>
      <c r="E266" s="617"/>
      <c r="F266" s="617"/>
      <c r="G266" s="617"/>
      <c r="H266" s="617"/>
      <c r="I266" s="617"/>
      <c r="J266" s="617"/>
      <c r="K266" s="1691">
        <f t="shared" si="22"/>
        <v>33199</v>
      </c>
      <c r="L266" s="466">
        <v>38370</v>
      </c>
    </row>
    <row r="267" spans="1:14" x14ac:dyDescent="0.2">
      <c r="A267" s="1523" t="s">
        <v>1010</v>
      </c>
      <c r="B267" s="615">
        <v>2550</v>
      </c>
      <c r="C267" s="617"/>
      <c r="D267" s="466">
        <f>10198+11983+2766</f>
        <v>24947</v>
      </c>
      <c r="E267" s="617"/>
      <c r="F267" s="617"/>
      <c r="G267" s="617"/>
      <c r="H267" s="617"/>
      <c r="I267" s="617"/>
      <c r="J267" s="617"/>
      <c r="K267" s="1691">
        <f t="shared" si="22"/>
        <v>24947</v>
      </c>
      <c r="L267" s="466">
        <v>30230</v>
      </c>
    </row>
    <row r="268" spans="1:14" x14ac:dyDescent="0.2">
      <c r="A268" s="1523" t="s">
        <v>102</v>
      </c>
      <c r="B268" s="615">
        <v>2560</v>
      </c>
      <c r="C268" s="617"/>
      <c r="D268" s="466">
        <f>5029+2727+643</f>
        <v>8399</v>
      </c>
      <c r="E268" s="617"/>
      <c r="F268" s="617"/>
      <c r="G268" s="617"/>
      <c r="H268" s="617"/>
      <c r="I268" s="617"/>
      <c r="J268" s="617"/>
      <c r="K268" s="1691">
        <f t="shared" si="22"/>
        <v>8399</v>
      </c>
      <c r="L268" s="466">
        <v>10000</v>
      </c>
    </row>
    <row r="269" spans="1:14" x14ac:dyDescent="0.2">
      <c r="A269" s="1523" t="s">
        <v>103</v>
      </c>
      <c r="B269" s="615">
        <v>2570</v>
      </c>
      <c r="C269" s="617"/>
      <c r="D269" s="466"/>
      <c r="E269" s="617"/>
      <c r="F269" s="617"/>
      <c r="G269" s="617"/>
      <c r="H269" s="617"/>
      <c r="I269" s="617"/>
      <c r="J269" s="617"/>
      <c r="K269" s="1691">
        <f t="shared" si="22"/>
        <v>0</v>
      </c>
      <c r="L269" s="466"/>
    </row>
    <row r="270" spans="1:14" ht="12.75" customHeight="1" thickBot="1" x14ac:dyDescent="0.25">
      <c r="A270" s="1687" t="s">
        <v>743</v>
      </c>
      <c r="B270" s="1694" t="s">
        <v>35</v>
      </c>
      <c r="C270" s="617"/>
      <c r="D270" s="1689">
        <f>SUM(D263:D269)</f>
        <v>77790</v>
      </c>
      <c r="E270" s="617"/>
      <c r="F270" s="617"/>
      <c r="G270" s="617"/>
      <c r="H270" s="617"/>
      <c r="I270" s="617"/>
      <c r="J270" s="617"/>
      <c r="K270" s="1689">
        <f>SUM(K263:K269)</f>
        <v>77790</v>
      </c>
      <c r="L270" s="1689">
        <f>SUM(L263:L269)</f>
        <v>89950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3" t="s">
        <v>1120</v>
      </c>
      <c r="B272" s="615">
        <v>2610</v>
      </c>
      <c r="C272" s="617"/>
      <c r="D272" s="481"/>
      <c r="E272" s="617"/>
      <c r="F272" s="617"/>
      <c r="G272" s="617"/>
      <c r="H272" s="617"/>
      <c r="I272" s="617"/>
      <c r="J272" s="617"/>
      <c r="K272" s="1691">
        <f>D272</f>
        <v>0</v>
      </c>
      <c r="L272" s="481"/>
    </row>
    <row r="273" spans="1:12" x14ac:dyDescent="0.2">
      <c r="A273" s="1523" t="s">
        <v>628</v>
      </c>
      <c r="B273" s="629">
        <v>2620</v>
      </c>
      <c r="C273" s="617"/>
      <c r="D273" s="466"/>
      <c r="E273" s="617"/>
      <c r="F273" s="617"/>
      <c r="G273" s="617"/>
      <c r="H273" s="617"/>
      <c r="I273" s="617"/>
      <c r="J273" s="617"/>
      <c r="K273" s="1691">
        <f>D273</f>
        <v>0</v>
      </c>
      <c r="L273" s="466"/>
    </row>
    <row r="274" spans="1:12" ht="12" customHeight="1" x14ac:dyDescent="0.2">
      <c r="A274" s="1523" t="s">
        <v>1121</v>
      </c>
      <c r="B274" s="615">
        <v>2630</v>
      </c>
      <c r="C274" s="617"/>
      <c r="D274" s="466"/>
      <c r="E274" s="617"/>
      <c r="F274" s="617"/>
      <c r="G274" s="617"/>
      <c r="H274" s="617"/>
      <c r="I274" s="617"/>
      <c r="J274" s="617"/>
      <c r="K274" s="1691">
        <f>D274</f>
        <v>0</v>
      </c>
      <c r="L274" s="466"/>
    </row>
    <row r="275" spans="1:12" x14ac:dyDescent="0.2">
      <c r="A275" s="1523" t="s">
        <v>423</v>
      </c>
      <c r="B275" s="615">
        <v>2640</v>
      </c>
      <c r="C275" s="617"/>
      <c r="D275" s="466"/>
      <c r="E275" s="617"/>
      <c r="F275" s="617"/>
      <c r="G275" s="617"/>
      <c r="H275" s="617"/>
      <c r="I275" s="617"/>
      <c r="J275" s="617"/>
      <c r="K275" s="1691">
        <f>D275</f>
        <v>0</v>
      </c>
      <c r="L275" s="466"/>
    </row>
    <row r="276" spans="1:12" x14ac:dyDescent="0.2">
      <c r="A276" s="1523" t="s">
        <v>424</v>
      </c>
      <c r="B276" s="615">
        <v>2660</v>
      </c>
      <c r="C276" s="617"/>
      <c r="D276" s="466"/>
      <c r="E276" s="617"/>
      <c r="F276" s="617"/>
      <c r="G276" s="617"/>
      <c r="H276" s="617"/>
      <c r="I276" s="617"/>
      <c r="J276" s="617"/>
      <c r="K276" s="1691">
        <f>D276</f>
        <v>0</v>
      </c>
      <c r="L276" s="466"/>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29" t="s">
        <v>1037</v>
      </c>
      <c r="B278" s="656" t="s">
        <v>595</v>
      </c>
      <c r="C278" s="617"/>
      <c r="D278" s="657"/>
      <c r="E278" s="617"/>
      <c r="F278" s="617"/>
      <c r="G278" s="617"/>
      <c r="H278" s="617"/>
      <c r="I278" s="617"/>
      <c r="J278" s="617"/>
      <c r="K278" s="1704">
        <f>D278</f>
        <v>0</v>
      </c>
      <c r="L278" s="657"/>
    </row>
    <row r="279" spans="1:12" ht="12.75" customHeight="1" thickBot="1" x14ac:dyDescent="0.25">
      <c r="A279" s="1717" t="s">
        <v>865</v>
      </c>
      <c r="B279" s="1700">
        <v>2000</v>
      </c>
      <c r="C279" s="617"/>
      <c r="D279" s="1696">
        <f>SUM(D238,D243,D257,D261,D270,D277,D278)</f>
        <v>130878</v>
      </c>
      <c r="E279" s="617"/>
      <c r="F279" s="617"/>
      <c r="G279" s="617"/>
      <c r="H279" s="617"/>
      <c r="I279" s="617"/>
      <c r="J279" s="617"/>
      <c r="K279" s="1696">
        <f>SUM(K238,K243,K257,K261,K270,K277,K278)</f>
        <v>130878</v>
      </c>
      <c r="L279" s="1696">
        <f>SUM(L238,L243,L257,L261,L270,L277,L278)</f>
        <v>151960</v>
      </c>
    </row>
    <row r="280" spans="1:12" ht="15.75" customHeight="1" thickTop="1" thickBot="1" x14ac:dyDescent="0.25">
      <c r="A280" s="1643" t="s">
        <v>930</v>
      </c>
      <c r="B280" s="1632">
        <v>3000</v>
      </c>
      <c r="C280" s="617"/>
      <c r="D280" s="576"/>
      <c r="E280" s="617"/>
      <c r="F280" s="617"/>
      <c r="G280" s="617"/>
      <c r="H280" s="617"/>
      <c r="I280" s="617"/>
      <c r="J280" s="617"/>
      <c r="K280" s="1698">
        <f>D280</f>
        <v>0</v>
      </c>
      <c r="L280" s="576"/>
    </row>
    <row r="281" spans="1:12" ht="15.75" customHeight="1" thickTop="1" x14ac:dyDescent="0.2">
      <c r="A281" s="1633" t="s">
        <v>144</v>
      </c>
      <c r="B281" s="1634" t="s">
        <v>915</v>
      </c>
      <c r="C281" s="617"/>
      <c r="D281" s="566"/>
      <c r="E281" s="617"/>
      <c r="F281" s="617"/>
      <c r="G281" s="617"/>
      <c r="H281" s="617"/>
      <c r="I281" s="617"/>
      <c r="J281" s="617"/>
      <c r="K281" s="617"/>
      <c r="L281" s="617"/>
    </row>
    <row r="282" spans="1:12" ht="15.75" customHeight="1" x14ac:dyDescent="0.2">
      <c r="A282" s="1850" t="s">
        <v>517</v>
      </c>
      <c r="B282" s="691" t="s">
        <v>1956</v>
      </c>
      <c r="C282" s="617"/>
      <c r="D282" s="467"/>
      <c r="E282" s="617"/>
      <c r="F282" s="617"/>
      <c r="G282" s="617"/>
      <c r="H282" s="617"/>
      <c r="I282" s="617"/>
      <c r="J282" s="617"/>
      <c r="K282" s="1690">
        <f>D282</f>
        <v>0</v>
      </c>
      <c r="L282" s="467"/>
    </row>
    <row r="283" spans="1:12" x14ac:dyDescent="0.2">
      <c r="A283" s="1523" t="s">
        <v>322</v>
      </c>
      <c r="B283" s="615">
        <v>4120</v>
      </c>
      <c r="C283" s="617"/>
      <c r="D283" s="466"/>
      <c r="E283" s="617"/>
      <c r="F283" s="617"/>
      <c r="G283" s="617"/>
      <c r="H283" s="617"/>
      <c r="I283" s="617"/>
      <c r="J283" s="617"/>
      <c r="K283" s="1690">
        <f>D283</f>
        <v>0</v>
      </c>
      <c r="L283" s="466"/>
    </row>
    <row r="284" spans="1:12" x14ac:dyDescent="0.2">
      <c r="A284" s="1523" t="s">
        <v>721</v>
      </c>
      <c r="B284" s="615">
        <v>4140</v>
      </c>
      <c r="C284" s="617"/>
      <c r="D284" s="467"/>
      <c r="E284" s="617"/>
      <c r="F284" s="617"/>
      <c r="G284" s="617"/>
      <c r="H284" s="617"/>
      <c r="I284" s="617"/>
      <c r="J284" s="617"/>
      <c r="K284" s="1690">
        <f>D284</f>
        <v>0</v>
      </c>
      <c r="L284" s="466"/>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1" t="s">
        <v>931</v>
      </c>
      <c r="B286" s="162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90">
        <f>H288</f>
        <v>0</v>
      </c>
      <c r="L288" s="466"/>
    </row>
    <row r="289" spans="1:14" x14ac:dyDescent="0.2">
      <c r="A289" s="1523" t="s">
        <v>90</v>
      </c>
      <c r="B289" s="615">
        <v>5120</v>
      </c>
      <c r="C289" s="617"/>
      <c r="D289" s="617"/>
      <c r="E289" s="617"/>
      <c r="F289" s="617"/>
      <c r="G289" s="617"/>
      <c r="H289" s="466"/>
      <c r="I289" s="617"/>
      <c r="J289" s="617"/>
      <c r="K289" s="1690">
        <f>H289</f>
        <v>0</v>
      </c>
      <c r="L289" s="466"/>
    </row>
    <row r="290" spans="1:14" ht="12.75" customHeight="1" x14ac:dyDescent="0.2">
      <c r="A290" s="1523" t="s">
        <v>1232</v>
      </c>
      <c r="B290" s="629" t="s">
        <v>638</v>
      </c>
      <c r="C290" s="617"/>
      <c r="D290" s="617"/>
      <c r="E290" s="617"/>
      <c r="F290" s="617"/>
      <c r="G290" s="617"/>
      <c r="H290" s="466"/>
      <c r="I290" s="617"/>
      <c r="J290" s="617"/>
      <c r="K290" s="1690">
        <f>H290</f>
        <v>0</v>
      </c>
      <c r="L290" s="466"/>
    </row>
    <row r="291" spans="1:14" x14ac:dyDescent="0.2">
      <c r="A291" s="1523" t="s">
        <v>91</v>
      </c>
      <c r="B291" s="615" t="s">
        <v>610</v>
      </c>
      <c r="C291" s="617"/>
      <c r="D291" s="617"/>
      <c r="E291" s="617"/>
      <c r="F291" s="617"/>
      <c r="G291" s="617"/>
      <c r="H291" s="466"/>
      <c r="I291" s="617"/>
      <c r="J291" s="617"/>
      <c r="K291" s="1690">
        <f>H291</f>
        <v>0</v>
      </c>
      <c r="L291" s="466"/>
    </row>
    <row r="292" spans="1:14" x14ac:dyDescent="0.2">
      <c r="A292" s="1523"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4" t="s">
        <v>932</v>
      </c>
      <c r="B294" s="1632" t="s">
        <v>916</v>
      </c>
      <c r="C294" s="617"/>
      <c r="D294" s="624"/>
      <c r="E294" s="617"/>
      <c r="F294" s="617"/>
      <c r="G294" s="617"/>
      <c r="H294" s="687"/>
      <c r="I294" s="617"/>
      <c r="J294" s="617"/>
      <c r="K294" s="687"/>
      <c r="L294" s="578"/>
    </row>
    <row r="295" spans="1:14" ht="12.75" customHeight="1" thickTop="1" thickBot="1" x14ac:dyDescent="0.25">
      <c r="A295" s="2228" t="s">
        <v>526</v>
      </c>
      <c r="B295" s="2229"/>
      <c r="C295" s="617"/>
      <c r="D295" s="1689">
        <f>SUM(D229,D279,D280,D285)</f>
        <v>168140</v>
      </c>
      <c r="E295" s="617"/>
      <c r="F295" s="617"/>
      <c r="G295" s="617"/>
      <c r="H295" s="1689">
        <f>H293</f>
        <v>0</v>
      </c>
      <c r="I295" s="617"/>
      <c r="J295" s="617"/>
      <c r="K295" s="1689">
        <f>SUM(K229,K279,K280,K285,K293,K294)</f>
        <v>168140</v>
      </c>
      <c r="L295" s="1689">
        <f>SUM(L229,L279,L280,L285,L293,L294)</f>
        <v>195425</v>
      </c>
    </row>
    <row r="296" spans="1:14" ht="13.5" thickTop="1" x14ac:dyDescent="0.2">
      <c r="A296" s="2237" t="s">
        <v>1053</v>
      </c>
      <c r="B296" s="2238"/>
      <c r="C296" s="617"/>
      <c r="D296" s="619"/>
      <c r="E296" s="617"/>
      <c r="F296" s="617"/>
      <c r="G296" s="617"/>
      <c r="H296" s="688"/>
      <c r="I296" s="617"/>
      <c r="J296" s="617"/>
      <c r="K296" s="1703">
        <f>'Revenues 9-14'!G275-'Expenditures 15-22'!K295</f>
        <v>72015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20" t="s">
        <v>145</v>
      </c>
      <c r="B298" s="2214"/>
      <c r="C298" s="1570"/>
      <c r="D298" s="1571"/>
      <c r="E298" s="1571"/>
      <c r="F298" s="1571"/>
      <c r="G298" s="1571"/>
      <c r="H298" s="1571"/>
      <c r="I298" s="1571"/>
      <c r="J298" s="1571"/>
      <c r="K298" s="1571"/>
      <c r="L298" s="1572"/>
    </row>
    <row r="299" spans="1:14" ht="15.75" customHeight="1" x14ac:dyDescent="0.2">
      <c r="A299" s="1631" t="s">
        <v>146</v>
      </c>
      <c r="B299" s="163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6" t="s">
        <v>629</v>
      </c>
      <c r="B301" s="690">
        <v>2530</v>
      </c>
      <c r="C301" s="466"/>
      <c r="D301" s="466"/>
      <c r="E301" s="466"/>
      <c r="F301" s="466"/>
      <c r="G301" s="466"/>
      <c r="H301" s="466"/>
      <c r="I301" s="467"/>
      <c r="J301" s="467"/>
      <c r="K301" s="1690">
        <f>SUM(C301:J301)</f>
        <v>0</v>
      </c>
      <c r="L301" s="467"/>
    </row>
    <row r="302" spans="1:14" ht="13.5" customHeight="1" x14ac:dyDescent="0.2">
      <c r="A302" s="1536"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1" t="s">
        <v>147</v>
      </c>
      <c r="B304" s="163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7" t="s">
        <v>1961</v>
      </c>
      <c r="B306" s="691" t="s">
        <v>1956</v>
      </c>
      <c r="C306" s="617"/>
      <c r="D306" s="617"/>
      <c r="E306" s="467"/>
      <c r="F306" s="617"/>
      <c r="G306" s="617"/>
      <c r="H306" s="467"/>
      <c r="I306" s="617"/>
      <c r="J306" s="617"/>
      <c r="K306" s="1690">
        <f>SUM(E306,H306)</f>
        <v>0</v>
      </c>
      <c r="L306" s="467"/>
    </row>
    <row r="307" spans="1:14" x14ac:dyDescent="0.2">
      <c r="A307" s="1523" t="s">
        <v>322</v>
      </c>
      <c r="B307" s="615">
        <v>4120</v>
      </c>
      <c r="C307" s="617"/>
      <c r="D307" s="617"/>
      <c r="E307" s="467"/>
      <c r="F307" s="617"/>
      <c r="G307" s="617"/>
      <c r="H307" s="467"/>
      <c r="I307" s="477"/>
      <c r="J307" s="617"/>
      <c r="K307" s="1690">
        <f>SUM(E307,H307)</f>
        <v>0</v>
      </c>
      <c r="L307" s="466"/>
    </row>
    <row r="308" spans="1:14" x14ac:dyDescent="0.2">
      <c r="A308" s="1523" t="s">
        <v>721</v>
      </c>
      <c r="B308" s="615">
        <v>4140</v>
      </c>
      <c r="C308" s="617"/>
      <c r="D308" s="617"/>
      <c r="E308" s="467"/>
      <c r="F308" s="617"/>
      <c r="G308" s="617"/>
      <c r="H308" s="467"/>
      <c r="I308" s="477"/>
      <c r="J308" s="617"/>
      <c r="K308" s="1690">
        <f>SUM(E308,H308)</f>
        <v>0</v>
      </c>
      <c r="L308" s="466"/>
    </row>
    <row r="309" spans="1:14" ht="12.75" customHeight="1" x14ac:dyDescent="0.2">
      <c r="A309" s="1527" t="s">
        <v>722</v>
      </c>
      <c r="B309" s="629">
        <v>4190</v>
      </c>
      <c r="C309" s="617"/>
      <c r="D309" s="617"/>
      <c r="E309" s="467"/>
      <c r="F309" s="617"/>
      <c r="G309" s="617"/>
      <c r="H309" s="467"/>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38" t="s">
        <v>951</v>
      </c>
      <c r="B311" s="1630" t="s">
        <v>916</v>
      </c>
      <c r="C311" s="624"/>
      <c r="D311" s="624"/>
      <c r="E311" s="624"/>
      <c r="F311" s="624"/>
      <c r="G311" s="624"/>
      <c r="H311" s="624"/>
      <c r="I311" s="624"/>
      <c r="J311" s="617"/>
      <c r="K311" s="624"/>
      <c r="L311" s="576"/>
    </row>
    <row r="312" spans="1:14" s="675" customFormat="1" ht="12.75" customHeight="1" thickTop="1" thickBot="1" x14ac:dyDescent="0.25">
      <c r="A312" s="2225" t="s">
        <v>295</v>
      </c>
      <c r="B312" s="2226"/>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6"/>
      <c r="N312" s="666"/>
    </row>
    <row r="313" spans="1:14" ht="13.5" thickTop="1" x14ac:dyDescent="0.2">
      <c r="A313" s="2221" t="s">
        <v>1053</v>
      </c>
      <c r="B313" s="2222"/>
      <c r="C313" s="627"/>
      <c r="D313" s="627"/>
      <c r="E313" s="627"/>
      <c r="F313" s="627"/>
      <c r="G313" s="627"/>
      <c r="H313" s="627"/>
      <c r="I313" s="627"/>
      <c r="J313" s="627"/>
      <c r="K313" s="1704">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34" t="s">
        <v>151</v>
      </c>
      <c r="B315" s="2235"/>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6" t="s">
        <v>954</v>
      </c>
      <c r="B317" s="2235"/>
      <c r="C317" s="1575"/>
      <c r="D317" s="1576"/>
      <c r="E317" s="1576"/>
      <c r="F317" s="1576"/>
      <c r="G317" s="1576"/>
      <c r="H317" s="1576"/>
      <c r="I317" s="1576"/>
      <c r="J317" s="1576"/>
      <c r="K317" s="1576"/>
      <c r="L317" s="157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8"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2" t="s">
        <v>1908</v>
      </c>
      <c r="B320" s="699" t="s">
        <v>300</v>
      </c>
      <c r="C320" s="467"/>
      <c r="D320" s="467"/>
      <c r="E320" s="467"/>
      <c r="F320" s="467">
        <v>33772</v>
      </c>
      <c r="G320" s="467"/>
      <c r="H320" s="467"/>
      <c r="I320" s="467"/>
      <c r="J320" s="467"/>
      <c r="K320" s="1690">
        <f t="shared" ref="K320:K327" si="24">SUM(C320:J320)</f>
        <v>33772</v>
      </c>
      <c r="L320" s="467">
        <v>34000</v>
      </c>
      <c r="M320" s="666"/>
      <c r="N320" s="666"/>
    </row>
    <row r="321" spans="1:14" s="675" customFormat="1" x14ac:dyDescent="0.2">
      <c r="A321" s="1538" t="s">
        <v>318</v>
      </c>
      <c r="B321" s="698" t="s">
        <v>301</v>
      </c>
      <c r="C321" s="467"/>
      <c r="D321" s="467"/>
      <c r="E321" s="467"/>
      <c r="F321" s="467"/>
      <c r="G321" s="467"/>
      <c r="H321" s="467"/>
      <c r="I321" s="467"/>
      <c r="J321" s="467"/>
      <c r="K321" s="1690">
        <f t="shared" si="24"/>
        <v>0</v>
      </c>
      <c r="L321" s="467"/>
      <c r="M321" s="666"/>
      <c r="N321" s="666"/>
    </row>
    <row r="322" spans="1:14" s="675" customFormat="1" x14ac:dyDescent="0.2">
      <c r="A322" s="1538" t="s">
        <v>256</v>
      </c>
      <c r="B322" s="698" t="s">
        <v>302</v>
      </c>
      <c r="C322" s="467"/>
      <c r="D322" s="467"/>
      <c r="E322" s="467"/>
      <c r="F322" s="467">
        <v>43573</v>
      </c>
      <c r="G322" s="467"/>
      <c r="H322" s="467"/>
      <c r="I322" s="467"/>
      <c r="J322" s="467"/>
      <c r="K322" s="1690">
        <f t="shared" si="24"/>
        <v>43573</v>
      </c>
      <c r="L322" s="467">
        <v>44000</v>
      </c>
      <c r="M322" s="666"/>
      <c r="N322" s="666"/>
    </row>
    <row r="323" spans="1:14" s="675" customFormat="1" x14ac:dyDescent="0.2">
      <c r="A323" s="1538" t="s">
        <v>726</v>
      </c>
      <c r="B323" s="698" t="s">
        <v>303</v>
      </c>
      <c r="C323" s="467"/>
      <c r="D323" s="467"/>
      <c r="E323" s="467"/>
      <c r="F323" s="467"/>
      <c r="G323" s="467"/>
      <c r="H323" s="467"/>
      <c r="I323" s="467"/>
      <c r="J323" s="467"/>
      <c r="K323" s="1690">
        <f t="shared" si="24"/>
        <v>0</v>
      </c>
      <c r="L323" s="467">
        <v>34000</v>
      </c>
      <c r="M323" s="666"/>
      <c r="N323" s="666"/>
    </row>
    <row r="324" spans="1:14" s="675" customFormat="1" x14ac:dyDescent="0.2">
      <c r="A324" s="1538"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38" t="s">
        <v>1087</v>
      </c>
      <c r="B325" s="699" t="s">
        <v>305</v>
      </c>
      <c r="C325" s="467"/>
      <c r="D325" s="467"/>
      <c r="E325" s="467"/>
      <c r="F325" s="467"/>
      <c r="G325" s="467"/>
      <c r="H325" s="467"/>
      <c r="I325" s="467"/>
      <c r="J325" s="467"/>
      <c r="K325" s="1690">
        <f t="shared" si="24"/>
        <v>0</v>
      </c>
      <c r="L325" s="467"/>
      <c r="M325" s="666"/>
      <c r="N325" s="666"/>
    </row>
    <row r="326" spans="1:14" s="675" customFormat="1" x14ac:dyDescent="0.2">
      <c r="A326" s="1538"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38" t="s">
        <v>1028</v>
      </c>
      <c r="B327" s="698" t="s">
        <v>307</v>
      </c>
      <c r="C327" s="467"/>
      <c r="D327" s="467"/>
      <c r="E327" s="467"/>
      <c r="F327" s="467">
        <v>3663</v>
      </c>
      <c r="G327" s="467"/>
      <c r="H327" s="467"/>
      <c r="I327" s="467"/>
      <c r="J327" s="467"/>
      <c r="K327" s="1690">
        <f t="shared" si="24"/>
        <v>3663</v>
      </c>
      <c r="L327" s="467">
        <v>22000</v>
      </c>
      <c r="M327" s="666"/>
      <c r="N327" s="666"/>
    </row>
    <row r="328" spans="1:14" s="675" customFormat="1" x14ac:dyDescent="0.2">
      <c r="A328" s="1539" t="s">
        <v>492</v>
      </c>
      <c r="B328" s="691" t="s">
        <v>1194</v>
      </c>
      <c r="C328" s="474"/>
      <c r="D328" s="474"/>
      <c r="E328" s="474"/>
      <c r="F328" s="474"/>
      <c r="G328" s="474"/>
      <c r="H328" s="474"/>
      <c r="I328" s="474"/>
      <c r="J328" s="474"/>
      <c r="K328" s="1718">
        <f>SUM(C328:J328)</f>
        <v>0</v>
      </c>
      <c r="L328" s="474"/>
      <c r="M328" s="666"/>
      <c r="N328" s="666"/>
    </row>
    <row r="329" spans="1:14" s="675" customFormat="1" x14ac:dyDescent="0.2">
      <c r="A329" s="1539" t="s">
        <v>1195</v>
      </c>
      <c r="B329" s="691" t="s">
        <v>1196</v>
      </c>
      <c r="C329" s="474"/>
      <c r="D329" s="474"/>
      <c r="E329" s="474"/>
      <c r="F329" s="474"/>
      <c r="G329" s="474"/>
      <c r="H329" s="474"/>
      <c r="I329" s="474"/>
      <c r="J329" s="474"/>
      <c r="K329" s="1718">
        <f>SUM(C329:J329)</f>
        <v>0</v>
      </c>
      <c r="L329" s="474"/>
      <c r="M329" s="666"/>
      <c r="N329" s="666"/>
    </row>
    <row r="330" spans="1:14" s="675" customFormat="1" ht="12.75" customHeight="1" thickBot="1" x14ac:dyDescent="0.25">
      <c r="A330" s="1719" t="s">
        <v>741</v>
      </c>
      <c r="B330" s="1688" t="s">
        <v>590</v>
      </c>
      <c r="C330" s="1689">
        <f>SUM(C319:C329)</f>
        <v>0</v>
      </c>
      <c r="D330" s="1689">
        <f t="shared" ref="D330:J330" si="25">SUM(D319:D329)</f>
        <v>0</v>
      </c>
      <c r="E330" s="1689">
        <f t="shared" si="25"/>
        <v>0</v>
      </c>
      <c r="F330" s="1689">
        <f t="shared" si="25"/>
        <v>81008</v>
      </c>
      <c r="G330" s="1689">
        <f t="shared" si="25"/>
        <v>0</v>
      </c>
      <c r="H330" s="1689">
        <f t="shared" si="25"/>
        <v>0</v>
      </c>
      <c r="I330" s="1689">
        <f t="shared" si="25"/>
        <v>0</v>
      </c>
      <c r="J330" s="1689">
        <f t="shared" si="25"/>
        <v>0</v>
      </c>
      <c r="K330" s="1689">
        <f>SUM(K319:K329)</f>
        <v>81008</v>
      </c>
      <c r="L330" s="1689">
        <f>SUM(L319:L329)</f>
        <v>134000</v>
      </c>
      <c r="M330" s="666"/>
      <c r="N330" s="666"/>
    </row>
    <row r="331" spans="1:14" s="675" customFormat="1" ht="12.75" customHeight="1" thickTop="1" x14ac:dyDescent="0.2">
      <c r="A331" s="1851" t="s">
        <v>1962</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1956</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1958</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1963</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5" t="s">
        <v>955</v>
      </c>
      <c r="B335" s="162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7" t="s">
        <v>89</v>
      </c>
      <c r="B337" s="691" t="s">
        <v>956</v>
      </c>
      <c r="C337" s="639"/>
      <c r="D337" s="639"/>
      <c r="E337" s="639"/>
      <c r="F337" s="639"/>
      <c r="G337" s="639"/>
      <c r="H337" s="478"/>
      <c r="I337" s="639"/>
      <c r="J337" s="639"/>
      <c r="K337" s="1690">
        <f>H337</f>
        <v>0</v>
      </c>
      <c r="L337" s="478"/>
    </row>
    <row r="338" spans="1:14" ht="12.75" customHeight="1" x14ac:dyDescent="0.2">
      <c r="A338" s="1537" t="s">
        <v>1232</v>
      </c>
      <c r="B338" s="691" t="s">
        <v>638</v>
      </c>
      <c r="C338" s="639"/>
      <c r="D338" s="639"/>
      <c r="E338" s="639"/>
      <c r="F338" s="639"/>
      <c r="G338" s="639"/>
      <c r="H338" s="478"/>
      <c r="I338" s="639"/>
      <c r="J338" s="639"/>
      <c r="K338" s="1690">
        <f>H338</f>
        <v>0</v>
      </c>
      <c r="L338" s="478"/>
    </row>
    <row r="339" spans="1:14" x14ac:dyDescent="0.2">
      <c r="A339" s="1523"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38" t="s">
        <v>959</v>
      </c>
      <c r="B341" s="1630"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0</v>
      </c>
      <c r="D342" s="1689">
        <f>SUM(D330)</f>
        <v>0</v>
      </c>
      <c r="E342" s="1689">
        <f>SUM(E330)</f>
        <v>0</v>
      </c>
      <c r="F342" s="1689">
        <f>SUM(F330)</f>
        <v>81008</v>
      </c>
      <c r="G342" s="1689">
        <f>SUM(G330)</f>
        <v>0</v>
      </c>
      <c r="H342" s="1689">
        <f>SUM(H330,H334,H340)</f>
        <v>0</v>
      </c>
      <c r="I342" s="1689">
        <f>SUM(I330)</f>
        <v>0</v>
      </c>
      <c r="J342" s="1689">
        <f>SUM(J330)</f>
        <v>0</v>
      </c>
      <c r="K342" s="1689">
        <f>SUM(K330,K334,K340)</f>
        <v>81008</v>
      </c>
      <c r="L342" s="1696">
        <f>SUM(L330,L340,L341)</f>
        <v>134000</v>
      </c>
    </row>
    <row r="343" spans="1:14" ht="12.75" customHeight="1" thickTop="1" x14ac:dyDescent="0.2">
      <c r="A343" s="2223" t="s">
        <v>1053</v>
      </c>
      <c r="B343" s="2224"/>
      <c r="C343" s="617"/>
      <c r="D343" s="617"/>
      <c r="E343" s="617"/>
      <c r="F343" s="617"/>
      <c r="G343" s="617"/>
      <c r="H343" s="617"/>
      <c r="I343" s="617"/>
      <c r="J343" s="617"/>
      <c r="K343" s="1703">
        <f>'Revenues 9-14'!J275-'Expenditures 15-22'!K342</f>
        <v>19753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13" t="s">
        <v>1023</v>
      </c>
      <c r="B345" s="2214"/>
      <c r="C345" s="1570"/>
      <c r="D345" s="1571"/>
      <c r="E345" s="1571"/>
      <c r="F345" s="1571"/>
      <c r="G345" s="1571"/>
      <c r="H345" s="1571"/>
      <c r="I345" s="1571"/>
      <c r="J345" s="1571"/>
      <c r="K345" s="1571"/>
      <c r="L345" s="1572"/>
      <c r="M345" s="668"/>
      <c r="N345" s="668"/>
    </row>
    <row r="346" spans="1:14" s="343" customFormat="1" ht="15.75" customHeight="1" x14ac:dyDescent="0.2">
      <c r="A346" s="1642" t="s">
        <v>899</v>
      </c>
      <c r="B346" s="163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3" t="s">
        <v>4</v>
      </c>
      <c r="B348" s="615">
        <v>2530</v>
      </c>
      <c r="C348" s="466"/>
      <c r="D348" s="466"/>
      <c r="E348" s="466"/>
      <c r="F348" s="466">
        <v>420</v>
      </c>
      <c r="G348" s="466"/>
      <c r="H348" s="466"/>
      <c r="I348" s="467"/>
      <c r="J348" s="467"/>
      <c r="K348" s="1690">
        <f>SUM(C348:J348)</f>
        <v>420</v>
      </c>
      <c r="L348" s="466">
        <v>10000</v>
      </c>
    </row>
    <row r="349" spans="1:14" x14ac:dyDescent="0.2">
      <c r="A349" s="1523" t="s">
        <v>206</v>
      </c>
      <c r="B349" s="615">
        <v>2540</v>
      </c>
      <c r="C349" s="466"/>
      <c r="D349" s="466"/>
      <c r="E349" s="466"/>
      <c r="F349" s="466"/>
      <c r="G349" s="466"/>
      <c r="H349" s="466"/>
      <c r="I349" s="467"/>
      <c r="J349" s="467"/>
      <c r="K349" s="1690">
        <f>SUM(C349:J349)</f>
        <v>0</v>
      </c>
      <c r="L349" s="466"/>
    </row>
    <row r="350" spans="1:14" ht="12.75" customHeight="1" thickBot="1" x14ac:dyDescent="0.25">
      <c r="A350" s="1687" t="s">
        <v>743</v>
      </c>
      <c r="B350" s="1688" t="s">
        <v>35</v>
      </c>
      <c r="C350" s="1689">
        <f>SUM(C348:C349)</f>
        <v>0</v>
      </c>
      <c r="D350" s="1689">
        <f t="shared" ref="D350:L350" si="26">SUM(D348:D349)</f>
        <v>0</v>
      </c>
      <c r="E350" s="1689">
        <f t="shared" si="26"/>
        <v>0</v>
      </c>
      <c r="F350" s="1689">
        <f t="shared" si="26"/>
        <v>420</v>
      </c>
      <c r="G350" s="1689">
        <f t="shared" si="26"/>
        <v>0</v>
      </c>
      <c r="H350" s="1689">
        <f t="shared" si="26"/>
        <v>0</v>
      </c>
      <c r="I350" s="1689">
        <f t="shared" si="26"/>
        <v>0</v>
      </c>
      <c r="J350" s="1689">
        <f t="shared" si="26"/>
        <v>0</v>
      </c>
      <c r="K350" s="1689">
        <f t="shared" si="26"/>
        <v>420</v>
      </c>
      <c r="L350" s="1689">
        <f t="shared" si="26"/>
        <v>10000</v>
      </c>
    </row>
    <row r="351" spans="1:14" ht="12.75" customHeight="1" thickTop="1" x14ac:dyDescent="0.2">
      <c r="A351" s="1529"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420</v>
      </c>
      <c r="G352" s="1689">
        <f t="shared" si="27"/>
        <v>0</v>
      </c>
      <c r="H352" s="1689">
        <f t="shared" si="27"/>
        <v>0</v>
      </c>
      <c r="I352" s="1689">
        <f t="shared" si="27"/>
        <v>0</v>
      </c>
      <c r="J352" s="1689">
        <f t="shared" si="27"/>
        <v>0</v>
      </c>
      <c r="K352" s="1689">
        <f t="shared" si="27"/>
        <v>420</v>
      </c>
      <c r="L352" s="1689">
        <f t="shared" si="27"/>
        <v>10000</v>
      </c>
    </row>
    <row r="353" spans="1:14" s="343" customFormat="1" ht="15.75" customHeight="1" thickTop="1" x14ac:dyDescent="0.2">
      <c r="A353" s="1631" t="s">
        <v>646</v>
      </c>
      <c r="B353" s="1628" t="s">
        <v>915</v>
      </c>
      <c r="C353" s="617"/>
      <c r="D353" s="617"/>
      <c r="E353" s="617"/>
      <c r="F353" s="617"/>
      <c r="G353" s="617"/>
      <c r="H353" s="617"/>
      <c r="I353" s="617"/>
      <c r="J353" s="617"/>
      <c r="K353" s="617"/>
      <c r="L353" s="617"/>
      <c r="M353" s="610"/>
      <c r="N353" s="610"/>
    </row>
    <row r="354" spans="1:14" x14ac:dyDescent="0.2">
      <c r="A354" s="1854" t="s">
        <v>1964</v>
      </c>
      <c r="B354" s="684" t="s">
        <v>1956</v>
      </c>
      <c r="C354" s="617"/>
      <c r="D354" s="617"/>
      <c r="E354" s="617"/>
      <c r="F354" s="617"/>
      <c r="G354" s="617"/>
      <c r="H354" s="474"/>
      <c r="I354" s="702"/>
      <c r="J354" s="617"/>
      <c r="K354" s="1718">
        <f>H354</f>
        <v>0</v>
      </c>
      <c r="L354" s="471"/>
    </row>
    <row r="355" spans="1:14" ht="12.75" customHeight="1" x14ac:dyDescent="0.2">
      <c r="A355" s="1532" t="s">
        <v>1965</v>
      </c>
      <c r="B355" s="691" t="s">
        <v>1958</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1" t="s">
        <v>1005</v>
      </c>
      <c r="B358" s="162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90">
        <f>SUM(C360:J360)</f>
        <v>0</v>
      </c>
      <c r="L360" s="466"/>
    </row>
    <row r="361" spans="1:14" ht="12.75" customHeight="1" x14ac:dyDescent="0.2">
      <c r="A361" s="1524"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row>
    <row r="365" spans="1:14" s="675" customFormat="1" ht="12.75" customHeight="1" thickBot="1" x14ac:dyDescent="0.25">
      <c r="A365" s="1540"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5" t="s">
        <v>1006</v>
      </c>
      <c r="B366" s="1632"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420</v>
      </c>
      <c r="G367" s="1689">
        <f t="shared" si="28"/>
        <v>0</v>
      </c>
      <c r="H367" s="1689">
        <f t="shared" si="28"/>
        <v>0</v>
      </c>
      <c r="I367" s="1689">
        <f t="shared" si="28"/>
        <v>0</v>
      </c>
      <c r="J367" s="1689">
        <f t="shared" si="28"/>
        <v>0</v>
      </c>
      <c r="K367" s="1689">
        <f t="shared" si="28"/>
        <v>420</v>
      </c>
      <c r="L367" s="1689">
        <f t="shared" si="28"/>
        <v>10000</v>
      </c>
    </row>
    <row r="368" spans="1:14" ht="13.5" thickTop="1" x14ac:dyDescent="0.2">
      <c r="A368" s="2237" t="s">
        <v>1053</v>
      </c>
      <c r="B368" s="2238"/>
      <c r="C368" s="655"/>
      <c r="D368" s="655"/>
      <c r="E368" s="627"/>
      <c r="F368" s="627"/>
      <c r="G368" s="627"/>
      <c r="H368" s="627"/>
      <c r="I368" s="627"/>
      <c r="J368" s="624"/>
      <c r="K368" s="1690">
        <f>'Revenues 9-14'!K275-'Expenditures 15-22'!K367</f>
        <v>48651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orizontalCentered="1" headings="1" gridLinesSet="0"/>
  <pageMargins left="0.5" right="0.5" top="1.4" bottom="0.75" header="1" footer="0.5"/>
  <pageSetup scale="68"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documentManagement/types"/>
    <ds:schemaRef ds:uri="http://purl.org/dc/dcmitype/"/>
    <ds:schemaRef ds:uri="http://www.w3.org/XML/1998/namespace"/>
    <ds:schemaRef ds:uri="http://purl.org/dc/terms/"/>
    <ds:schemaRef ds:uri="http://schemas.microsoft.com/sharepoint/v3"/>
    <ds:schemaRef ds:uri="d21dc803-237d-4c68-8692-8d731fd29118"/>
    <ds:schemaRef ds:uri="http://schemas.microsoft.com/office/infopath/2007/PartnerControls"/>
    <ds:schemaRef ds:uri="4d435f69-8686-490b-bd6d-b153bf22ab50"/>
    <ds:schemaRef ds:uri="6ce3111e-7420-4802-b50a-75d4e9a0b980"/>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17</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Table of Contents - Excel</vt:lpstr>
      <vt:lpstr>Opinion - PDF</vt:lpstr>
      <vt:lpstr>GAS Report - PDF</vt:lpstr>
      <vt:lpstr>Notes - PDF</vt:lpstr>
      <vt:lpstr>Activity Funds - Excel</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2018-08-27T22:16:28Z</cp:lastPrinted>
  <dcterms:created xsi:type="dcterms:W3CDTF">2003-10-29T19:06:34Z</dcterms:created>
  <dcterms:modified xsi:type="dcterms:W3CDTF">2018-09-28T16:23:17Z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