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79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9" i="34" l="1"/>
  <c r="F74" i="34"/>
  <c r="F61" i="34"/>
  <c r="F60" i="34"/>
  <c r="F59" i="34"/>
  <c r="F13" i="34" l="1"/>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E367" i="29"/>
  <c r="D367" i="29"/>
  <c r="C367" i="29"/>
  <c r="J367" i="29"/>
  <c r="I367" i="29"/>
  <c r="L357" i="29"/>
  <c r="L285" i="29" l="1"/>
  <c r="D285" i="29"/>
  <c r="L160" i="29"/>
  <c r="K160" i="29"/>
  <c r="L137" i="29"/>
  <c r="H137" i="29"/>
  <c r="E137" i="29"/>
  <c r="E139" i="29" s="1"/>
  <c r="E15" i="4" l="1"/>
  <c r="F36" i="181"/>
  <c r="G36" i="181" s="1"/>
  <c r="E36" i="181"/>
  <c r="F35" i="181"/>
  <c r="G35" i="181" s="1"/>
  <c r="E35" i="181"/>
  <c r="F34" i="181"/>
  <c r="G34" i="181" s="1"/>
  <c r="E34" i="181"/>
  <c r="F33" i="181"/>
  <c r="G33" i="181" s="1"/>
  <c r="E33" i="181"/>
  <c r="F32" i="181"/>
  <c r="G32" i="181" s="1"/>
  <c r="E32" i="181"/>
  <c r="F31" i="181"/>
  <c r="G31" i="181" s="1"/>
  <c r="E31" i="181"/>
  <c r="F30" i="181"/>
  <c r="G30" i="181" s="1"/>
  <c r="E30" i="181"/>
  <c r="E29" i="181"/>
  <c r="F29" i="181" s="1"/>
  <c r="G29" i="181" s="1"/>
  <c r="F28" i="181"/>
  <c r="G28" i="181" s="1"/>
  <c r="E28" i="181"/>
  <c r="F27" i="181"/>
  <c r="G27" i="181" s="1"/>
  <c r="E27" i="181"/>
  <c r="F26" i="181"/>
  <c r="G26" i="181" s="1"/>
  <c r="E26" i="181"/>
  <c r="F25" i="181"/>
  <c r="G25" i="181" s="1"/>
  <c r="E25" i="181"/>
  <c r="E24" i="181"/>
  <c r="F24" i="181" s="1"/>
  <c r="G24" i="181" s="1"/>
  <c r="F23" i="181"/>
  <c r="G23" i="181" s="1"/>
  <c r="E23" i="181"/>
  <c r="F22" i="181"/>
  <c r="G22" i="181" s="1"/>
  <c r="E22" i="181"/>
  <c r="F21" i="181"/>
  <c r="G21" i="181" s="1"/>
  <c r="E21" i="181"/>
  <c r="E20" i="181"/>
  <c r="F20" i="181" s="1"/>
  <c r="G20" i="181" s="1"/>
  <c r="E19" i="181"/>
  <c r="F19" i="181" s="1"/>
  <c r="G19" i="181" s="1"/>
  <c r="F37" i="181"/>
  <c r="G37" i="181" s="1"/>
  <c r="E37" i="181"/>
  <c r="F18" i="181"/>
  <c r="G18" i="181" s="1"/>
  <c r="E18" i="181"/>
  <c r="D38" i="181" l="1"/>
  <c r="D80" i="36" l="1"/>
  <c r="B7797" i="106"/>
  <c r="E38" i="181"/>
  <c r="E17" i="181"/>
  <c r="E16" i="181"/>
  <c r="F16" i="181" s="1"/>
  <c r="G16" i="181" s="1"/>
  <c r="F17" i="181" l="1"/>
  <c r="G17" i="181" s="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c r="B5116" i="106"/>
  <c r="D5116" i="106" s="1"/>
  <c r="B5117" i="106"/>
  <c r="D5117" i="106"/>
  <c r="B5118" i="106"/>
  <c r="D5118" i="106"/>
  <c r="B5119" i="106"/>
  <c r="D5119" i="106" s="1"/>
  <c r="B5122" i="106"/>
  <c r="D5122" i="106" s="1"/>
  <c r="B5123" i="106"/>
  <c r="D5123" i="106" s="1"/>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7"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H22" i="37"/>
  <c r="J22" i="37"/>
  <c r="L22" i="37"/>
  <c r="D24" i="37"/>
  <c r="B4270" i="106" s="1"/>
  <c r="D4270" i="106" s="1"/>
  <c r="D4" i="7"/>
  <c r="B1760" i="106" s="1"/>
  <c r="D1760" i="106" s="1"/>
  <c r="D5" i="7"/>
  <c r="B1761" i="106" s="1"/>
  <c r="D1761"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1" i="7"/>
  <c r="B1768" i="106" s="1"/>
  <c r="D1768" i="106" s="1"/>
  <c r="D15" i="7"/>
  <c r="B1772" i="106" s="1"/>
  <c r="D1772" i="106" s="1"/>
  <c r="L13" i="11" l="1"/>
  <c r="B2060" i="106" s="1"/>
  <c r="D2060" i="106" s="1"/>
  <c r="L5" i="11"/>
  <c r="B2056" i="106" s="1"/>
  <c r="D2056" i="106" s="1"/>
  <c r="K24" i="12"/>
  <c r="B3649" i="106"/>
  <c r="D3649" i="106" s="1"/>
  <c r="G367" i="29"/>
  <c r="K352" i="29"/>
  <c r="K13" i="4" s="1"/>
  <c r="B3572" i="106" s="1"/>
  <c r="D3572" i="106" s="1"/>
  <c r="B1410" i="106"/>
  <c r="D1410" i="106" s="1"/>
  <c r="K184" i="29"/>
  <c r="F13" i="4" s="1"/>
  <c r="B2596" i="106" s="1"/>
  <c r="D2596" i="106" s="1"/>
  <c r="E30" i="108"/>
  <c r="G30" i="108"/>
  <c r="D12" i="7"/>
  <c r="B1769" i="106" s="1"/>
  <c r="D1769" i="106" s="1"/>
  <c r="G4" i="4"/>
  <c r="B2603" i="106" s="1"/>
  <c r="D2603" i="106" s="1"/>
  <c r="F111" i="34"/>
  <c r="D4" i="4"/>
  <c r="B2564" i="106" s="1"/>
  <c r="D2564" i="106" s="1"/>
  <c r="C172" i="5"/>
  <c r="B5214" i="106" s="1"/>
  <c r="D5214" i="106" s="1"/>
  <c r="B5096" i="106"/>
  <c r="D5096" i="106" s="1"/>
  <c r="C109" i="5"/>
  <c r="B5121" i="106" s="1"/>
  <c r="D5121" i="106" s="1"/>
  <c r="B4268" i="106"/>
  <c r="D4268" i="106"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D19" i="7"/>
  <c r="B1775" i="106" s="1"/>
  <c r="D1775" i="106" s="1"/>
  <c r="B7270" i="106"/>
  <c r="L16" i="11" l="1"/>
  <c r="B2061" i="106" s="1"/>
  <c r="D2061" i="106" s="1"/>
  <c r="B7733" i="106"/>
  <c r="D7733" i="106" s="1"/>
  <c r="K26" i="12"/>
  <c r="B7743" i="106" s="1"/>
  <c r="D7743" i="106" s="1"/>
  <c r="C114" i="29"/>
  <c r="B757" i="106" s="1"/>
  <c r="D757" i="106" s="1"/>
  <c r="F275" i="5"/>
  <c r="C4" i="4"/>
  <c r="B2551" i="106" s="1"/>
  <c r="D2551"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E41" i="108" l="1"/>
  <c r="E44" i="108" s="1"/>
  <c r="E45" i="108" s="1"/>
  <c r="G41" i="108"/>
  <c r="G44" i="108" s="1"/>
  <c r="G45" i="108" s="1"/>
  <c r="F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<sst xmlns="http://schemas.openxmlformats.org/spreadsheetml/2006/main" count="5037" uniqueCount="2108">
  <si>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</si>
  <si>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</si>
  <si>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</si>
  <si>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</si>
  <si>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</si>
  <si>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</si>
  <si>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</si>
  <si>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</si>
  <si>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</si>
  <si>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</si>
  <si>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</si>
  <si>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</si>
  <si>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</si>
  <si>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</si>
  <si>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</si>
  <si>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</si>
  <si>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</si>
  <si>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</si>
  <si>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</si>
  <si>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</si>
  <si>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</si>
  <si>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</si>
  <si>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</si>
  <si>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</si>
  <si>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</si>
  <si>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</si>
  <si>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</si>
  <si>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</si>
  <si>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</si>
  <si>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</si>
  <si>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</si>
  <si>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</si>
  <si>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</si>
  <si>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</si>
  <si>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</si>
  <si>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</si>
  <si>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</si>
  <si>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</si>
  <si>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</si>
  <si>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</si>
  <si>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</si>
  <si>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</si>
  <si>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</si>
  <si>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</si>
  <si>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</si>
  <si>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</si>
  <si>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</si>
  <si>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</si>
  <si>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</si>
  <si>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</si>
  <si>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</si>
  <si>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</si>
  <si>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</si>
  <si>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</si>
  <si>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</si>
  <si>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</si>
  <si>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</si>
  <si>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</si>
  <si>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</si>
  <si>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</si>
  <si>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</si>
  <si>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</si>
  <si>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</si>
  <si>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</si>
  <si>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</si>
  <si>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</si>
  <si>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</si>
  <si>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</si>
  <si>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</si>
  <si>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</si>
  <si>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</si>
  <si>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</si>
  <si>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</si>
  <si>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</si>
  <si>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</si>
  <si>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</si>
  <si>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</si>
  <si>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</si>
  <si>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</si>
  <si>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</si>
  <si>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</si>
  <si>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</si>
  <si>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</si>
  <si>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</si>
  <si>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</si>
  <si>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</si>
  <si>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</si>
  <si>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</si>
  <si>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</si>
  <si>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</si>
  <si>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</si>
  <si>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</si>
  <si>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</si>
  <si>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</si>
  <si>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</si>
  <si>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</si>
  <si>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</si>
  <si>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</si>
  <si>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</si>
  <si>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</si>
  <si>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</si>
  <si>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</si>
  <si>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</si>
  <si>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</si>
  <si>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</si>
  <si>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</si>
  <si>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</si>
  <si>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</si>
  <si>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</si>
  <si>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</si>
  <si>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</si>
  <si>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</si>
  <si>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</si>
  <si>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</si>
  <si>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</si>
  <si>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</si>
  <si>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</si>
  <si>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</si>
  <si>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</si>
  <si>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</si>
  <si>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</si>
  <si>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</si>
  <si>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</si>
  <si>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</si>
  <si>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</si>
  <si>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</si>
  <si>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</si>
  <si>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</si>
  <si>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</si>
  <si>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</si>
  <si>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</si>
  <si>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</si>
  <si>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</si>
  <si>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</si>
  <si>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</si>
  <si>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</si>
  <si>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</si>
  <si>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</si>
  <si>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</si>
  <si>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</si>
  <si>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</si>
  <si>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</si>
  <si>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</si>
  <si>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</si>
  <si>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</si>
  <si>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</si>
  <si>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</si>
  <si>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</si>
  <si>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</si>
  <si>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</si>
  <si>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</si>
  <si>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</si>
  <si>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</si>
  <si>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</si>
  <si>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</si>
  <si>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</si>
  <si>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</si>
  <si>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</si>
  <si>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</si>
  <si>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</si>
  <si>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</si>
  <si>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</si>
  <si>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</si>
  <si>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</si>
  <si>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</si>
  <si>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</si>
  <si>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</si>
  <si>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</si>
  <si>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</si>
  <si>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</si>
  <si>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</si>
  <si>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</si>
  <si>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</si>
  <si>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</si>
  <si>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</si>
  <si>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</si>
  <si>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</si>
  <si>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</si>
  <si>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</si>
  <si>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</si>
  <si>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</si>
  <si>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</si>
  <si>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</si>
  <si>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</si>
  <si>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</si>
  <si>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</si>
  <si>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</si>
  <si>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</si>
  <si>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</si>
  <si>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</si>
  <si>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</si>
  <si>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</si>
  <si>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</si>
  <si>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</si>
  <si>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</si>
  <si>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</si>
  <si>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</si>
  <si>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</si>
  <si>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</si>
  <si>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</si>
  <si>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</si>
  <si>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</si>
  <si>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</si>
  <si>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</si>
  <si>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</si>
  <si>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</si>
  <si>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</si>
  <si>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</si>
  <si>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</si>
  <si>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</si>
  <si>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</si>
  <si>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</si>
  <si>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</si>
  <si>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</si>
  <si>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</si>
  <si>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</si>
  <si>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</si>
  <si>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</si>
  <si>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</si>
  <si>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</si>
  <si>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</si>
  <si>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</si>
  <si>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</si>
  <si>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</si>
  <si>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</si>
  <si>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</si>
  <si>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</si>
  <si>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</si>
  <si>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</si>
  <si>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</si>
  <si>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</si>
  <si>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</si>
  <si>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</si>
  <si>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</si>
  <si>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</si>
  <si>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</si>
  <si>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</si>
  <si>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</si>
  <si>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</si>
  <si>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</si>
  <si>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</si>
  <si>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</si>
  <si>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</si>
  <si>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</si>
  <si>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</si>
  <si>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</si>
  <si>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</si>
  <si>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</si>
  <si>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</si>
  <si>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</si>
  <si>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</si>
  <si>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</si>
  <si>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</si>
  <si>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</si>
  <si>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</si>
  <si>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</si>
  <si>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</si>
  <si>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</si>
  <si>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</si>
  <si>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</si>
  <si>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</si>
  <si>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</si>
  <si>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</si>
  <si>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</si>
  <si>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</si>
  <si>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</si>
  <si>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</si>
  <si>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</si>
  <si>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</si>
  <si>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</si>
  <si>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</si>
  <si>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</si>
  <si>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</si>
  <si>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</si>
  <si>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</si>
  <si>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</si>
  <si>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</si>
  <si>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</si>
  <si>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</si>
  <si>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</si>
  <si>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</si>
  <si>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</si>
  <si>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</si>
  <si>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</si>
  <si>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</si>
  <si>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</si>
  <si>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</si>
  <si>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</si>
  <si>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</si>
  <si>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</si>
  <si>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</si>
  <si>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</si>
  <si>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</si>
  <si>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</si>
  <si>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</si>
  <si>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</si>
  <si>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</si>
  <si>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</si>
  <si>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</si>
  <si>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</si>
  <si>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</si>
  <si>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</si>
  <si>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</si>
  <si>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</si>
  <si>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</si>
  <si>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</si>
  <si>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</si>
  <si>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</si>
  <si>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</si>
  <si>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</si>
  <si>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</si>
  <si>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</si>
  <si>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</si>
  <si>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</si>
  <si>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</si>
  <si>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</si>
  <si>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</si>
  <si>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</si>
  <si>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</si>
  <si>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</si>
  <si>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</si>
  <si>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</si>
  <si>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</si>
  <si>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</si>
  <si>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</si>
  <si>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</si>
  <si>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</si>
  <si>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</si>
  <si>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</si>
  <si>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</si>
  <si>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</si>
  <si>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</si>
  <si>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</si>
  <si>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</si>
  <si>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</si>
  <si>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</si>
  <si>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</si>
  <si>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</si>
  <si>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</si>
  <si>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</si>
  <si>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</si>
  <si>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</si>
  <si>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</si>
  <si>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</si>
  <si>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</si>
  <si>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</si>
  <si>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</si>
  <si>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</si>
  <si>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</si>
  <si>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</si>
  <si>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</si>
  <si>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</si>
  <si>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</si>
  <si>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</si>
  <si>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</si>
  <si>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</si>
  <si>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</si>
  <si>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</si>
  <si>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</si>
  <si>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</si>
  <si>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</si>
  <si>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</si>
  <si>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</si>
  <si>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</si>
  <si>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</si>
  <si>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</si>
  <si>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</si>
  <si>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</si>
  <si>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</si>
  <si>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</si>
  <si>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</si>
  <si>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</si>
  <si>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</si>
  <si>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</si>
  <si>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</si>
  <si>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</si>
  <si>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</si>
  <si>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</si>
  <si>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</si>
  <si>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</si>
  <si>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</si>
  <si>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</si>
  <si>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</si>
  <si>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</si>
  <si>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</si>
  <si>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</si>
  <si>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</si>
  <si>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</si>
  <si>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</si>
  <si>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</si>
  <si>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</si>
  <si>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</si>
  <si>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</si>
  <si>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</si>
  <si>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</si>
  <si>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</si>
  <si>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</si>
  <si>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</si>
  <si>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</si>
  <si>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</si>
  <si>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</si>
  <si>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</si>
  <si>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</si>
  <si>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</si>
  <si>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</si>
  <si>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</si>
  <si>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</si>
  <si>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</si>
  <si>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</si>
  <si>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</si>
  <si>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</si>
  <si>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</si>
  <si>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</si>
  <si>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</si>
  <si>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</si>
  <si>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</si>
  <si>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</si>
  <si>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</si>
  <si>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</si>
  <si>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</si>
  <si>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</si>
  <si>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</si>
  <si>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</si>
  <si>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</si>
  <si>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</si>
  <si>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</si>
  <si>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</si>
  <si>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</si>
  <si>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</si>
  <si>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</si>
  <si>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</si>
  <si>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</si>
  <si>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</si>
  <si>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</si>
  <si>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</si>
  <si>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</si>
  <si>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</si>
  <si>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</si>
  <si>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</si>
  <si>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</si>
  <si>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</si>
  <si>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</si>
  <si>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</si>
  <si>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</si>
  <si>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</si>
  <si>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</si>
  <si>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</si>
  <si>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</si>
  <si>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</si>
  <si>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</si>
  <si>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</si>
  <si>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</si>
  <si>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</si>
  <si>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</si>
  <si>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</si>
  <si>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</si>
  <si>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</si>
  <si>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</si>
  <si>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</si>
  <si>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</si>
  <si>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</si>
  <si>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</si>
  <si>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</si>
  <si>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</si>
  <si>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</si>
  <si>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</si>
  <si>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</si>
  <si>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</si>
  <si>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</si>
  <si>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</si>
  <si>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</si>
  <si>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</si>
  <si>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</si>
  <si>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</si>
  <si>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</si>
  <si>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</si>
  <si>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</si>
  <si>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</si>
  <si>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</si>
  <si>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</si>
  <si>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</si>
  <si>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</si>
  <si>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</si>
  <si>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</si>
  <si>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</si>
  <si>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</si>
  <si>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</si>
  <si>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</si>
  <si>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</si>
  <si>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</si>
  <si>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</si>
  <si>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</si>
  <si>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</si>
  <si>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</si>
  <si>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</si>
  <si>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</si>
  <si>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</si>
  <si>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</si>
  <si>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</si>
  <si>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</si>
  <si>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</si>
  <si>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</si>
  <si>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</si>
  <si>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</si>
  <si>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</si>
  <si>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</si>
  <si>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</si>
  <si>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</si>
  <si>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</si>
  <si>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</si>
  <si>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</si>
  <si>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</si>
  <si>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</si>
  <si>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</si>
  <si>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</si>
  <si>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</si>
  <si>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</si>
  <si>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</si>
  <si>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</si>
  <si>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</si>
  <si>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</si>
  <si>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</si>
  <si>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</si>
  <si>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</si>
  <si>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</si>
  <si>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</si>
  <si>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</si>
  <si>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</si>
  <si>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</si>
  <si>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</si>
  <si>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</si>
  <si>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</si>
  <si>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</si>
  <si>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</si>
  <si>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</si>
  <si>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</si>
  <si>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</si>
  <si>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</si>
  <si>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</si>
  <si>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</si>
  <si>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</si>
  <si>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</si>
  <si>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</si>
  <si>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</si>
  <si>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</si>
  <si>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</si>
  <si>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</si>
  <si>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</si>
  <si>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</si>
  <si>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</si>
  <si>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</si>
  <si>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</si>
  <si>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</si>
  <si>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</si>
  <si>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</si>
  <si>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</si>
  <si>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</si>
  <si>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</si>
  <si>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</si>
  <si>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</si>
  <si>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</si>
  <si>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</si>
  <si>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</si>
  <si>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</si>
  <si>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</si>
  <si>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</si>
  <si>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</si>
  <si>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</si>
  <si>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</si>
  <si>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</si>
  <si>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</si>
  <si>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</si>
  <si>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</si>
  <si>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</si>
  <si>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</si>
  <si>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</si>
  <si>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</si>
  <si>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</si>
  <si>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</si>
  <si>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</si>
  <si>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</si>
  <si>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</si>
  <si>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</si>
  <si>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</si>
  <si>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</si>
  <si>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</si>
  <si>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</si>
  <si>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</si>
  <si>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</si>
  <si>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</si>
  <si>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</si>
  <si>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</si>
  <si>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</si>
  <si>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</si>
  <si>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</si>
  <si>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</si>
  <si>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</si>
  <si>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</si>
  <si>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</si>
  <si>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</si>
  <si>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</si>
  <si>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</si>
  <si>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</si>
  <si>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</si>
  <si>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</si>
  <si>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</si>
  <si>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</si>
  <si>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</si>
  <si>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</si>
  <si>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</si>
  <si>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</si>
  <si>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</si>
  <si>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</si>
  <si>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</si>
  <si>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</si>
  <si>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</si>
  <si>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</si>
  <si>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</si>
  <si>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</si>
  <si>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</si>
  <si>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</si>
  <si>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</si>
  <si>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</si>
  <si>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</si>
  <si>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</si>
  <si>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</si>
  <si>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</si>
  <si>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</si>
  <si>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</si>
  <si>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</si>
  <si>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</si>
  <si>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</si>
  <si>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</si>
  <si>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</si>
  <si>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</si>
  <si>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</si>
  <si>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</si>
  <si>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</si>
  <si>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</si>
  <si>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</si>
  <si>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</si>
  <si>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</si>
  <si>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</si>
  <si>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</si>
  <si>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</si>
  <si>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</si>
  <si>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</si>
  <si>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</si>
  <si>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</si>
  <si>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</si>
  <si>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</si>
  <si>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</si>
  <si>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</si>
  <si>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</si>
  <si>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</si>
  <si>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</si>
  <si>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</si>
  <si>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</si>
  <si>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</si>
  <si>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</si>
  <si>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</si>
  <si>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</si>
  <si>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</si>
  <si>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</si>
  <si>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</si>
  <si>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</si>
  <si>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</si>
  <si>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</si>
  <si>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</si>
  <si>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</si>
  <si>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</si>
  <si>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</si>
  <si>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</si>
  <si>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</si>
  <si>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</si>
  <si>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</si>
  <si>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</si>
  <si>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</si>
  <si>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</si>
  <si>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</si>
  <si>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</si>
  <si>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</si>
  <si>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</si>
  <si>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</si>
  <si>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</si>
  <si>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</si>
  <si>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</si>
  <si>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</si>
  <si>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</si>
  <si>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</si>
  <si>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</si>
  <si>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</si>
  <si>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</si>
  <si>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</si>
  <si>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</si>
  <si>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</si>
  <si>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</si>
  <si>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</si>
  <si>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</si>
  <si>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</si>
  <si>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</si>
  <si>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</si>
  <si>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</si>
  <si>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</si>
  <si>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</si>
  <si>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</si>
  <si>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</si>
  <si>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</si>
  <si>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</si>
  <si>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</si>
  <si>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</si>
  <si>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</si>
  <si>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</si>
  <si>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</si>
  <si>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</si>
  <si>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</si>
  <si>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</si>
  <si>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</si>
  <si>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</si>
  <si>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</si>
  <si>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</si>
  <si>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</si>
  <si>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</si>
  <si>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</si>
  <si>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</si>
  <si>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</si>
  <si>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</si>
  <si>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</si>
  <si>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</si>
  <si>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</si>
  <si>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</si>
  <si>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</si>
  <si>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</si>
  <si>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</si>
  <si>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</si>
  <si>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</si>
  <si>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</si>
  <si>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</si>
  <si>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</si>
  <si>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</si>
  <si>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</si>
  <si>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</si>
  <si>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</si>
  <si>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</si>
  <si>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</si>
  <si>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</si>
  <si>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</si>
  <si>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</si>
  <si>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</si>
  <si>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</si>
  <si>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</si>
  <si>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</si>
  <si>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</si>
  <si>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</si>
  <si>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</si>
  <si>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</si>
  <si>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</si>
  <si>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</si>
  <si>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</si>
  <si>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</si>
  <si>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</si>
  <si>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</si>
  <si>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</si>
  <si>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</si>
  <si>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</si>
  <si>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</si>
  <si>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</si>
  <si>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</si>
  <si>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</si>
  <si>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</si>
  <si>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</si>
  <si>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</si>
  <si>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</si>
  <si>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</si>
  <si>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</si>
  <si>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</si>
  <si>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</si>
  <si>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</si>
  <si>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</si>
  <si>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</si>
  <si>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</si>
  <si>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</si>
  <si>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</si>
  <si>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</si>
  <si>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</si>
  <si>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</si>
  <si>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</si>
  <si>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</si>
  <si>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</si>
  <si>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</si>
  <si>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</si>
  <si>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</si>
  <si>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</si>
  <si>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</si>
  <si>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</si>
  <si>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</si>
  <si>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</si>
  <si>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</si>
  <si>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</si>
  <si>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</si>
  <si>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</si>
  <si>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</si>
  <si>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</si>
  <si>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</si>
  <si>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</si>
  <si>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</si>
  <si>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</si>
  <si>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</si>
  <si>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</si>
  <si>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</si>
  <si>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</si>
  <si>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</si>
  <si>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</si>
  <si>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</si>
  <si>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</si>
  <si>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</si>
  <si>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</si>
  <si>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</si>
  <si>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</si>
  <si>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</si>
  <si>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</si>
  <si>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</si>
  <si>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</si>
  <si>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</si>
  <si>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</si>
  <si>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</si>
  <si>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</si>
  <si>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</si>
  <si>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</si>
  <si>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</si>
  <si>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</si>
  <si>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</si>
  <si>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</si>
  <si>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</si>
  <si>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</si>
  <si>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</si>
  <si>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</si>
  <si>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</si>
  <si>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</si>
  <si>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</si>
  <si>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</si>
  <si>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</si>
  <si>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</si>
  <si>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</si>
  <si>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</si>
  <si>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</si>
  <si>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</si>
  <si>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</si>
  <si>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</si>
  <si>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</si>
  <si>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</si>
  <si>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</si>
  <si>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</si>
  <si>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</si>
  <si>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</si>
  <si>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</si>
  <si>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</si>
  <si>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</si>
  <si>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</si>
  <si>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</si>
  <si>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</si>
  <si>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</si>
  <si>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</si>
  <si>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</si>
  <si>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</si>
  <si>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</si>
  <si>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</si>
  <si>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</si>
  <si>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</si>
  <si>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</si>
  <si>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</si>
  <si>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</si>
  <si>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</si>
  <si>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</si>
  <si>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</si>
  <si>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</si>
  <si>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</si>
  <si>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</si>
  <si>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</si>
  <si>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</si>
  <si>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</si>
  <si>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</si>
  <si>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</si>
  <si>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</si>
  <si>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</si>
  <si>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</si>
  <si>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</si>
  <si>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</si>
  <si>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</si>
  <si>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</si>
  <si>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</si>
  <si>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</si>
  <si>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</si>
  <si>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</si>
  <si>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</si>
  <si>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</si>
  <si>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</si>
  <si>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</si>
  <si>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</si>
  <si>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</si>
  <si>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</si>
  <si>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</si>
  <si>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</si>
  <si>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</si>
  <si>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</si>
  <si>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</si>
  <si>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</si>
  <si>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</si>
  <si>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</si>
  <si>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</si>
  <si>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</si>
  <si>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</si>
  <si>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</si>
  <si>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</si>
  <si>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</si>
  <si>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</si>
  <si>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</si>
  <si>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</si>
  <si>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</si>
  <si>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</si>
  <si>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</si>
  <si>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</si>
  <si>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</si>
  <si>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</si>
  <si>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</si>
  <si>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</si>
  <si>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</si>
  <si>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</si>
  <si>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</si>
  <si>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</si>
  <si>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</si>
  <si>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</si>
  <si>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</si>
  <si>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</si>
  <si>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</si>
  <si>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</si>
  <si>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</si>
  <si>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</si>
  <si>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</si>
  <si>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</si>
  <si>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</si>
  <si>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</si>
  <si>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</si>
  <si>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</si>
  <si>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</si>
  <si>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</si>
  <si>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</si>
  <si>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</si>
  <si>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</si>
  <si>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</si>
  <si>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</si>
  <si>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</si>
  <si>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</si>
  <si>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</si>
  <si>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</si>
  <si>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</si>
  <si>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</si>
  <si>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</si>
  <si>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</si>
  <si>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</si>
  <si>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</si>
  <si>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</si>
  <si>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</si>
  <si>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</si>
  <si>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</si>
  <si>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</si>
  <si>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</si>
  <si>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</si>
  <si>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</si>
  <si>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</si>
  <si>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</si>
  <si>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</si>
  <si>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</si>
  <si>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</si>
  <si>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</si>
  <si>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</si>
  <si>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</si>
  <si>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</si>
  <si>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</si>
  <si>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</si>
  <si>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</si>
  <si>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</si>
  <si>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</si>
  <si>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</si>
  <si>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</si>
  <si>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</si>
  <si>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</si>
  <si>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</si>
  <si>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</si>
  <si>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</si>
  <si>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</si>
  <si>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</si>
  <si>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</si>
  <si>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</si>
  <si>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</si>
  <si>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</si>
  <si>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</si>
  <si>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</si>
  <si>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</si>
  <si>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</si>
  <si>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</si>
  <si>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</si>
  <si>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</si>
  <si>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</si>
  <si>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</si>
  <si>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</si>
  <si>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</si>
  <si>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</si>
  <si>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</si>
  <si>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</si>
  <si>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</si>
  <si>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</si>
  <si>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</si>
  <si>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</si>
  <si>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</si>
  <si>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</si>
  <si>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</si>
  <si>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</si>
  <si>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</si>
  <si>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</si>
  <si>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</si>
  <si>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</si>
  <si>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</si>
  <si>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</si>
  <si>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</si>
  <si>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</si>
  <si>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</si>
  <si>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</si>
  <si>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</si>
  <si>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</si>
  <si>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</si>
  <si>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</si>
  <si>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</si>
  <si>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</si>
  <si>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</si>
  <si>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</si>
  <si>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</si>
  <si>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</si>
  <si>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</si>
  <si>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</si>
  <si>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</si>
  <si>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</si>
  <si>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</si>
  <si>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</si>
  <si>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</si>
  <si>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</si>
  <si>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</si>
  <si>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</si>
  <si>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</si>
  <si>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</si>
  <si>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</si>
  <si>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</si>
  <si>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</si>
  <si>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</si>
  <si>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</si>
  <si>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</si>
  <si>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</si>
  <si>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</si>
  <si>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</si>
  <si>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</si>
  <si>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</si>
  <si>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</si>
  <si>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</si>
  <si>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</si>
  <si>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</si>
  <si>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</si>
  <si>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</si>
  <si>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</si>
  <si>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</si>
  <si>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</si>
  <si>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</si>
  <si>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</si>
  <si>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</si>
  <si>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</si>
  <si>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</si>
  <si>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</si>
  <si>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</si>
  <si>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</si>
  <si>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</si>
  <si>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</si>
  <si>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</si>
  <si>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</si>
  <si>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</si>
  <si>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</si>
  <si>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</si>
  <si>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</si>
  <si>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</si>
  <si>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</si>
  <si>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</si>
  <si>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</si>
  <si>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</si>
  <si>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</si>
  <si>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</si>
  <si>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</si>
  <si>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</si>
  <si>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</si>
  <si>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</si>
  <si>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</si>
  <si>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</si>
  <si>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</si>
  <si>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</si>
  <si>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</si>
  <si>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</si>
  <si>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</si>
  <si>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</si>
  <si>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</si>
  <si>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</si>
  <si>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</si>
  <si>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</si>
  <si>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</si>
  <si>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</si>
  <si>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</si>
  <si>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</si>
  <si>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</si>
  <si>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</si>
  <si>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</si>
  <si>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</si>
  <si>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</si>
  <si>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</si>
  <si>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</si>
  <si>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</si>
  <si>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</si>
  <si>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</si>
  <si>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</si>
  <si>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</si>
  <si>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</si>
  <si>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</si>
  <si>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</si>
  <si>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</si>
  <si>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</si>
  <si>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</si>
  <si>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</si>
  <si>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</si>
  <si>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</si>
  <si>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</si>
  <si>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</si>
  <si>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</si>
  <si>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</si>
  <si>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</si>
  <si>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</si>
  <si>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</si>
  <si>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</si>
  <si>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</si>
  <si>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</si>
  <si>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</si>
  <si>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</si>
  <si>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</si>
  <si>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</si>
  <si>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</si>
  <si>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</si>
  <si>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</si>
  <si>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</si>
  <si>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</si>
  <si>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</si>
  <si>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</si>
  <si>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</si>
  <si>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</si>
  <si>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</si>
  <si>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</si>
  <si>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</si>
  <si>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</si>
  <si>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</si>
  <si>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</si>
  <si>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</si>
  <si>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</si>
  <si>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</si>
  <si>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</si>
  <si>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</si>
  <si>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</si>
  <si>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</si>
  <si>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</si>
  <si>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</si>
  <si>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</si>
  <si>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</si>
  <si>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</si>
  <si>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</si>
  <si>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</si>
  <si>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</si>
  <si>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</si>
  <si>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</si>
  <si>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</si>
  <si>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</si>
  <si>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</si>
  <si>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</si>
  <si>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</si>
  <si>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</si>
  <si>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</si>
  <si>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</si>
  <si>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</si>
  <si>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</si>
  <si>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</si>
  <si>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</si>
  <si>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</si>
  <si>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</si>
  <si>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</si>
  <si>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</si>
  <si>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</si>
  <si>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</si>
  <si>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</si>
  <si>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</si>
  <si>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</si>
  <si>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</si>
  <si>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</si>
  <si>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</si>
  <si>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</si>
  <si>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</si>
  <si>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</si>
  <si>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</si>
  <si>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</si>
  <si>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</si>
  <si>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</si>
  <si>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</si>
  <si>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</si>
  <si>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</si>
  <si>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</si>
  <si>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</si>
  <si>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</si>
  <si>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</si>
  <si>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</si>
  <si>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</si>
  <si>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</si>
  <si>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</si>
  <si>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</si>
  <si>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</si>
  <si>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</si>
  <si>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</si>
  <si>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</si>
  <si>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</si>
  <si>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</si>
  <si>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</si>
  <si>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</si>
  <si>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</si>
  <si>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</si>
  <si>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</si>
  <si>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</si>
  <si>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</si>
  <si>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</si>
  <si>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</si>
  <si>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</si>
  <si>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</si>
  <si>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</si>
  <si>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</si>
  <si>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</si>
  <si>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</si>
  <si>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</si>
  <si>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</si>
  <si>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</si>
  <si>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</si>
  <si>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</si>
  <si>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</si>
  <si>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</si>
  <si>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</si>
  <si>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</si>
  <si>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</si>
  <si>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</si>
  <si>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</si>
  <si>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</si>
  <si>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</si>
  <si>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</si>
  <si>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</si>
  <si>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</si>
  <si>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</si>
  <si>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</si>
  <si>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</si>
  <si>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</si>
  <si>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</si>
  <si>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</si>
  <si>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</si>
  <si>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</si>
  <si>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</si>
  <si>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</si>
  <si>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</si>
  <si>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</si>
  <si>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</si>
  <si>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</si>
  <si>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</si>
  <si>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</si>
  <si>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</si>
  <si>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</si>
  <si>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</si>
  <si>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</si>
  <si>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</si>
  <si>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</si>
  <si>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</si>
  <si>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</si>
  <si>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</si>
  <si>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</si>
  <si>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</si>
  <si>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</si>
  <si>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</si>
  <si>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</si>
  <si>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</si>
  <si>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</si>
  <si>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</si>
  <si>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</si>
  <si>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</si>
  <si>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</si>
  <si>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</si>
  <si>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</si>
  <si>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</si>
  <si>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</si>
  <si>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</si>
  <si>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</si>
  <si>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</si>
  <si>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</si>
  <si>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</si>
  <si>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</si>
  <si>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</si>
  <si>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</si>
  <si>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</si>
  <si>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</si>
  <si>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</si>
  <si>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</si>
  <si>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</si>
  <si>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</si>
  <si>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</si>
  <si>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</si>
  <si>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</si>
  <si>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</si>
  <si>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</si>
  <si>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</si>
  <si>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</si>
  <si>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</si>
  <si>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</si>
  <si>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</si>
  <si>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</si>
  <si>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</si>
  <si>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</si>
  <si>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</si>
  <si>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</si>
  <si>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</si>
  <si>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</si>
  <si>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</si>
  <si>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</si>
  <si>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</si>
  <si>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</si>
  <si>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</si>
  <si>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</si>
  <si>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</si>
  <si>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</si>
  <si>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</si>
  <si>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</si>
  <si>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</si>
  <si>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</si>
  <si>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</si>
  <si>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</si>
  <si>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</si>
  <si>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</si>
  <si>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</si>
  <si>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</si>
  <si>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</si>
  <si>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</si>
  <si>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</si>
  <si>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</si>
  <si>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</si>
  <si>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</si>
  <si>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</si>
  <si>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</si>
  <si>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</si>
  <si>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</si>
  <si>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</si>
  <si>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</si>
  <si>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</si>
  <si>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</si>
  <si>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</si>
  <si>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</si>
  <si>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</si>
  <si>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</si>
  <si>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</si>
  <si>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</si>
  <si>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</si>
  <si>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</si>
  <si>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</si>
  <si>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</si>
  <si>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</si>
  <si>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</si>
  <si>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</si>
  <si>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</si>
  <si>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</si>
  <si>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</si>
  <si>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</si>
  <si>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</si>
  <si>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</si>
  <si>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</si>
  <si>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</si>
  <si>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</si>
  <si>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</si>
  <si>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</si>
  <si>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</si>
  <si>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</si>
  <si>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</si>
  <si>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</si>
  <si>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</si>
  <si>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</si>
  <si>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</si>
  <si>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</si>
  <si>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</si>
  <si>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</si>
  <si>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</si>
  <si>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</si>
  <si>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</si>
  <si>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</si>
  <si>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</si>
  <si>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</si>
  <si>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</si>
  <si>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</si>
  <si>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</si>
  <si>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</si>
  <si>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</si>
  <si>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</si>
  <si>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</si>
  <si>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</si>
  <si>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</si>
  <si>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</si>
  <si>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</si>
  <si>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</si>
  <si>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</si>
  <si>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</si>
  <si>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</si>
  <si>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</si>
  <si>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</si>
  <si>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</si>
  <si>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</si>
  <si>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</si>
  <si>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</si>
  <si>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</si>
  <si>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</si>
  <si>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</si>
  <si>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</si>
  <si>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</si>
  <si>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</si>
  <si>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</si>
  <si>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</si>
  <si>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</si>
  <si>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</si>
  <si>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</si>
  <si>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</si>
  <si>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</si>
  <si>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</si>
  <si>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</si>
  <si>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</si>
  <si>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</si>
  <si>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</si>
  <si>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</si>
  <si>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</si>
  <si>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</si>
  <si>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</si>
  <si>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</si>
  <si>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</si>
  <si>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</si>
  <si>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</si>
  <si>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</si>
  <si>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</si>
  <si>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</si>
  <si>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</si>
  <si>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</si>
  <si>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</si>
  <si>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</si>
  <si>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</si>
  <si>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</si>
  <si>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</si>
  <si>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</si>
  <si>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</si>
  <si>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</si>
  <si>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</si>
  <si>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</si>
  <si>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</si>
  <si>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</si>
  <si>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</si>
  <si>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</si>
  <si>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</si>
  <si>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</si>
  <si>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</si>
  <si>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</si>
  <si>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</si>
  <si>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</si>
  <si>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</si>
  <si>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</si>
  <si>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</si>
  <si>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</si>
  <si>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</si>
  <si>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</si>
  <si>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</si>
  <si>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</si>
  <si>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</si>
  <si>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</si>
  <si>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</si>
  <si>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</si>
  <si>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</si>
  <si>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</si>
  <si>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</si>
  <si>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</si>
  <si>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</si>
  <si>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</si>
  <si>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</si>
  <si>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</si>
  <si>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</si>
  <si>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</si>
  <si>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</si>
  <si>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</si>
  <si>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</si>
  <si>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</si>
  <si>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</si>
  <si>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</si>
  <si>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</si>
  <si>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</si>
  <si>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</si>
  <si>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</si>
  <si>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</si>
  <si>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</si>
  <si>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</si>
  <si>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</si>
  <si>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</si>
  <si>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</si>
  <si>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</si>
  <si>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</si>
  <si>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</si>
  <si>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</si>
  <si>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</si>
  <si>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</si>
  <si>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</si>
  <si>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</si>
  <si>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</si>
  <si>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</si>
  <si>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</si>
  <si>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</si>
  <si>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</si>
  <si>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</si>
  <si>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</si>
  <si>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</si>
  <si>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</si>
  <si>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</si>
  <si>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</si>
  <si>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</si>
  <si>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</si>
  <si>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</si>
  <si>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</si>
  <si>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</si>
  <si>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</si>
  <si>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</si>
  <si>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</si>
  <si>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</si>
  <si>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</si>
  <si>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</si>
  <si>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</si>
  <si>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</si>
  <si>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</si>
  <si>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</si>
  <si>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</si>
  <si>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</si>
  <si>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</si>
  <si>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</si>
  <si>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</si>
  <si>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</si>
  <si>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</si>
  <si>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</si>
  <si>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</si>
  <si>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</si>
  <si>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</si>
  <si>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</si>
  <si>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</si>
  <si>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</si>
  <si>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</si>
  <si>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</si>
  <si>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</si>
  <si>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</si>
  <si>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</si>
  <si>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</si>
  <si>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</si>
  <si>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</si>
  <si>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</si>
  <si>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</si>
  <si>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</si>
  <si>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</si>
  <si>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</si>
  <si>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</si>
  <si>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</si>
  <si>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</si>
  <si>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</si>
  <si>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</si>
  <si>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</si>
  <si>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</si>
  <si>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</si>
  <si>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</si>
  <si>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</si>
  <si>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</si>
  <si>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</si>
  <si>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</si>
  <si>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</si>
  <si>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</si>
  <si>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</si>
  <si>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</si>
  <si>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</si>
  <si>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</si>
  <si>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</si>
  <si>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</si>
  <si>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</si>
  <si>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</si>
  <si>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</si>
  <si>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</si>
  <si>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</si>
  <si>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</si>
  <si>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</si>
  <si>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</si>
  <si>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</si>
  <si>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</si>
  <si>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</si>
  <si>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</si>
  <si>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</si>
  <si>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</si>
  <si>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</si>
  <si>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</si>
  <si>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</si>
  <si>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</si>
  <si>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</si>
  <si>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</si>
  <si>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</si>
  <si>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</si>
  <si>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</si>
  <si>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</si>
  <si>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</si>
  <si>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</si>
  <si>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</si>
  <si>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</si>
  <si>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</si>
  <si>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</si>
  <si>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</si>
  <si>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</si>
  <si>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</si>
  <si>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</si>
  <si>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</si>
  <si>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</si>
  <si>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</si>
  <si>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</si>
  <si>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</si>
  <si>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</si>
  <si>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</si>
  <si>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</si>
  <si>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</si>
  <si>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</si>
  <si>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</si>
  <si>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</si>
  <si>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</si>
  <si>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</si>
  <si>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</si>
  <si>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</si>
  <si>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</si>
  <si>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</si>
  <si>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</si>
  <si>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</si>
  <si>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</si>
  <si>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</si>
  <si>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</si>
  <si>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</si>
  <si>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</si>
  <si>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</si>
  <si>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</si>
  <si>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</si>
  <si>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</si>
  <si>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</si>
  <si>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</si>
  <si>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</si>
  <si>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</si>
  <si>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</si>
  <si>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</si>
  <si>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</si>
  <si>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</si>
  <si>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</si>
  <si>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</si>
  <si>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</si>
  <si>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</si>
  <si>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</si>
  <si>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</si>
  <si>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</si>
  <si>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</si>
  <si>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</si>
  <si>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</si>
  <si>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</si>
  <si>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</si>
  <si>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</si>
  <si>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</si>
  <si>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</si>
  <si>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</si>
  <si>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</si>
  <si>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</si>
  <si>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</si>
  <si>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</si>
  <si>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</si>
  <si>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</si>
  <si>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</si>
  <si>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</si>
  <si>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</si>
  <si>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</si>
  <si>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</si>
  <si>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</si>
  <si>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</si>
  <si>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</si>
  <si>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</si>
  <si>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</si>
  <si>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</si>
  <si>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</si>
  <si>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</si>
  <si>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</si>
  <si>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</si>
  <si>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</si>
  <si>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</si>
  <si>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</si>
  <si>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</si>
  <si>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</si>
  <si>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</si>
  <si>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</si>
  <si>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</si>
  <si>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</si>
  <si>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</si>
  <si>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</si>
  <si>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</si>
  <si>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</si>
  <si>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</si>
  <si>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</si>
  <si>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</si>
  <si>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</si>
  <si>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</si>
  <si>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</si>
  <si>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</si>
  <si>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</si>
  <si>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</si>
  <si>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</si>
  <si>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</si>
  <si>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</si>
  <si>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</si>
  <si>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</si>
  <si>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</si>
  <si>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</si>
  <si>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</si>
  <si>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</si>
  <si>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</si>
  <si>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</si>
  <si>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</si>
  <si>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</si>
  <si>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</si>
  <si>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</si>
  <si>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</si>
  <si>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</si>
  <si>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</si>
  <si>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</si>
  <si>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</si>
  <si>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</si>
  <si>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</si>
  <si>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</si>
  <si>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</si>
  <si>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</si>
  <si>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</si>
  <si>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</si>
  <si>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</si>
  <si>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</si>
  <si>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</si>
  <si>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</si>
  <si>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</si>
  <si>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</si>
  <si>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</si>
  <si>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</si>
  <si>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</si>
  <si>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</si>
  <si>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</si>
  <si>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</si>
  <si>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</si>
  <si>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</si>
  <si>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</si>
  <si>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</si>
  <si>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</si>
  <si>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</si>
  <si>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</si>
  <si>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</si>
  <si>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</si>
  <si>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</si>
  <si>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</si>
  <si>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</si>
  <si>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</si>
  <si>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</si>
  <si>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</si>
  <si>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</si>
  <si>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</si>
  <si>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</si>
  <si>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</si>
  <si>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</si>
  <si>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</si>
  <si>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</si>
  <si>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</si>
  <si>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</si>
  <si>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</si>
  <si>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</si>
  <si>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</si>
  <si>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</si>
  <si>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</si>
  <si>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</si>
  <si>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</si>
  <si>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</si>
  <si>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</si>
  <si>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</si>
  <si>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</si>
  <si>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</si>
  <si>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</si>
  <si>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</si>
  <si>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</si>
  <si>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</si>
  <si>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</si>
  <si>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</si>
  <si>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</si>
  <si>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</si>
  <si>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</si>
  <si>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</si>
  <si>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</si>
  <si>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</si>
  <si>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</si>
  <si>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</si>
  <si>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</si>
  <si>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</si>
  <si>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</si>
  <si>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</si>
  <si>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</si>
  <si>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</si>
  <si>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</si>
  <si>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</si>
  <si>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</si>
  <si>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</si>
  <si>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</si>
  <si>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</si>
  <si>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</si>
  <si>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</si>
  <si>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</si>
  <si>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</si>
  <si>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</si>
  <si>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</si>
  <si>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</si>
  <si>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</si>
  <si>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</si>
  <si>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</si>
  <si>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</si>
  <si>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</si>
  <si>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</si>
  <si>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</si>
  <si>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</si>
  <si>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</si>
  <si>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</si>
  <si>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</si>
  <si>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</si>
  <si>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</si>
  <si>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</si>
  <si>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</si>
  <si>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</si>
  <si>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</si>
  <si>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</si>
  <si>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</si>
  <si>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</si>
  <si>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</si>
  <si>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</si>
  <si>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</si>
  <si>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</si>
  <si>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</si>
  <si>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</si>
  <si>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</si>
  <si>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</si>
  <si>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</si>
  <si>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</si>
  <si>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</si>
  <si>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</si>
  <si>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</si>
  <si>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</si>
  <si>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</si>
  <si>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</si>
  <si>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</si>
  <si>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</si>
  <si>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</si>
  <si>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</si>
  <si>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</si>
  <si>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</si>
  <si>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</si>
  <si>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</si>
  <si>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</si>
  <si>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</si>
  <si>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</si>
  <si>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</si>
  <si>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</si>
  <si>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</si>
  <si>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</si>
  <si>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</si>
  <si>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</si>
  <si>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</si>
  <si>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</si>
  <si>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</si>
  <si>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</si>
  <si>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</si>
  <si>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</si>
  <si>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</si>
  <si>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</si>
  <si>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</si>
  <si>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</si>
  <si>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</si>
  <si>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</si>
  <si>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</si>
  <si>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</si>
  <si>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</si>
  <si>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</si>
  <si>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</si>
  <si>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</si>
  <si>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</si>
  <si>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</si>
  <si>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</si>
  <si>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</si>
  <si>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</si>
  <si>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</si>
  <si>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</si>
  <si>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</si>
  <si>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</si>
  <si>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</si>
  <si>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</si>
  <si>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</si>
  <si>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</si>
  <si>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</si>
  <si>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</si>
  <si>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</si>
  <si>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</si>
  <si>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</si>
  <si>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</si>
  <si>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</si>
  <si>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</si>
  <si>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</si>
  <si>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</si>
  <si>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</si>
  <si>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</si>
  <si>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</si>
  <si>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</si>
  <si>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</si>
  <si>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</si>
  <si>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</si>
  <si>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</si>
  <si>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</si>
  <si>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</si>
  <si>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</si>
  <si>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</si>
  <si>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</si>
  <si>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</si>
  <si>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</si>
  <si>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</si>
  <si>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</si>
  <si>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</si>
  <si>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</si>
  <si>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</si>
  <si>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</si>
  <si>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</si>
  <si>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</si>
  <si>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</si>
  <si>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</si>
  <si>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</si>
  <si>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</si>
  <si>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</si>
  <si>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</si>
  <si>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</si>
  <si>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</si>
  <si>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</si>
  <si>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</si>
  <si>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</si>
  <si>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</si>
  <si>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</si>
  <si>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</si>
  <si>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</si>
  <si>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</si>
  <si>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</si>
  <si>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</si>
  <si>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</si>
  <si>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</si>
  <si>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</si>
  <si>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</si>
  <si>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</si>
  <si>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</si>
  <si>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</si>
  <si>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</si>
  <si>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</si>
  <si>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</si>
  <si>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</si>
  <si>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</si>
  <si>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</si>
  <si>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</si>
  <si>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</si>
  <si>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</si>
  <si>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</si>
  <si>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</si>
  <si>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</si>
  <si>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</si>
  <si>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</si>
  <si>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</si>
  <si>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</si>
  <si>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</si>
  <si>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</si>
  <si>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</si>
  <si>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</si>
  <si>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</si>
  <si>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</si>
  <si>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</si>
  <si>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</si>
  <si>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</si>
  <si>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</si>
  <si>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</si>
  <si>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</si>
  <si>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</si>
  <si>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</si>
  <si>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</si>
  <si>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</si>
  <si>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</si>
  <si>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</si>
  <si>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</si>
  <si>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</si>
  <si>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</si>
  <si>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</si>
  <si>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</si>
  <si>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</si>
  <si>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</si>
  <si>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</si>
  <si>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</si>
  <si>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</si>
  <si>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</si>
  <si>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</si>
  <si>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</si>
  <si>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</si>
  <si>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</si>
  <si>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</si>
  <si>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</si>
  <si>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</si>
  <si>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</si>
  <si>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</si>
  <si>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</si>
  <si>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</si>
  <si>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</si>
  <si>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</si>
  <si>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</si>
  <si>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</si>
  <si>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</si>
  <si>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</si>
  <si>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</si>
  <si>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</si>
  <si>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</si>
  <si>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</si>
  <si>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</si>
  <si>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</si>
  <si>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</si>
  <si>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</si>
  <si>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</si>
  <si>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</si>
  <si>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</si>
  <si>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</si>
  <si>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</si>
  <si>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</si>
  <si>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</si>
  <si>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</si>
  <si>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</si>
  <si>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</si>
  <si>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</si>
  <si>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</si>
  <si>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</si>
  <si>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</si>
  <si>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</si>
  <si>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</si>
  <si>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</si>
  <si>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</si>
  <si>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</si>
  <si>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</si>
  <si>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</si>
  <si>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</si>
  <si>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</si>
  <si>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</si>
  <si>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</si>
  <si>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</si>
  <si>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</si>
  <si>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</si>
  <si>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</si>
  <si>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</si>
  <si>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</si>
  <si>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</si>
  <si>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</si>
  <si>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</si>
  <si>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</si>
  <si>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</si>
  <si>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</si>
  <si>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</si>
  <si>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</si>
  <si>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Menard</t>
  </si>
  <si>
    <t>147 Palmer Street</t>
  </si>
  <si>
    <t>Greenview</t>
  </si>
  <si>
    <t>Ryan Heavner, Superintendent</t>
  </si>
  <si>
    <t>rheavner@greenviewschools.org</t>
  </si>
  <si>
    <t>(217) 968-2296</t>
  </si>
  <si>
    <t>(217) 968-2297</t>
  </si>
  <si>
    <t>dfitzgerald@p-dcpas.com</t>
  </si>
  <si>
    <t>Part C, Box 23 - Other than cash basis, the Auditor Report is qualified due to the District not maintaining a formal record system to track fixed assets accounted for in the General Fixed Asset Account Group.</t>
  </si>
  <si>
    <t>Prairie State Insurance Cooperative</t>
  </si>
  <si>
    <t>Sangamon Area Special Education District</t>
  </si>
  <si>
    <t>Lincoln Land Technical Education Center</t>
  </si>
  <si>
    <t>Education Fund - Acct 1690 - Lunch card replacement fees</t>
  </si>
  <si>
    <t>Education Fund - Acct 1790 - Resale of office supplies</t>
  </si>
  <si>
    <t>Education Fund - Acct 1999 - Box Tops  $487, Misc Refunds and Reimbursements $2,999, Library Fines $51</t>
  </si>
  <si>
    <t>Transportation Fund - Acct 1999 - Misc Refunds and Reimbursements</t>
  </si>
  <si>
    <t xml:space="preserve">Education Fund - Acct 4090 - Rural Education Achievement Program </t>
  </si>
  <si>
    <t>Education Fund - Function 4190, Object 600 - Lincoln Prairie BHC Tutoring $900,  Refund to Salt Creek Academy  $6,000</t>
  </si>
  <si>
    <t xml:space="preserve">Dorinda L Fitzgerald                      </t>
  </si>
  <si>
    <t>No contracts over $25,000 noted by client</t>
  </si>
  <si>
    <t>Error #13 - The client noted no contracts during the year over $25,000.</t>
  </si>
  <si>
    <t>PDF in Opinion Page with Signature</t>
  </si>
  <si>
    <t xml:space="preserve">Greenview CUSD 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</si>
</sst>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1666875</xdr:colOff>
          <xdr:row>3</xdr:row>
          <xdr:rowOff>9525</xdr:rowOff>
        </xdr:from>
        <xdr:to>
          <xdr:col>1</xdr:col>
          <xdr:colOff>2581275</xdr:colOff>
          <xdr:row>7</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t="s">
        <v>2084</v>
      </c>
      <c r="C5" s="26" t="s">
        <v>966</v>
      </c>
      <c r="D5" s="84"/>
      <c r="E5" s="84"/>
      <c r="H5" s="38"/>
      <c r="I5" s="2039" t="s">
        <v>701</v>
      </c>
      <c r="J5" s="1984"/>
      <c r="K5" s="1984"/>
      <c r="L5" s="1984"/>
      <c r="M5" s="1984"/>
      <c r="N5" s="1984"/>
      <c r="O5" s="1984"/>
      <c r="P5" s="1984"/>
      <c r="Q5" s="1984"/>
      <c r="R5" s="1984"/>
      <c r="S5" s="1984"/>
    </row>
    <row r="6" spans="1:28" ht="14.1" customHeight="1" x14ac:dyDescent="0.2">
      <c r="B6" s="104"/>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2084</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51065200026</v>
      </c>
      <c r="B13" s="2001"/>
      <c r="C13" s="2001"/>
      <c r="D13" s="2001"/>
      <c r="E13" s="2001"/>
      <c r="F13" s="2001"/>
      <c r="G13" s="2001"/>
      <c r="H13" s="2002"/>
      <c r="I13" s="31"/>
      <c r="J13" s="30"/>
      <c r="K13" s="28"/>
      <c r="L13" s="30"/>
      <c r="M13" s="30"/>
      <c r="N13" s="30"/>
      <c r="O13" s="30"/>
      <c r="P13" s="30"/>
      <c r="Q13" s="30"/>
      <c r="R13" s="30"/>
      <c r="S13" s="30"/>
      <c r="T13" s="2005" t="s">
        <v>2077</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2085</v>
      </c>
      <c r="B15" s="2003"/>
      <c r="C15" s="2003"/>
      <c r="D15" s="2003"/>
      <c r="E15" s="2003"/>
      <c r="F15" s="2003"/>
      <c r="G15" s="2003"/>
      <c r="H15" s="2004"/>
      <c r="T15" s="1966" t="s">
        <v>2103</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2107</v>
      </c>
      <c r="B17" s="2028"/>
      <c r="C17" s="2028"/>
      <c r="D17" s="2028"/>
      <c r="E17" s="2028"/>
      <c r="F17" s="2028"/>
      <c r="G17" s="2028"/>
      <c r="H17" s="2029"/>
      <c r="T17" s="2015" t="s">
        <v>2078</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2086</v>
      </c>
      <c r="B19" s="1999"/>
      <c r="C19" s="1999"/>
      <c r="D19" s="1999"/>
      <c r="E19" s="1999"/>
      <c r="F19" s="1999"/>
      <c r="G19" s="1999"/>
      <c r="H19" s="1997"/>
      <c r="I19" s="30"/>
      <c r="J19" s="99"/>
      <c r="K19" s="40"/>
      <c r="L19" s="38"/>
      <c r="M19" s="112" t="s">
        <v>333</v>
      </c>
      <c r="P19" s="27"/>
      <c r="Q19" s="27"/>
      <c r="R19" s="27"/>
      <c r="S19" s="31"/>
      <c r="T19" s="1998" t="s">
        <v>2079</v>
      </c>
      <c r="U19" s="1996"/>
      <c r="V19" s="1996"/>
      <c r="W19" s="1997"/>
      <c r="X19" s="2013" t="s">
        <v>2080</v>
      </c>
      <c r="Y19" s="2014"/>
      <c r="Z19" s="2011">
        <v>62702</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2087</v>
      </c>
      <c r="B21" s="1996"/>
      <c r="C21" s="1996"/>
      <c r="D21" s="1996"/>
      <c r="E21" s="1996"/>
      <c r="F21" s="1996"/>
      <c r="G21" s="1996"/>
      <c r="H21" s="1997"/>
      <c r="I21" s="2021" t="s">
        <v>699</v>
      </c>
      <c r="J21" s="1984"/>
      <c r="K21" s="1984"/>
      <c r="L21" s="1984"/>
      <c r="M21" s="1984"/>
      <c r="N21" s="1984"/>
      <c r="O21" s="1984"/>
      <c r="P21" s="1984"/>
      <c r="Q21" s="1984"/>
      <c r="R21" s="1984"/>
      <c r="S21" s="1985"/>
      <c r="T21" s="1963" t="s">
        <v>2081</v>
      </c>
      <c r="U21" s="1964"/>
      <c r="V21" s="1964"/>
      <c r="W21" s="1964"/>
      <c r="X21" s="1977" t="s">
        <v>2082</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c r="B23" s="2019"/>
      <c r="C23" s="2019"/>
      <c r="D23" s="2019"/>
      <c r="E23" s="2019"/>
      <c r="F23" s="2019"/>
      <c r="G23" s="2019"/>
      <c r="H23" s="2020"/>
      <c r="T23" s="1958" t="s">
        <v>2083</v>
      </c>
      <c r="U23" s="1959"/>
      <c r="V23" s="1959"/>
      <c r="W23" s="1959"/>
      <c r="X23" s="1974">
        <v>43466</v>
      </c>
      <c r="Y23" s="1975"/>
      <c r="Z23" s="1975"/>
      <c r="AA23" s="1976"/>
    </row>
    <row r="24" spans="1:27" ht="14.1" customHeight="1" x14ac:dyDescent="0.2">
      <c r="A24" s="88" t="s">
        <v>698</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62642</v>
      </c>
      <c r="B25" s="1996"/>
      <c r="C25" s="1996"/>
      <c r="D25" s="1996"/>
      <c r="E25" s="1996"/>
      <c r="F25" s="1996"/>
      <c r="G25" s="1996"/>
      <c r="H25" s="1997"/>
      <c r="I25" s="113"/>
      <c r="J25" s="2062"/>
      <c r="K25" s="2062"/>
      <c r="L25" s="2062"/>
      <c r="M25" s="2062"/>
      <c r="N25" s="2062"/>
      <c r="O25" s="2062"/>
      <c r="P25" s="2062"/>
      <c r="Q25" s="2062"/>
      <c r="R25" s="2062"/>
      <c r="S25" s="2063"/>
      <c r="T25" s="1955" t="s">
        <v>2092</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2084</v>
      </c>
      <c r="C29" s="124" t="s">
        <v>874</v>
      </c>
      <c r="D29" s="114"/>
      <c r="E29" s="136"/>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2088</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2089</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2090</v>
      </c>
      <c r="B42" s="2045"/>
      <c r="C42" s="2046"/>
      <c r="D42" s="2059" t="s">
        <v>2091</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35431</v>
      </c>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2093</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2106</v>
      </c>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42434215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3.2793000000000003E-2</v>
      </c>
      <c r="E10" s="356" t="s">
        <v>1062</v>
      </c>
      <c r="F10" s="355">
        <v>5.4380000000000001E-3</v>
      </c>
      <c r="G10" s="356" t="s">
        <v>1062</v>
      </c>
      <c r="H10" s="355">
        <v>3.973E-3</v>
      </c>
      <c r="I10" s="356" t="s">
        <v>1063</v>
      </c>
      <c r="J10" s="1753">
        <f>ROUND(D10+F10+H10,5)</f>
        <v>4.2200000000000001E-2</v>
      </c>
      <c r="K10" s="222"/>
      <c r="L10" s="355">
        <v>3.3500000000000001E-4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2866730</v>
      </c>
      <c r="E16" s="356"/>
      <c r="F16" s="1754">
        <f>SUM('Acct Summary 7-8'!C17,'Acct Summary 7-8'!D17,'Acct Summary 7-8'!F17)</f>
        <v>2566167</v>
      </c>
      <c r="G16" s="356"/>
      <c r="H16" s="1754">
        <f>SUM(D16-F16)</f>
        <v>300563</v>
      </c>
      <c r="I16" s="222"/>
      <c r="J16" s="1754">
        <f>SUM('Acct Summary 7-8'!C81,'Acct Summary 7-8'!D81,'Acct Summary 7-8'!F81,'Acct Summary 7-8'!I81)</f>
        <v>2736161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5855921.6700000009</v>
      </c>
      <c r="I31" s="368"/>
      <c r="J31" s="222"/>
      <c r="K31" s="222"/>
      <c r="L31" s="222"/>
      <c r="M31" s="222"/>
    </row>
    <row r="32" spans="1:13" ht="13.35" customHeight="1" x14ac:dyDescent="0.2">
      <c r="B32" s="369" t="s">
        <v>2084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Greenview CUSD 200                </v>
      </c>
      <c r="E7" s="391"/>
      <c r="G7" s="252"/>
      <c r="H7" s="387"/>
      <c r="I7" s="387"/>
      <c r="J7" s="387"/>
      <c r="K7" s="387"/>
      <c r="L7" s="329"/>
      <c r="M7" s="329"/>
      <c r="N7" s="329"/>
      <c r="O7" s="329"/>
      <c r="P7" s="329"/>
    </row>
    <row r="8" spans="1:18" ht="12.75" x14ac:dyDescent="0.2">
      <c r="A8" s="329"/>
      <c r="B8" s="329"/>
      <c r="C8" s="389" t="s">
        <v>1187</v>
      </c>
      <c r="D8" s="392">
        <f>COVER!A13</f>
        <v>51065200026</v>
      </c>
      <c r="E8" s="393"/>
      <c r="G8" s="329"/>
      <c r="H8" s="329"/>
      <c r="I8" s="329"/>
      <c r="J8" s="329"/>
      <c r="K8" s="329"/>
      <c r="L8" s="329"/>
      <c r="M8" s="329"/>
      <c r="N8" s="329"/>
      <c r="O8" s="329"/>
      <c r="P8" s="329"/>
    </row>
    <row r="9" spans="1:18" ht="12.75" x14ac:dyDescent="0.2">
      <c r="A9" s="329"/>
      <c r="B9" s="329"/>
      <c r="C9" s="389" t="s">
        <v>737</v>
      </c>
      <c r="D9" s="394" t="str">
        <f>COVER!A15</f>
        <v>Menard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2736161</v>
      </c>
      <c r="I12" s="404"/>
      <c r="J12" s="404"/>
      <c r="K12" s="405">
        <f>TRUNC((H12/H13*100000),5)/100000</f>
        <v>0.95445368059999991</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2866730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2566167</v>
      </c>
      <c r="I17" s="404"/>
      <c r="J17" s="416"/>
      <c r="K17" s="405">
        <f>TRUNC((H17/H18*100000),5)/100000</f>
        <v>0.89515475820000012</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2866730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2738437</v>
      </c>
      <c r="I24" s="422"/>
      <c r="J24" s="422"/>
      <c r="K24" s="423">
        <f>TRUNC(((H24/H25*100000)/100000),2)</f>
        <v>384.16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7128.2416700000003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1522115.29205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5855921.6700000009</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15" sqref="T15:AA15"/>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1"/>
      <c r="D3" s="1582"/>
      <c r="E3" s="1582"/>
      <c r="F3" s="1582"/>
      <c r="G3" s="1582"/>
      <c r="H3" s="1582"/>
      <c r="I3" s="1582"/>
      <c r="J3" s="1582"/>
      <c r="K3" s="1582"/>
      <c r="L3" s="1582"/>
      <c r="M3" s="1583"/>
      <c r="N3" s="1584"/>
    </row>
    <row r="4" spans="1:14" ht="13.5" customHeight="1" x14ac:dyDescent="0.2">
      <c r="A4" s="463" t="s">
        <v>1750</v>
      </c>
      <c r="B4" s="464"/>
      <c r="C4" s="465">
        <v>383915</v>
      </c>
      <c r="D4" s="466">
        <v>128952</v>
      </c>
      <c r="E4" s="466"/>
      <c r="F4" s="466">
        <v>389411</v>
      </c>
      <c r="G4" s="466">
        <v>3142</v>
      </c>
      <c r="H4" s="466"/>
      <c r="I4" s="466">
        <v>20617</v>
      </c>
      <c r="J4" s="467"/>
      <c r="K4" s="466">
        <v>9786</v>
      </c>
      <c r="L4" s="466">
        <v>42787</v>
      </c>
      <c r="M4" s="468"/>
      <c r="N4" s="469"/>
    </row>
    <row r="5" spans="1:14" x14ac:dyDescent="0.2">
      <c r="A5" s="463" t="s">
        <v>1049</v>
      </c>
      <c r="B5" s="470">
        <v>120</v>
      </c>
      <c r="C5" s="465">
        <v>1015424</v>
      </c>
      <c r="D5" s="466">
        <v>253355</v>
      </c>
      <c r="E5" s="466"/>
      <c r="F5" s="466">
        <v>405596</v>
      </c>
      <c r="G5" s="466">
        <v>31189</v>
      </c>
      <c r="H5" s="466"/>
      <c r="I5" s="466">
        <v>141167</v>
      </c>
      <c r="J5" s="467"/>
      <c r="K5" s="471">
        <v>71099</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1399339</v>
      </c>
      <c r="D13" s="1758">
        <f t="shared" ref="D13:L13" si="0">SUM(D4:D12)</f>
        <v>382307</v>
      </c>
      <c r="E13" s="1758">
        <f t="shared" si="0"/>
        <v>0</v>
      </c>
      <c r="F13" s="1758">
        <f t="shared" si="0"/>
        <v>795007</v>
      </c>
      <c r="G13" s="1758">
        <f t="shared" si="0"/>
        <v>34331</v>
      </c>
      <c r="H13" s="1758">
        <f t="shared" si="0"/>
        <v>0</v>
      </c>
      <c r="I13" s="1758">
        <f t="shared" si="0"/>
        <v>161784</v>
      </c>
      <c r="J13" s="1758">
        <f t="shared" si="0"/>
        <v>0</v>
      </c>
      <c r="K13" s="1758">
        <f t="shared" si="0"/>
        <v>80885</v>
      </c>
      <c r="L13" s="1758">
        <f t="shared" si="0"/>
        <v>42787</v>
      </c>
      <c r="M13" s="468"/>
      <c r="N13" s="469"/>
    </row>
    <row r="14" spans="1:14" ht="18" customHeight="1" thickTop="1" x14ac:dyDescent="0.2">
      <c r="A14" s="2124" t="s">
        <v>149</v>
      </c>
      <c r="B14" s="212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7500</v>
      </c>
      <c r="N16" s="484"/>
    </row>
    <row r="17" spans="1:14" s="485" customFormat="1" ht="12.75" customHeight="1" x14ac:dyDescent="0.2">
      <c r="A17" s="482" t="s">
        <v>1470</v>
      </c>
      <c r="B17" s="483">
        <v>230</v>
      </c>
      <c r="C17" s="477"/>
      <c r="D17" s="477"/>
      <c r="E17" s="477"/>
      <c r="F17" s="477"/>
      <c r="G17" s="477"/>
      <c r="H17" s="477"/>
      <c r="I17" s="477"/>
      <c r="J17" s="477"/>
      <c r="K17" s="477"/>
      <c r="L17" s="477"/>
      <c r="M17" s="467">
        <v>2660610</v>
      </c>
      <c r="N17" s="484"/>
    </row>
    <row r="18" spans="1:14" s="485" customFormat="1" ht="12.75" customHeight="1" x14ac:dyDescent="0.2">
      <c r="A18" s="482" t="s">
        <v>1471</v>
      </c>
      <c r="B18" s="483">
        <v>240</v>
      </c>
      <c r="C18" s="477"/>
      <c r="D18" s="477"/>
      <c r="E18" s="477"/>
      <c r="F18" s="477"/>
      <c r="G18" s="477"/>
      <c r="H18" s="477"/>
      <c r="I18" s="477"/>
      <c r="J18" s="477"/>
      <c r="K18" s="477"/>
      <c r="L18" s="477"/>
      <c r="M18" s="467">
        <v>41861</v>
      </c>
      <c r="N18" s="484"/>
    </row>
    <row r="19" spans="1:14" s="485" customFormat="1" ht="12.75" customHeight="1" x14ac:dyDescent="0.2">
      <c r="A19" s="482" t="s">
        <v>1472</v>
      </c>
      <c r="B19" s="483">
        <v>250</v>
      </c>
      <c r="C19" s="477"/>
      <c r="D19" s="477"/>
      <c r="E19" s="477"/>
      <c r="F19" s="477"/>
      <c r="G19" s="477"/>
      <c r="H19" s="477"/>
      <c r="I19" s="477"/>
      <c r="J19" s="477"/>
      <c r="K19" s="477"/>
      <c r="L19" s="477"/>
      <c r="M19" s="467">
        <v>357553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3067524</v>
      </c>
      <c r="N23" s="1709">
        <f>SUM(N21:N22)</f>
        <v>0</v>
      </c>
    </row>
    <row r="24" spans="1:14" ht="18" customHeight="1" thickTop="1" x14ac:dyDescent="0.2">
      <c r="A24" s="2126" t="s">
        <v>619</v>
      </c>
      <c r="B24" s="212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2276</v>
      </c>
      <c r="D30" s="474"/>
      <c r="E30" s="467"/>
      <c r="F30" s="467"/>
      <c r="G30" s="467">
        <v>23</v>
      </c>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42787</v>
      </c>
      <c r="M33" s="468"/>
      <c r="N33" s="469"/>
    </row>
    <row r="34" spans="1:14" ht="13.5" customHeight="1" thickBot="1" x14ac:dyDescent="0.25">
      <c r="A34" s="1759" t="s">
        <v>675</v>
      </c>
      <c r="B34" s="1760"/>
      <c r="C34" s="1761">
        <f>SUM(C25:C33)</f>
        <v>2276</v>
      </c>
      <c r="D34" s="1761">
        <f t="shared" ref="D34:K34" si="1">SUM(D25:D33)</f>
        <v>0</v>
      </c>
      <c r="E34" s="1761">
        <f t="shared" si="1"/>
        <v>0</v>
      </c>
      <c r="F34" s="1761">
        <f t="shared" si="1"/>
        <v>0</v>
      </c>
      <c r="G34" s="1761">
        <f t="shared" si="1"/>
        <v>23</v>
      </c>
      <c r="H34" s="1761">
        <f t="shared" si="1"/>
        <v>0</v>
      </c>
      <c r="I34" s="1761">
        <f t="shared" si="1"/>
        <v>0</v>
      </c>
      <c r="J34" s="1761">
        <f t="shared" si="1"/>
        <v>0</v>
      </c>
      <c r="K34" s="1761">
        <f t="shared" si="1"/>
        <v>0</v>
      </c>
      <c r="L34" s="1742">
        <f>SUM(L33)</f>
        <v>42787</v>
      </c>
      <c r="M34" s="468"/>
      <c r="N34" s="480"/>
    </row>
    <row r="35" spans="1:14" ht="18" customHeight="1" thickTop="1" x14ac:dyDescent="0.2">
      <c r="A35" s="2128" t="s">
        <v>550</v>
      </c>
      <c r="B35" s="212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v>14940</v>
      </c>
      <c r="D38" s="466"/>
      <c r="E38" s="466"/>
      <c r="F38" s="466"/>
      <c r="G38" s="466"/>
      <c r="H38" s="466"/>
      <c r="I38" s="466"/>
      <c r="J38" s="467"/>
      <c r="K38" s="466"/>
      <c r="L38" s="481"/>
      <c r="M38" s="497"/>
      <c r="N38" s="497"/>
    </row>
    <row r="39" spans="1:14" s="329" customFormat="1" ht="13.5" customHeight="1" x14ac:dyDescent="0.2">
      <c r="A39" s="496" t="s">
        <v>360</v>
      </c>
      <c r="B39" s="483">
        <v>730</v>
      </c>
      <c r="C39" s="466">
        <v>1382123</v>
      </c>
      <c r="D39" s="466">
        <v>382307</v>
      </c>
      <c r="E39" s="466"/>
      <c r="F39" s="466">
        <v>795007</v>
      </c>
      <c r="G39" s="466">
        <v>34308</v>
      </c>
      <c r="H39" s="466"/>
      <c r="I39" s="466">
        <v>161784</v>
      </c>
      <c r="J39" s="467"/>
      <c r="K39" s="466">
        <v>80885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3067524</v>
      </c>
      <c r="N40" s="497"/>
    </row>
    <row r="41" spans="1:14" ht="13.5" customHeight="1" thickBot="1" x14ac:dyDescent="0.25">
      <c r="A41" s="1757" t="s">
        <v>676</v>
      </c>
      <c r="B41" s="1727"/>
      <c r="C41" s="1709">
        <f>(SUM(C34,C37,C38,C39))</f>
        <v>1399339</v>
      </c>
      <c r="D41" s="1709">
        <f t="shared" ref="D41:L41" si="2">SUM(D34,D37,D38:D39)</f>
        <v>382307</v>
      </c>
      <c r="E41" s="1709">
        <f t="shared" si="2"/>
        <v>0</v>
      </c>
      <c r="F41" s="1709">
        <f t="shared" si="2"/>
        <v>795007</v>
      </c>
      <c r="G41" s="1709">
        <f t="shared" si="2"/>
        <v>34331</v>
      </c>
      <c r="H41" s="1709">
        <f t="shared" si="2"/>
        <v>0</v>
      </c>
      <c r="I41" s="1709">
        <f t="shared" si="2"/>
        <v>161784</v>
      </c>
      <c r="J41" s="1709">
        <f t="shared" si="2"/>
        <v>0</v>
      </c>
      <c r="K41" s="1709">
        <f t="shared" si="2"/>
        <v>80885</v>
      </c>
      <c r="L41" s="1709">
        <f t="shared" si="2"/>
        <v>42787</v>
      </c>
      <c r="M41" s="1709">
        <f>SUM(M40)</f>
        <v>3067524</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15" sqref="T15:AA15"/>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1952" t="s">
        <v>1579</v>
      </c>
      <c r="B4" s="1953">
        <v>1000</v>
      </c>
      <c r="C4" s="1763">
        <f>'Revenues 9-14'!C109</f>
        <v>1555772</v>
      </c>
      <c r="D4" s="1763">
        <f>'Revenues 9-14'!D109</f>
        <v>260129</v>
      </c>
      <c r="E4" s="1763">
        <f>'Revenues 9-14'!E109</f>
        <v>0</v>
      </c>
      <c r="F4" s="1763">
        <f>'Revenues 9-14'!F109</f>
        <v>175567</v>
      </c>
      <c r="G4" s="1763">
        <f>'Revenues 9-14'!G109</f>
        <v>73178</v>
      </c>
      <c r="H4" s="1763">
        <f>'Revenues 9-14'!H109</f>
        <v>0</v>
      </c>
      <c r="I4" s="1763">
        <f>'Revenues 9-14'!I109</f>
        <v>15544</v>
      </c>
      <c r="J4" s="1763">
        <f>'Revenues 9-14'!J109</f>
        <v>0</v>
      </c>
      <c r="K4" s="1763">
        <f>'Revenues 9-14'!K109</f>
        <v>33175</v>
      </c>
      <c r="L4" s="347"/>
    </row>
    <row r="5" spans="1:13" ht="15.75" customHeight="1" x14ac:dyDescent="0.2">
      <c r="A5" s="1598" t="s">
        <v>1580</v>
      </c>
      <c r="B5" s="1599">
        <v>2000</v>
      </c>
      <c r="C5" s="1764">
        <f>'Revenues 9-14'!C114</f>
        <v>47809</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583215</v>
      </c>
      <c r="D6" s="1764">
        <f>'Revenues 9-14'!D173</f>
        <v>0</v>
      </c>
      <c r="E6" s="1764">
        <f>'Revenues 9-14'!E173</f>
        <v>0</v>
      </c>
      <c r="F6" s="1764">
        <f>'Revenues 9-14'!F173</f>
        <v>112209</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116485</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2303281</v>
      </c>
      <c r="D8" s="1709">
        <f t="shared" ref="D8:K8" si="0">SUM(D4:D7)</f>
        <v>260129</v>
      </c>
      <c r="E8" s="1709">
        <f t="shared" si="0"/>
        <v>0</v>
      </c>
      <c r="F8" s="1709">
        <f t="shared" si="0"/>
        <v>287776</v>
      </c>
      <c r="G8" s="1709">
        <f t="shared" si="0"/>
        <v>73178</v>
      </c>
      <c r="H8" s="1709">
        <f t="shared" si="0"/>
        <v>0</v>
      </c>
      <c r="I8" s="1709">
        <f t="shared" si="0"/>
        <v>15544</v>
      </c>
      <c r="J8" s="1709">
        <f t="shared" si="0"/>
        <v>0</v>
      </c>
      <c r="K8" s="1709">
        <f t="shared" si="0"/>
        <v>33175</v>
      </c>
      <c r="L8" s="347"/>
    </row>
    <row r="9" spans="1:13" ht="15.75" thickTop="1" x14ac:dyDescent="0.2">
      <c r="A9" s="514" t="s">
        <v>1752</v>
      </c>
      <c r="B9" s="515">
        <v>3998</v>
      </c>
      <c r="C9" s="481">
        <v>976245</v>
      </c>
      <c r="D9" s="516"/>
      <c r="E9" s="481"/>
      <c r="F9" s="481"/>
      <c r="G9" s="517"/>
      <c r="H9" s="481"/>
      <c r="I9" s="509" t="s">
        <v>1231</v>
      </c>
      <c r="J9" s="478"/>
      <c r="K9" s="481"/>
      <c r="L9" s="347"/>
    </row>
    <row r="10" spans="1:13" s="519" customFormat="1" ht="13.5" thickBot="1" x14ac:dyDescent="0.25">
      <c r="A10" s="1757" t="s">
        <v>1235</v>
      </c>
      <c r="B10" s="1730"/>
      <c r="C10" s="1709">
        <f>SUM(C8:C9)</f>
        <v>3279526</v>
      </c>
      <c r="D10" s="1709">
        <f t="shared" ref="D10:K10" si="1">SUM(D8:D9)</f>
        <v>260129</v>
      </c>
      <c r="E10" s="1709">
        <f t="shared" si="1"/>
        <v>0</v>
      </c>
      <c r="F10" s="1709">
        <f t="shared" si="1"/>
        <v>287776</v>
      </c>
      <c r="G10" s="1709">
        <f t="shared" si="1"/>
        <v>73178</v>
      </c>
      <c r="H10" s="1709">
        <f t="shared" si="1"/>
        <v>0</v>
      </c>
      <c r="I10" s="1709">
        <f t="shared" si="1"/>
        <v>15544</v>
      </c>
      <c r="J10" s="1709">
        <f t="shared" si="1"/>
        <v>0</v>
      </c>
      <c r="K10" s="1709">
        <f t="shared" si="1"/>
        <v>33175</v>
      </c>
      <c r="L10" s="518"/>
    </row>
    <row r="11" spans="1:13" s="519" customFormat="1" ht="16.7" customHeight="1" thickTop="1" x14ac:dyDescent="0.2">
      <c r="A11" s="2124" t="s">
        <v>1238</v>
      </c>
      <c r="B11" s="2125"/>
      <c r="C11" s="1592"/>
      <c r="D11" s="1593"/>
      <c r="E11" s="1593"/>
      <c r="F11" s="1593"/>
      <c r="G11" s="1593"/>
      <c r="H11" s="1593"/>
      <c r="I11" s="1593"/>
      <c r="J11" s="1593"/>
      <c r="K11" s="1594"/>
      <c r="L11" s="518"/>
    </row>
    <row r="12" spans="1:13" ht="15.75" customHeight="1" x14ac:dyDescent="0.2">
      <c r="A12" s="1598" t="s">
        <v>476</v>
      </c>
      <c r="B12" s="1600">
        <v>1000</v>
      </c>
      <c r="C12" s="1763">
        <f>'Expenditures 15-22'!K33</f>
        <v>1253427</v>
      </c>
      <c r="D12" s="520" t="s">
        <v>1231</v>
      </c>
      <c r="E12" s="468" t="s">
        <v>1231</v>
      </c>
      <c r="F12" s="468" t="s">
        <v>1231</v>
      </c>
      <c r="G12" s="1763">
        <f>'Expenditures 15-22'!K229</f>
        <v>21922</v>
      </c>
      <c r="H12" s="521"/>
      <c r="I12" s="468" t="s">
        <v>1231</v>
      </c>
      <c r="J12" s="468" t="s">
        <v>1231</v>
      </c>
      <c r="K12" s="521" t="s">
        <v>1231</v>
      </c>
      <c r="L12" s="347"/>
    </row>
    <row r="13" spans="1:13" ht="15.75" customHeight="1" x14ac:dyDescent="0.2">
      <c r="A13" s="1598" t="s">
        <v>477</v>
      </c>
      <c r="B13" s="1600">
        <v>2000</v>
      </c>
      <c r="C13" s="1764">
        <f>'Expenditures 15-22'!K74</f>
        <v>626846</v>
      </c>
      <c r="D13" s="1764">
        <f>'Expenditures 15-22'!K129</f>
        <v>339423</v>
      </c>
      <c r="E13" s="469" t="s">
        <v>1231</v>
      </c>
      <c r="F13" s="1764">
        <f>'Expenditures 15-22'!K184</f>
        <v>121545</v>
      </c>
      <c r="G13" s="1764">
        <f>'Expenditures 15-22'!K279</f>
        <v>64804</v>
      </c>
      <c r="H13" s="1764">
        <f>'Expenditures 15-22'!K303</f>
        <v>0</v>
      </c>
      <c r="I13" s="468" t="s">
        <v>1231</v>
      </c>
      <c r="J13" s="1764">
        <f>'Expenditures 15-22'!K330</f>
        <v>0</v>
      </c>
      <c r="K13" s="1768">
        <f>'Expenditures 15-22'!K352</f>
        <v>38675</v>
      </c>
      <c r="L13" s="347"/>
    </row>
    <row r="14" spans="1:13" ht="15.75" customHeight="1" x14ac:dyDescent="0.2">
      <c r="A14" s="1598" t="s">
        <v>469</v>
      </c>
      <c r="B14" s="1600">
        <v>3000</v>
      </c>
      <c r="C14" s="1764">
        <f>'Expenditures 15-22'!K75</f>
        <v>517</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224409</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2105199</v>
      </c>
      <c r="D17" s="1709">
        <f t="shared" si="2"/>
        <v>339423</v>
      </c>
      <c r="E17" s="1709">
        <f t="shared" si="2"/>
        <v>0</v>
      </c>
      <c r="F17" s="1709">
        <f t="shared" si="2"/>
        <v>121545</v>
      </c>
      <c r="G17" s="1709">
        <f t="shared" si="2"/>
        <v>86726</v>
      </c>
      <c r="H17" s="1709">
        <f t="shared" si="2"/>
        <v>0</v>
      </c>
      <c r="I17" s="468"/>
      <c r="J17" s="1709">
        <f>SUM(J12:J16)</f>
        <v>0</v>
      </c>
      <c r="K17" s="1709">
        <f>SUM(K12:K16)</f>
        <v>38675</v>
      </c>
      <c r="L17" s="347"/>
    </row>
    <row r="18" spans="1:12" ht="15" customHeight="1" thickTop="1" x14ac:dyDescent="0.2">
      <c r="A18" s="1765" t="s">
        <v>1753</v>
      </c>
      <c r="B18" s="1766">
        <v>4180</v>
      </c>
      <c r="C18" s="1763">
        <f t="shared" ref="C18:H18" si="3">C9</f>
        <v>976245</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3081444</v>
      </c>
      <c r="D19" s="1709">
        <f t="shared" si="4"/>
        <v>339423</v>
      </c>
      <c r="E19" s="1709">
        <f t="shared" si="4"/>
        <v>0</v>
      </c>
      <c r="F19" s="1709">
        <f t="shared" si="4"/>
        <v>121545</v>
      </c>
      <c r="G19" s="1709">
        <f t="shared" si="4"/>
        <v>86726</v>
      </c>
      <c r="H19" s="1709">
        <f t="shared" si="4"/>
        <v>0</v>
      </c>
      <c r="I19" s="468"/>
      <c r="J19" s="1709">
        <f>SUM(J17:J18)</f>
        <v>0</v>
      </c>
      <c r="K19" s="1709">
        <f>SUM(K17:K18)</f>
        <v>38675</v>
      </c>
      <c r="L19" s="347"/>
    </row>
    <row r="20" spans="1:12" ht="16.5" thickTop="1" thickBot="1" x14ac:dyDescent="0.25">
      <c r="A20" s="2140" t="s">
        <v>1754</v>
      </c>
      <c r="B20" s="2141"/>
      <c r="C20" s="1767">
        <f>C8-C17</f>
        <v>198082</v>
      </c>
      <c r="D20" s="1767">
        <f t="shared" ref="D20:K20" si="5">D8-D17</f>
        <v>-79294</v>
      </c>
      <c r="E20" s="1767">
        <f t="shared" si="5"/>
        <v>0</v>
      </c>
      <c r="F20" s="1767">
        <f t="shared" si="5"/>
        <v>166231</v>
      </c>
      <c r="G20" s="1767">
        <f t="shared" si="5"/>
        <v>-13548</v>
      </c>
      <c r="H20" s="1767">
        <f t="shared" si="5"/>
        <v>0</v>
      </c>
      <c r="I20" s="1767">
        <f t="shared" si="5"/>
        <v>15544</v>
      </c>
      <c r="J20" s="1767">
        <f t="shared" si="5"/>
        <v>0</v>
      </c>
      <c r="K20" s="1767">
        <f t="shared" si="5"/>
        <v>-5500</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0" t="s">
        <v>460</v>
      </c>
      <c r="B76" s="2131"/>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2" t="s">
        <v>1239</v>
      </c>
      <c r="B77" s="2133"/>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6" t="s">
        <v>618</v>
      </c>
      <c r="B78" s="2137"/>
      <c r="C78" s="1723">
        <f t="shared" ref="C78:K78" si="9">C20+C77</f>
        <v>198082</v>
      </c>
      <c r="D78" s="1723">
        <f t="shared" si="9"/>
        <v>-79294</v>
      </c>
      <c r="E78" s="1723">
        <f t="shared" si="9"/>
        <v>0</v>
      </c>
      <c r="F78" s="1723">
        <f t="shared" si="9"/>
        <v>166231</v>
      </c>
      <c r="G78" s="1723">
        <f t="shared" si="9"/>
        <v>-13548</v>
      </c>
      <c r="H78" s="1723">
        <f t="shared" si="9"/>
        <v>0</v>
      </c>
      <c r="I78" s="1723">
        <f t="shared" si="9"/>
        <v>15544</v>
      </c>
      <c r="J78" s="1723">
        <f t="shared" si="9"/>
        <v>0</v>
      </c>
      <c r="K78" s="1723">
        <f t="shared" si="9"/>
        <v>-5500</v>
      </c>
      <c r="L78" s="533"/>
    </row>
    <row r="79" spans="1:12" ht="13.5" thickTop="1" x14ac:dyDescent="0.2">
      <c r="A79" s="1516" t="s">
        <v>2073</v>
      </c>
      <c r="B79" s="534"/>
      <c r="C79" s="478">
        <v>1198981</v>
      </c>
      <c r="D79" s="535">
        <v>461601</v>
      </c>
      <c r="E79" s="535"/>
      <c r="F79" s="535">
        <v>628776</v>
      </c>
      <c r="G79" s="535">
        <v>47856</v>
      </c>
      <c r="H79" s="535"/>
      <c r="I79" s="535">
        <v>146240</v>
      </c>
      <c r="J79" s="535"/>
      <c r="K79" s="535">
        <v>86385</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9">
        <f>(SUM(C78:C80))</f>
        <v>1397063</v>
      </c>
      <c r="D81" s="1709">
        <f>SUM(D78:D80)</f>
        <v>382307</v>
      </c>
      <c r="E81" s="1709">
        <f t="shared" ref="E81:K81" si="10">SUM(E78:E80)</f>
        <v>0</v>
      </c>
      <c r="F81" s="1709">
        <f t="shared" si="10"/>
        <v>795007</v>
      </c>
      <c r="G81" s="1709">
        <f t="shared" si="10"/>
        <v>34308</v>
      </c>
      <c r="H81" s="1709">
        <f t="shared" si="10"/>
        <v>0</v>
      </c>
      <c r="I81" s="1709">
        <f t="shared" si="10"/>
        <v>161784</v>
      </c>
      <c r="J81" s="1709">
        <f t="shared" si="10"/>
        <v>0</v>
      </c>
      <c r="K81" s="1709">
        <f t="shared" si="10"/>
        <v>80885</v>
      </c>
      <c r="L81" s="347"/>
    </row>
    <row r="82" spans="1:12" ht="0.75" customHeight="1" thickTop="1" thickBot="1" x14ac:dyDescent="0.25">
      <c r="A82" s="536" t="s">
        <v>361</v>
      </c>
      <c r="B82" s="537"/>
      <c r="C82" s="538">
        <f>(C81-C79)</f>
        <v>198082</v>
      </c>
      <c r="D82" s="538">
        <f t="shared" ref="D82:K82" si="11">(D81-D79)</f>
        <v>-79294</v>
      </c>
      <c r="E82" s="538">
        <f t="shared" si="11"/>
        <v>0</v>
      </c>
      <c r="F82" s="538">
        <f t="shared" si="11"/>
        <v>166231</v>
      </c>
      <c r="G82" s="538">
        <f t="shared" si="11"/>
        <v>-13548</v>
      </c>
      <c r="H82" s="538">
        <f t="shared" si="11"/>
        <v>0</v>
      </c>
      <c r="I82" s="538">
        <f t="shared" si="11"/>
        <v>15544</v>
      </c>
      <c r="J82" s="538">
        <f t="shared" si="11"/>
        <v>0</v>
      </c>
      <c r="K82" s="538">
        <f t="shared" si="11"/>
        <v>-5500</v>
      </c>
    </row>
    <row r="83" spans="1:12" ht="14.25" hidden="1" thickTop="1" thickBot="1" x14ac:dyDescent="0.25">
      <c r="A83" s="539" t="s">
        <v>362</v>
      </c>
      <c r="B83" s="464"/>
      <c r="C83" s="540">
        <f>C82/C81</f>
        <v>0.14178458666502514</v>
      </c>
      <c r="D83" s="540">
        <f t="shared" ref="D83:K83" si="12">D82/D81</f>
        <v>-0.20740922870886486</v>
      </c>
      <c r="E83" s="540" t="e">
        <f t="shared" si="12"/>
        <v>#DIV/0!</v>
      </c>
      <c r="F83" s="540">
        <f t="shared" si="12"/>
        <v>0.20909375640717628</v>
      </c>
      <c r="G83" s="540">
        <f t="shared" si="12"/>
        <v>-0.39489331934242744</v>
      </c>
      <c r="H83" s="540" t="e">
        <f t="shared" si="12"/>
        <v>#DIV/0!</v>
      </c>
      <c r="I83" s="540">
        <f t="shared" si="12"/>
        <v>9.6078722246946552E-2</v>
      </c>
      <c r="J83" s="540" t="e">
        <f t="shared" si="12"/>
        <v>#DIV/0!</v>
      </c>
      <c r="K83" s="540">
        <f t="shared" si="12"/>
        <v>-6.7997774618285226E-2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15" sqref="T15:AA1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1344728</v>
      </c>
      <c r="D5" s="481">
        <v>233120</v>
      </c>
      <c r="E5" s="466"/>
      <c r="F5" s="548">
        <v>170317</v>
      </c>
      <c r="G5" s="466">
        <v>35852</v>
      </c>
      <c r="H5" s="466"/>
      <c r="I5" s="466">
        <v>14341</v>
      </c>
      <c r="J5" s="467"/>
      <c r="K5" s="466">
        <v>32307</v>
      </c>
    </row>
    <row r="6" spans="1:12" ht="15" x14ac:dyDescent="0.2">
      <c r="A6" s="463" t="s">
        <v>1761</v>
      </c>
      <c r="B6" s="470">
        <v>1130</v>
      </c>
      <c r="C6" s="466">
        <v>14341</v>
      </c>
      <c r="D6" s="466"/>
      <c r="E6" s="475"/>
      <c r="F6" s="475"/>
      <c r="G6" s="468"/>
      <c r="H6" s="468"/>
      <c r="I6" s="468"/>
      <c r="J6" s="468"/>
      <c r="K6" s="468"/>
    </row>
    <row r="7" spans="1:12" x14ac:dyDescent="0.2">
      <c r="A7" s="463" t="s">
        <v>112</v>
      </c>
      <c r="B7" s="549">
        <v>1140</v>
      </c>
      <c r="C7" s="466">
        <v>53819</v>
      </c>
      <c r="D7" s="466"/>
      <c r="E7" s="468"/>
      <c r="F7" s="467"/>
      <c r="G7" s="467"/>
      <c r="H7" s="467"/>
      <c r="I7" s="468"/>
      <c r="J7" s="468"/>
      <c r="K7" s="468"/>
    </row>
    <row r="8" spans="1:12" x14ac:dyDescent="0.2">
      <c r="A8" s="463" t="s">
        <v>433</v>
      </c>
      <c r="B8" s="470">
        <v>1150</v>
      </c>
      <c r="C8" s="475"/>
      <c r="D8" s="475"/>
      <c r="E8" s="477"/>
      <c r="F8" s="477"/>
      <c r="G8" s="481">
        <v>34945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1412888</v>
      </c>
      <c r="D12" s="1728">
        <f t="shared" si="0"/>
        <v>233120</v>
      </c>
      <c r="E12" s="1728">
        <f t="shared" si="0"/>
        <v>0</v>
      </c>
      <c r="F12" s="1728">
        <f t="shared" si="0"/>
        <v>170317</v>
      </c>
      <c r="G12" s="1728">
        <f t="shared" si="0"/>
        <v>70797</v>
      </c>
      <c r="H12" s="1728">
        <f t="shared" si="0"/>
        <v>0</v>
      </c>
      <c r="I12" s="1728">
        <f t="shared" si="0"/>
        <v>14341</v>
      </c>
      <c r="J12" s="1728">
        <f t="shared" si="0"/>
        <v>0</v>
      </c>
      <c r="K12" s="1709">
        <f t="shared" si="0"/>
        <v>32307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47435</v>
      </c>
      <c r="D16" s="466">
        <v>15000</v>
      </c>
      <c r="E16" s="466"/>
      <c r="F16" s="466"/>
      <c r="G16" s="466">
        <v>2000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47435</v>
      </c>
      <c r="D18" s="1731">
        <f t="shared" ref="D18:K18" si="1">SUM(D14:D17)</f>
        <v>15000</v>
      </c>
      <c r="E18" s="1731">
        <f t="shared" si="1"/>
        <v>0</v>
      </c>
      <c r="F18" s="1731">
        <f t="shared" si="1"/>
        <v>0</v>
      </c>
      <c r="G18" s="1731">
        <f t="shared" si="1"/>
        <v>2000</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16039</v>
      </c>
      <c r="D65" s="466">
        <v>2809</v>
      </c>
      <c r="E65" s="466"/>
      <c r="F65" s="467">
        <v>4705</v>
      </c>
      <c r="G65" s="466">
        <v>381</v>
      </c>
      <c r="H65" s="466"/>
      <c r="I65" s="466">
        <v>1203</v>
      </c>
      <c r="J65" s="467"/>
      <c r="K65" s="466">
        <v>868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16039</v>
      </c>
      <c r="D67" s="1709">
        <f t="shared" ref="D67:K67" si="2">SUM(D65:D66)</f>
        <v>2809</v>
      </c>
      <c r="E67" s="1709">
        <f t="shared" si="2"/>
        <v>0</v>
      </c>
      <c r="F67" s="1709">
        <f t="shared" si="2"/>
        <v>4705</v>
      </c>
      <c r="G67" s="1709">
        <f t="shared" si="2"/>
        <v>381</v>
      </c>
      <c r="H67" s="1709">
        <f t="shared" si="2"/>
        <v>0</v>
      </c>
      <c r="I67" s="1709">
        <f t="shared" si="2"/>
        <v>1203</v>
      </c>
      <c r="J67" s="1709">
        <f t="shared" si="2"/>
        <v>0</v>
      </c>
      <c r="K67" s="1709">
        <f t="shared" si="2"/>
        <v>868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29667</v>
      </c>
      <c r="D69" s="468"/>
      <c r="E69" s="468"/>
      <c r="F69" s="468"/>
      <c r="G69" s="468"/>
      <c r="H69" s="468"/>
      <c r="I69" s="468"/>
      <c r="J69" s="468"/>
      <c r="K69" s="468"/>
    </row>
    <row r="70" spans="1:11" ht="12.75" customHeight="1" x14ac:dyDescent="0.2">
      <c r="A70" s="463" t="s">
        <v>1054</v>
      </c>
      <c r="B70" s="470">
        <v>1612</v>
      </c>
      <c r="C70" s="551">
        <v>1134</v>
      </c>
      <c r="D70" s="468"/>
      <c r="E70" s="468"/>
      <c r="F70" s="468"/>
      <c r="G70" s="468"/>
      <c r="H70" s="468"/>
      <c r="I70" s="468"/>
      <c r="J70" s="468"/>
      <c r="K70" s="468"/>
    </row>
    <row r="71" spans="1:11" ht="12.75" customHeight="1" x14ac:dyDescent="0.2">
      <c r="A71" s="463" t="s">
        <v>291</v>
      </c>
      <c r="B71" s="470">
        <v>1613</v>
      </c>
      <c r="C71" s="551">
        <v>7826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1120</v>
      </c>
      <c r="D73" s="468"/>
      <c r="E73" s="468"/>
      <c r="F73" s="468"/>
      <c r="G73" s="468"/>
      <c r="H73" s="468"/>
      <c r="I73" s="468"/>
      <c r="J73" s="468"/>
      <c r="K73" s="468"/>
    </row>
    <row r="74" spans="1:11" ht="12.75" customHeight="1" x14ac:dyDescent="0.2">
      <c r="A74" s="463" t="s">
        <v>25</v>
      </c>
      <c r="B74" s="470">
        <v>1690</v>
      </c>
      <c r="C74" s="551">
        <v>200</v>
      </c>
      <c r="D74" s="468"/>
      <c r="E74" s="468"/>
      <c r="F74" s="468"/>
      <c r="G74" s="468"/>
      <c r="H74" s="468"/>
      <c r="I74" s="468"/>
      <c r="J74" s="468"/>
      <c r="K74" s="468"/>
    </row>
    <row r="75" spans="1:11" ht="12.75" customHeight="1" thickBot="1" x14ac:dyDescent="0.25">
      <c r="A75" s="1729" t="s">
        <v>569</v>
      </c>
      <c r="B75" s="1730"/>
      <c r="C75" s="1709">
        <f>SUM(C69:C74)</f>
        <v>39947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9103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103</v>
      </c>
      <c r="D81" s="466"/>
      <c r="E81" s="468"/>
      <c r="F81" s="468"/>
      <c r="G81" s="468"/>
      <c r="H81" s="468"/>
      <c r="I81" s="468"/>
      <c r="J81" s="468"/>
      <c r="K81" s="468"/>
    </row>
    <row r="82" spans="1:11" ht="12.75" customHeight="1" thickBot="1" x14ac:dyDescent="0.25">
      <c r="A82" s="1729" t="s">
        <v>259</v>
      </c>
      <c r="B82" s="1730"/>
      <c r="C82" s="1728">
        <f>SUM(C77:C81)</f>
        <v>9206</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16142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16142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1802</v>
      </c>
      <c r="D96" s="551">
        <v>9200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5020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2996</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3537</v>
      </c>
      <c r="D107" s="466"/>
      <c r="E107" s="466"/>
      <c r="F107" s="466">
        <v>545</v>
      </c>
      <c r="G107" s="466"/>
      <c r="H107" s="466"/>
      <c r="I107" s="466"/>
      <c r="J107" s="467"/>
      <c r="K107" s="466"/>
    </row>
    <row r="108" spans="1:12" ht="12.75" customHeight="1" thickBot="1" x14ac:dyDescent="0.25">
      <c r="A108" s="1729" t="s">
        <v>508</v>
      </c>
      <c r="B108" s="1733"/>
      <c r="C108" s="1728">
        <f>SUM(C95:C107)</f>
        <v>14115</v>
      </c>
      <c r="D108" s="1728">
        <f t="shared" ref="D108:K108" si="3">SUM(D95:D107)</f>
        <v>9200</v>
      </c>
      <c r="E108" s="1728">
        <f t="shared" si="3"/>
        <v>0</v>
      </c>
      <c r="F108" s="1728">
        <f t="shared" si="3"/>
        <v>545</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1555772</v>
      </c>
      <c r="D109" s="1736">
        <f t="shared" si="4"/>
        <v>260129</v>
      </c>
      <c r="E109" s="1736">
        <f t="shared" si="4"/>
        <v>0</v>
      </c>
      <c r="F109" s="1736">
        <f t="shared" si="4"/>
        <v>175567</v>
      </c>
      <c r="G109" s="1736">
        <f t="shared" si="4"/>
        <v>73178</v>
      </c>
      <c r="H109" s="1736">
        <f t="shared" si="4"/>
        <v>0</v>
      </c>
      <c r="I109" s="1736">
        <f t="shared" si="4"/>
        <v>15544</v>
      </c>
      <c r="J109" s="1736">
        <f t="shared" si="4"/>
        <v>0</v>
      </c>
      <c r="K109" s="1723">
        <f t="shared" si="4"/>
        <v>33175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3689</v>
      </c>
      <c r="D111" s="481"/>
      <c r="E111" s="561"/>
      <c r="F111" s="481"/>
      <c r="G111" s="481"/>
      <c r="H111" s="561"/>
      <c r="I111" s="468"/>
      <c r="J111" s="468"/>
      <c r="K111" s="468"/>
    </row>
    <row r="112" spans="1:12" ht="12.75" customHeight="1" x14ac:dyDescent="0.2">
      <c r="A112" s="463" t="s">
        <v>878</v>
      </c>
      <c r="B112" s="470">
        <v>2200</v>
      </c>
      <c r="C112" s="551">
        <v>44120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47809</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555385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555385</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15306</v>
      </c>
      <c r="D125" s="561"/>
      <c r="E125" s="468"/>
      <c r="F125" s="466"/>
      <c r="G125" s="468"/>
      <c r="H125" s="468"/>
      <c r="I125" s="468"/>
      <c r="J125" s="468"/>
      <c r="K125" s="468"/>
    </row>
    <row r="126" spans="1:11" ht="12.75" customHeight="1" x14ac:dyDescent="0.2">
      <c r="A126" s="463" t="s">
        <v>922</v>
      </c>
      <c r="B126" s="562">
        <v>3110</v>
      </c>
      <c r="C126" s="551">
        <v>1530</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22039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2868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2868</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695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2228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84627</v>
      </c>
      <c r="G151" s="467"/>
      <c r="H151" s="468"/>
      <c r="I151" s="468"/>
      <c r="J151" s="468"/>
      <c r="K151" s="468"/>
    </row>
    <row r="152" spans="1:11" ht="12.75" customHeight="1" x14ac:dyDescent="0.2">
      <c r="A152" s="463" t="s">
        <v>1117</v>
      </c>
      <c r="B152" s="562">
        <v>3510</v>
      </c>
      <c r="C152" s="551"/>
      <c r="D152" s="466"/>
      <c r="E152" s="561"/>
      <c r="F152" s="466">
        <v>27582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112209</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8" t="s">
        <v>418</v>
      </c>
      <c r="B172" s="2159"/>
      <c r="C172" s="1743">
        <f t="shared" ref="C172:K172" si="6">SUM(C131,C140,C144,C145:C149,C154,C155:C170,C171)</f>
        <v>27830</v>
      </c>
      <c r="D172" s="1743">
        <f t="shared" si="6"/>
        <v>0</v>
      </c>
      <c r="E172" s="1743">
        <f t="shared" si="6"/>
        <v>0</v>
      </c>
      <c r="F172" s="1743">
        <f t="shared" si="6"/>
        <v>112209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583215</v>
      </c>
      <c r="D173" s="1736">
        <f>SUM(D121,D172)</f>
        <v>0</v>
      </c>
      <c r="E173" s="1736">
        <f>SUM(E121,E172)</f>
        <v>0</v>
      </c>
      <c r="F173" s="1736">
        <f t="shared" ref="F173:K173" si="7">SUM(F121,F172)</f>
        <v>112209</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4" t="s">
        <v>1764</v>
      </c>
      <c r="B178" s="216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3641</v>
      </c>
      <c r="D183" s="466"/>
      <c r="E183" s="468"/>
      <c r="F183" s="466"/>
      <c r="G183" s="466"/>
      <c r="H183" s="466"/>
      <c r="I183" s="468"/>
      <c r="J183" s="468"/>
      <c r="K183" s="466"/>
    </row>
    <row r="184" spans="1:11" ht="13.5" thickBot="1" x14ac:dyDescent="0.25">
      <c r="A184" s="2166" t="s">
        <v>818</v>
      </c>
      <c r="B184" s="2167"/>
      <c r="C184" s="1728">
        <f>SUM(C180:C183)</f>
        <v>3641</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48190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4554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52744</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35970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35970</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14815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3253</v>
      </c>
      <c r="D270" s="576"/>
      <c r="E270" s="468"/>
      <c r="F270" s="576"/>
      <c r="G270" s="576"/>
      <c r="H270" s="468"/>
      <c r="I270" s="468"/>
      <c r="J270" s="468"/>
      <c r="K270" s="468"/>
    </row>
    <row r="271" spans="1:11" ht="12.75" customHeight="1" thickTop="1" thickBot="1" x14ac:dyDescent="0.25">
      <c r="A271" s="463" t="s">
        <v>395</v>
      </c>
      <c r="B271" s="470">
        <v>4992</v>
      </c>
      <c r="C271" s="575">
        <v>6062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112844</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116485</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2303281</v>
      </c>
      <c r="D275" s="1736">
        <f t="shared" si="12"/>
        <v>260129</v>
      </c>
      <c r="E275" s="1736">
        <f t="shared" si="12"/>
        <v>0</v>
      </c>
      <c r="F275" s="1736">
        <f t="shared" si="12"/>
        <v>287776</v>
      </c>
      <c r="G275" s="1736">
        <f t="shared" si="12"/>
        <v>73178</v>
      </c>
      <c r="H275" s="1736">
        <f t="shared" si="12"/>
        <v>0</v>
      </c>
      <c r="I275" s="1736">
        <f t="shared" si="12"/>
        <v>15544</v>
      </c>
      <c r="J275" s="1736">
        <f t="shared" si="12"/>
        <v>0</v>
      </c>
      <c r="K275" s="1723">
        <f t="shared" si="12"/>
        <v>33175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T15" sqref="T15:AA15"/>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1059886</v>
      </c>
      <c r="D5" s="466">
        <v>84296</v>
      </c>
      <c r="E5" s="466">
        <v>16429</v>
      </c>
      <c r="F5" s="466">
        <v>12671</v>
      </c>
      <c r="G5" s="466">
        <v>5926</v>
      </c>
      <c r="H5" s="466"/>
      <c r="I5" s="467"/>
      <c r="J5" s="467"/>
      <c r="K5" s="1692">
        <f>SUM(C5:J5)</f>
        <v>1179208</v>
      </c>
      <c r="L5" s="466">
        <v>1182385</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v>2025</v>
      </c>
    </row>
    <row r="8" spans="1:14" x14ac:dyDescent="0.2">
      <c r="A8" s="1526" t="s">
        <v>166</v>
      </c>
      <c r="B8" s="615">
        <v>1200</v>
      </c>
      <c r="C8" s="466">
        <v>20462</v>
      </c>
      <c r="D8" s="466">
        <v>2664</v>
      </c>
      <c r="E8" s="466"/>
      <c r="F8" s="466"/>
      <c r="G8" s="466"/>
      <c r="H8" s="466"/>
      <c r="I8" s="467"/>
      <c r="J8" s="467"/>
      <c r="K8" s="1692">
        <f t="shared" si="0"/>
        <v>23126</v>
      </c>
      <c r="L8" s="466">
        <v>23268</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c r="D10" s="466"/>
      <c r="E10" s="466"/>
      <c r="F10" s="466"/>
      <c r="G10" s="466"/>
      <c r="H10" s="466"/>
      <c r="I10" s="467"/>
      <c r="J10" s="467"/>
      <c r="K10" s="1692">
        <f t="shared" si="0"/>
        <v>0</v>
      </c>
      <c r="L10" s="466"/>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v>26</v>
      </c>
      <c r="E13" s="466">
        <v>200</v>
      </c>
      <c r="F13" s="466">
        <v>551</v>
      </c>
      <c r="G13" s="466">
        <v>1972</v>
      </c>
      <c r="H13" s="466"/>
      <c r="I13" s="467"/>
      <c r="J13" s="467"/>
      <c r="K13" s="1692">
        <f t="shared" si="0"/>
        <v>2749</v>
      </c>
      <c r="L13" s="466">
        <v>2927</v>
      </c>
    </row>
    <row r="14" spans="1:14" x14ac:dyDescent="0.2">
      <c r="A14" s="1526" t="s">
        <v>1020</v>
      </c>
      <c r="B14" s="615">
        <v>1500</v>
      </c>
      <c r="C14" s="466">
        <v>30095</v>
      </c>
      <c r="D14" s="466">
        <v>239</v>
      </c>
      <c r="E14" s="466">
        <v>15746</v>
      </c>
      <c r="F14" s="466">
        <v>2024</v>
      </c>
      <c r="G14" s="466"/>
      <c r="H14" s="466">
        <v>240</v>
      </c>
      <c r="I14" s="467"/>
      <c r="J14" s="467"/>
      <c r="K14" s="1692">
        <f t="shared" si="0"/>
        <v>48344</v>
      </c>
      <c r="L14" s="466">
        <v>48544</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1110443</v>
      </c>
      <c r="D33" s="1691">
        <f t="shared" ref="D33:L33" si="1">SUM(D5:D32)</f>
        <v>87225</v>
      </c>
      <c r="E33" s="1691">
        <f t="shared" si="1"/>
        <v>32375</v>
      </c>
      <c r="F33" s="1691">
        <f t="shared" si="1"/>
        <v>15246</v>
      </c>
      <c r="G33" s="1691">
        <f t="shared" si="1"/>
        <v>7898</v>
      </c>
      <c r="H33" s="1691">
        <f t="shared" si="1"/>
        <v>240</v>
      </c>
      <c r="I33" s="1691">
        <f t="shared" si="1"/>
        <v>0</v>
      </c>
      <c r="J33" s="1691">
        <f t="shared" si="1"/>
        <v>0</v>
      </c>
      <c r="K33" s="1691">
        <f t="shared" si="1"/>
        <v>1253427</v>
      </c>
      <c r="L33" s="1691">
        <f t="shared" si="1"/>
        <v>1259149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v>40225</v>
      </c>
      <c r="D37" s="466">
        <v>2877</v>
      </c>
      <c r="E37" s="466"/>
      <c r="F37" s="466"/>
      <c r="G37" s="466"/>
      <c r="H37" s="466"/>
      <c r="I37" s="467"/>
      <c r="J37" s="467"/>
      <c r="K37" s="1692">
        <f t="shared" si="2"/>
        <v>43102</v>
      </c>
      <c r="L37" s="466">
        <v>43130</v>
      </c>
    </row>
    <row r="38" spans="1:14" x14ac:dyDescent="0.2">
      <c r="A38" s="1526" t="s">
        <v>207</v>
      </c>
      <c r="B38" s="615">
        <v>2130</v>
      </c>
      <c r="C38" s="466">
        <v>16868</v>
      </c>
      <c r="D38" s="466"/>
      <c r="E38" s="466">
        <v>25</v>
      </c>
      <c r="F38" s="466">
        <v>2421</v>
      </c>
      <c r="G38" s="466">
        <v>1016</v>
      </c>
      <c r="H38" s="466"/>
      <c r="I38" s="467"/>
      <c r="J38" s="467"/>
      <c r="K38" s="1692">
        <f t="shared" si="2"/>
        <v>20330</v>
      </c>
      <c r="L38" s="466">
        <v>20462</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57093</v>
      </c>
      <c r="D42" s="1691">
        <f t="shared" ref="D42:L42" si="3">SUM(D36:D41)</f>
        <v>2877</v>
      </c>
      <c r="E42" s="1691">
        <f t="shared" si="3"/>
        <v>25</v>
      </c>
      <c r="F42" s="1691">
        <f t="shared" si="3"/>
        <v>2421</v>
      </c>
      <c r="G42" s="1691">
        <f t="shared" si="3"/>
        <v>1016</v>
      </c>
      <c r="H42" s="1691">
        <f t="shared" si="3"/>
        <v>0</v>
      </c>
      <c r="I42" s="1691">
        <f t="shared" si="3"/>
        <v>0</v>
      </c>
      <c r="J42" s="1691">
        <f t="shared" si="3"/>
        <v>0</v>
      </c>
      <c r="K42" s="1691">
        <f t="shared" si="3"/>
        <v>63432</v>
      </c>
      <c r="L42" s="1691">
        <f t="shared" si="3"/>
        <v>63592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1500</v>
      </c>
      <c r="D44" s="481">
        <v>97</v>
      </c>
      <c r="E44" s="481">
        <v>16364</v>
      </c>
      <c r="F44" s="481">
        <v>1891</v>
      </c>
      <c r="G44" s="481"/>
      <c r="H44" s="481">
        <v>713</v>
      </c>
      <c r="I44" s="467"/>
      <c r="J44" s="467"/>
      <c r="K44" s="1693">
        <f>SUM(C44:J44)</f>
        <v>20565</v>
      </c>
      <c r="L44" s="481">
        <v>20613</v>
      </c>
    </row>
    <row r="45" spans="1:14" x14ac:dyDescent="0.2">
      <c r="A45" s="1526" t="s">
        <v>869</v>
      </c>
      <c r="B45" s="615">
        <v>2220</v>
      </c>
      <c r="C45" s="466">
        <v>7510</v>
      </c>
      <c r="D45" s="466">
        <v>1167</v>
      </c>
      <c r="E45" s="466">
        <v>225</v>
      </c>
      <c r="F45" s="466">
        <v>46</v>
      </c>
      <c r="G45" s="466"/>
      <c r="H45" s="466"/>
      <c r="I45" s="467"/>
      <c r="J45" s="467"/>
      <c r="K45" s="1693">
        <f>SUM(C45:J45)</f>
        <v>8948</v>
      </c>
      <c r="L45" s="466">
        <v>9075</v>
      </c>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9010</v>
      </c>
      <c r="D47" s="1691">
        <f t="shared" ref="D47:K47" si="4">SUM(D44:D46)</f>
        <v>1264</v>
      </c>
      <c r="E47" s="1691">
        <f t="shared" si="4"/>
        <v>16589</v>
      </c>
      <c r="F47" s="1691">
        <f t="shared" si="4"/>
        <v>1937</v>
      </c>
      <c r="G47" s="1691">
        <f t="shared" si="4"/>
        <v>0</v>
      </c>
      <c r="H47" s="1691">
        <f t="shared" si="4"/>
        <v>713</v>
      </c>
      <c r="I47" s="1691">
        <f t="shared" si="4"/>
        <v>0</v>
      </c>
      <c r="J47" s="1691">
        <f t="shared" si="4"/>
        <v>0</v>
      </c>
      <c r="K47" s="1691">
        <f t="shared" si="4"/>
        <v>29513</v>
      </c>
      <c r="L47" s="1691">
        <f>SUM(L44:L46)</f>
        <v>29688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3958</v>
      </c>
      <c r="D49" s="481"/>
      <c r="E49" s="481">
        <v>74956</v>
      </c>
      <c r="F49" s="481"/>
      <c r="G49" s="481"/>
      <c r="H49" s="481">
        <v>1914</v>
      </c>
      <c r="I49" s="467"/>
      <c r="J49" s="467"/>
      <c r="K49" s="1693">
        <f>SUM(C49:J49)</f>
        <v>80828</v>
      </c>
      <c r="L49" s="481">
        <v>81087</v>
      </c>
    </row>
    <row r="50" spans="1:14" x14ac:dyDescent="0.2">
      <c r="A50" s="1526" t="s">
        <v>872</v>
      </c>
      <c r="B50" s="615">
        <v>2320</v>
      </c>
      <c r="C50" s="466">
        <v>86802</v>
      </c>
      <c r="D50" s="466">
        <v>13270</v>
      </c>
      <c r="E50" s="466"/>
      <c r="F50" s="466"/>
      <c r="G50" s="466"/>
      <c r="H50" s="466"/>
      <c r="I50" s="467"/>
      <c r="J50" s="467"/>
      <c r="K50" s="1693">
        <f>SUM(C50:J50)</f>
        <v>100072</v>
      </c>
      <c r="L50" s="466">
        <v>100202</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90760</v>
      </c>
      <c r="D53" s="1691">
        <f t="shared" ref="D53:L53" si="5">SUM(D49:D52)</f>
        <v>13270</v>
      </c>
      <c r="E53" s="1691">
        <f t="shared" si="5"/>
        <v>74956</v>
      </c>
      <c r="F53" s="1691">
        <f t="shared" si="5"/>
        <v>0</v>
      </c>
      <c r="G53" s="1691">
        <f t="shared" si="5"/>
        <v>0</v>
      </c>
      <c r="H53" s="1691">
        <f t="shared" si="5"/>
        <v>1914</v>
      </c>
      <c r="I53" s="1691">
        <f t="shared" si="5"/>
        <v>0</v>
      </c>
      <c r="J53" s="1691">
        <f t="shared" si="5"/>
        <v>0</v>
      </c>
      <c r="K53" s="1691">
        <f t="shared" si="5"/>
        <v>180900</v>
      </c>
      <c r="L53" s="1691">
        <f t="shared" si="5"/>
        <v>181289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125503</v>
      </c>
      <c r="D55" s="481">
        <v>14635</v>
      </c>
      <c r="E55" s="481">
        <v>1240</v>
      </c>
      <c r="F55" s="481">
        <v>2310</v>
      </c>
      <c r="G55" s="481"/>
      <c r="H55" s="481"/>
      <c r="I55" s="467"/>
      <c r="J55" s="467"/>
      <c r="K55" s="1693">
        <f>SUM(C55:J55)</f>
        <v>143688</v>
      </c>
      <c r="L55" s="481">
        <v>144030</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125503</v>
      </c>
      <c r="D57" s="1695">
        <f t="shared" ref="D57:K57" si="6">SUM(D55:D56)</f>
        <v>14635</v>
      </c>
      <c r="E57" s="1695">
        <f t="shared" si="6"/>
        <v>1240</v>
      </c>
      <c r="F57" s="1695">
        <f t="shared" si="6"/>
        <v>2310</v>
      </c>
      <c r="G57" s="1695">
        <f t="shared" si="6"/>
        <v>0</v>
      </c>
      <c r="H57" s="1695">
        <f t="shared" si="6"/>
        <v>0</v>
      </c>
      <c r="I57" s="1695">
        <f t="shared" si="6"/>
        <v>0</v>
      </c>
      <c r="J57" s="1695">
        <f t="shared" si="6"/>
        <v>0</v>
      </c>
      <c r="K57" s="1695">
        <f t="shared" si="6"/>
        <v>143688</v>
      </c>
      <c r="L57" s="1691">
        <f>SUM(L55:L56)</f>
        <v>144030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91651</v>
      </c>
      <c r="D60" s="466">
        <v>5390</v>
      </c>
      <c r="E60" s="466">
        <v>16664</v>
      </c>
      <c r="F60" s="466">
        <v>4475</v>
      </c>
      <c r="G60" s="466"/>
      <c r="H60" s="466"/>
      <c r="I60" s="467"/>
      <c r="J60" s="467"/>
      <c r="K60" s="1693">
        <f t="shared" si="7"/>
        <v>118180</v>
      </c>
      <c r="L60" s="466">
        <v>119868</v>
      </c>
      <c r="M60" s="610"/>
      <c r="N60" s="610"/>
    </row>
    <row r="61" spans="1:14" s="343" customFormat="1" x14ac:dyDescent="0.2">
      <c r="A61" s="1526" t="s">
        <v>206</v>
      </c>
      <c r="B61" s="615">
        <v>2540</v>
      </c>
      <c r="C61" s="466"/>
      <c r="D61" s="466"/>
      <c r="E61" s="466"/>
      <c r="F61" s="466"/>
      <c r="G61" s="466"/>
      <c r="H61" s="466"/>
      <c r="I61" s="467"/>
      <c r="J61" s="467"/>
      <c r="K61" s="1693">
        <f t="shared" si="7"/>
        <v>0</v>
      </c>
      <c r="L61" s="466"/>
      <c r="M61" s="610"/>
      <c r="N61" s="610"/>
    </row>
    <row r="62" spans="1:14" s="343" customFormat="1" x14ac:dyDescent="0.2">
      <c r="A62" s="1526" t="s">
        <v>1010</v>
      </c>
      <c r="B62" s="615">
        <v>2550</v>
      </c>
      <c r="C62" s="466"/>
      <c r="D62" s="466"/>
      <c r="E62" s="466">
        <v>316</v>
      </c>
      <c r="F62" s="466"/>
      <c r="G62" s="466"/>
      <c r="H62" s="466"/>
      <c r="I62" s="467"/>
      <c r="J62" s="467"/>
      <c r="K62" s="1693">
        <f t="shared" si="7"/>
        <v>316</v>
      </c>
      <c r="L62" s="466">
        <v>316</v>
      </c>
      <c r="M62" s="610"/>
      <c r="N62" s="610"/>
    </row>
    <row r="63" spans="1:14" s="610" customFormat="1" x14ac:dyDescent="0.2">
      <c r="A63" s="1526" t="s">
        <v>102</v>
      </c>
      <c r="B63" s="615">
        <v>2560</v>
      </c>
      <c r="C63" s="466">
        <v>31528</v>
      </c>
      <c r="D63" s="466">
        <v>6092</v>
      </c>
      <c r="E63" s="466">
        <v>521</v>
      </c>
      <c r="F63" s="466">
        <v>45391</v>
      </c>
      <c r="G63" s="466">
        <v>6867</v>
      </c>
      <c r="H63" s="466">
        <v>100</v>
      </c>
      <c r="I63" s="467"/>
      <c r="J63" s="467"/>
      <c r="K63" s="1693">
        <f t="shared" si="7"/>
        <v>90499</v>
      </c>
      <c r="L63" s="466">
        <v>91272</v>
      </c>
    </row>
    <row r="64" spans="1:14" s="610" customFormat="1" x14ac:dyDescent="0.2">
      <c r="A64" s="1531" t="s">
        <v>103</v>
      </c>
      <c r="B64" s="631">
        <v>2570</v>
      </c>
      <c r="C64" s="481"/>
      <c r="D64" s="481"/>
      <c r="E64" s="481">
        <v>318</v>
      </c>
      <c r="F64" s="481"/>
      <c r="G64" s="481"/>
      <c r="H64" s="481"/>
      <c r="I64" s="467"/>
      <c r="J64" s="467"/>
      <c r="K64" s="1693">
        <f t="shared" si="7"/>
        <v>318</v>
      </c>
      <c r="L64" s="481">
        <v>350</v>
      </c>
    </row>
    <row r="65" spans="1:14" s="343" customFormat="1" ht="12.75" customHeight="1" thickBot="1" x14ac:dyDescent="0.25">
      <c r="A65" s="1689" t="s">
        <v>743</v>
      </c>
      <c r="B65" s="1690" t="s">
        <v>35</v>
      </c>
      <c r="C65" s="1691">
        <f>SUM(C59:C64)</f>
        <v>123179</v>
      </c>
      <c r="D65" s="1691">
        <f t="shared" ref="D65:L65" si="8">SUM(D59:D64)</f>
        <v>11482</v>
      </c>
      <c r="E65" s="1691">
        <f t="shared" si="8"/>
        <v>17819</v>
      </c>
      <c r="F65" s="1691">
        <f t="shared" si="8"/>
        <v>49866</v>
      </c>
      <c r="G65" s="1691">
        <f t="shared" si="8"/>
        <v>6867</v>
      </c>
      <c r="H65" s="1691">
        <f t="shared" si="8"/>
        <v>100</v>
      </c>
      <c r="I65" s="1691">
        <f t="shared" si="8"/>
        <v>0</v>
      </c>
      <c r="J65" s="1691">
        <f t="shared" si="8"/>
        <v>0</v>
      </c>
      <c r="K65" s="1691">
        <f t="shared" si="8"/>
        <v>209313</v>
      </c>
      <c r="L65" s="1691">
        <f t="shared" si="8"/>
        <v>211806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405545</v>
      </c>
      <c r="D74" s="1698">
        <f t="shared" ref="D74:K74" si="10">SUM(D42,D47,D53,D57,D65,D72,D73)</f>
        <v>43528</v>
      </c>
      <c r="E74" s="1698">
        <f t="shared" si="10"/>
        <v>110629</v>
      </c>
      <c r="F74" s="1698">
        <f t="shared" si="10"/>
        <v>56534</v>
      </c>
      <c r="G74" s="1698">
        <f t="shared" si="10"/>
        <v>7883</v>
      </c>
      <c r="H74" s="1698">
        <f t="shared" si="10"/>
        <v>2727</v>
      </c>
      <c r="I74" s="1698">
        <f t="shared" si="10"/>
        <v>0</v>
      </c>
      <c r="J74" s="1698">
        <f t="shared" si="10"/>
        <v>0</v>
      </c>
      <c r="K74" s="1698">
        <f t="shared" si="10"/>
        <v>626846</v>
      </c>
      <c r="L74" s="1698">
        <f>SUM(L42,L47,L53,L57,L65,L72,L73)</f>
        <v>630405</v>
      </c>
    </row>
    <row r="75" spans="1:14" s="259" customFormat="1" ht="15.75" customHeight="1" thickTop="1" thickBot="1" x14ac:dyDescent="0.25">
      <c r="A75" s="1632" t="s">
        <v>49</v>
      </c>
      <c r="B75" s="1633" t="s">
        <v>596</v>
      </c>
      <c r="C75" s="573"/>
      <c r="D75" s="573"/>
      <c r="E75" s="573"/>
      <c r="F75" s="573">
        <v>517</v>
      </c>
      <c r="G75" s="573"/>
      <c r="H75" s="573"/>
      <c r="I75" s="531"/>
      <c r="J75" s="531"/>
      <c r="K75" s="1691">
        <f>SUM(C75:J75)</f>
        <v>517</v>
      </c>
      <c r="L75" s="576">
        <v>517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c r="F79" s="617"/>
      <c r="G79" s="617"/>
      <c r="H79" s="466">
        <v>212314</v>
      </c>
      <c r="I79" s="477"/>
      <c r="J79" s="477"/>
      <c r="K79" s="1692">
        <f t="shared" si="11"/>
        <v>212314</v>
      </c>
      <c r="L79" s="466">
        <v>212314</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v>5195</v>
      </c>
      <c r="I81" s="477"/>
      <c r="J81" s="477"/>
      <c r="K81" s="1692">
        <f t="shared" si="11"/>
        <v>5195</v>
      </c>
      <c r="L81" s="466">
        <v>5195</v>
      </c>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v>6900</v>
      </c>
      <c r="I83" s="477"/>
      <c r="J83" s="477"/>
      <c r="K83" s="1692">
        <f t="shared" si="11"/>
        <v>6900</v>
      </c>
      <c r="L83" s="466">
        <v>6900</v>
      </c>
    </row>
    <row r="84" spans="1:12" ht="13.5" thickBot="1" x14ac:dyDescent="0.25">
      <c r="A84" s="1689" t="s">
        <v>1565</v>
      </c>
      <c r="B84" s="1699">
        <v>4100</v>
      </c>
      <c r="C84" s="617"/>
      <c r="D84" s="617"/>
      <c r="E84" s="1691">
        <f>SUM(E78:E83)</f>
        <v>0</v>
      </c>
      <c r="F84" s="617"/>
      <c r="G84" s="617"/>
      <c r="H84" s="1691">
        <f>SUM(H78:H83)</f>
        <v>224409</v>
      </c>
      <c r="I84" s="477"/>
      <c r="J84" s="477"/>
      <c r="K84" s="1691">
        <f>SUM(K78:K83)</f>
        <v>224409</v>
      </c>
      <c r="L84" s="1691">
        <f>SUM(L78:L83)</f>
        <v>224409</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c r="I86" s="477"/>
      <c r="J86" s="477"/>
      <c r="K86" s="1698">
        <f t="shared" ref="K86:K98" si="12">H86</f>
        <v>0</v>
      </c>
      <c r="L86" s="530"/>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224409</v>
      </c>
      <c r="I102" s="477"/>
      <c r="J102" s="477"/>
      <c r="K102" s="1698">
        <f>SUM(K84,K92,K100,K101)</f>
        <v>224409</v>
      </c>
      <c r="L102" s="1698">
        <f>SUM(L84,L92,L100,L101)</f>
        <v>224409</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1515988</v>
      </c>
      <c r="D114" s="1691">
        <f t="shared" ref="D114:K114" si="13">SUM(D33,D74,D75,D102,D112,D113)</f>
        <v>130753</v>
      </c>
      <c r="E114" s="1691">
        <f t="shared" si="13"/>
        <v>143004</v>
      </c>
      <c r="F114" s="1691">
        <f t="shared" si="13"/>
        <v>72297</v>
      </c>
      <c r="G114" s="1691">
        <f t="shared" si="13"/>
        <v>15781</v>
      </c>
      <c r="H114" s="1691">
        <f>SUM(H33,H74,H75,H102,H112,H113)</f>
        <v>227376</v>
      </c>
      <c r="I114" s="1691">
        <f t="shared" si="13"/>
        <v>0</v>
      </c>
      <c r="J114" s="1691">
        <f t="shared" si="13"/>
        <v>0</v>
      </c>
      <c r="K114" s="1691">
        <f t="shared" si="13"/>
        <v>2105199</v>
      </c>
      <c r="L114" s="1691">
        <f>SUM(L33,L74,L75,L102,L112,L113)</f>
        <v>2114480</v>
      </c>
    </row>
    <row r="115" spans="1:14" ht="13.5" thickTop="1" x14ac:dyDescent="0.2">
      <c r="A115" s="2195" t="s">
        <v>1053</v>
      </c>
      <c r="B115" s="2196"/>
      <c r="C115" s="619"/>
      <c r="D115" s="619"/>
      <c r="E115" s="619"/>
      <c r="F115" s="619"/>
      <c r="G115" s="619"/>
      <c r="H115" s="619"/>
      <c r="I115" s="619"/>
      <c r="J115" s="619"/>
      <c r="K115" s="1705">
        <f>'Revenues 9-14'!C275-'Expenditures 15-22'!K114</f>
        <v>198082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314</v>
      </c>
      <c r="B117" s="217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v>7914</v>
      </c>
      <c r="F123" s="466"/>
      <c r="G123" s="466"/>
      <c r="H123" s="466"/>
      <c r="I123" s="467"/>
      <c r="J123" s="467"/>
      <c r="K123" s="1691">
        <f>SUM(C123:J123)</f>
        <v>7914</v>
      </c>
      <c r="L123" s="466">
        <v>7920</v>
      </c>
    </row>
    <row r="124" spans="1:14" ht="14.25" thickTop="1" thickBot="1" x14ac:dyDescent="0.25">
      <c r="A124" s="1526" t="s">
        <v>206</v>
      </c>
      <c r="B124" s="615">
        <v>2540</v>
      </c>
      <c r="C124" s="466">
        <v>89343</v>
      </c>
      <c r="D124" s="466">
        <v>7092</v>
      </c>
      <c r="E124" s="466">
        <v>53494</v>
      </c>
      <c r="F124" s="466">
        <v>64384</v>
      </c>
      <c r="G124" s="466">
        <v>117196</v>
      </c>
      <c r="H124" s="466"/>
      <c r="I124" s="467"/>
      <c r="J124" s="467"/>
      <c r="K124" s="1691">
        <f>SUM(C124:J124)</f>
        <v>331509</v>
      </c>
      <c r="L124" s="466">
        <v>334327</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89343</v>
      </c>
      <c r="D127" s="1691">
        <f t="shared" ref="D127:L127" si="14">SUM(D122:D126)</f>
        <v>7092</v>
      </c>
      <c r="E127" s="1691">
        <f t="shared" si="14"/>
        <v>61408</v>
      </c>
      <c r="F127" s="1691">
        <f t="shared" si="14"/>
        <v>64384</v>
      </c>
      <c r="G127" s="1691">
        <f t="shared" si="14"/>
        <v>117196</v>
      </c>
      <c r="H127" s="1691">
        <f t="shared" si="14"/>
        <v>0</v>
      </c>
      <c r="I127" s="1691">
        <f t="shared" si="14"/>
        <v>0</v>
      </c>
      <c r="J127" s="1691">
        <f t="shared" si="14"/>
        <v>0</v>
      </c>
      <c r="K127" s="1691">
        <f t="shared" si="14"/>
        <v>339423</v>
      </c>
      <c r="L127" s="1691">
        <f t="shared" si="14"/>
        <v>342247</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89343</v>
      </c>
      <c r="D129" s="1698">
        <f t="shared" ref="D129:L129" si="15">SUM(D120,D127,D128)</f>
        <v>7092</v>
      </c>
      <c r="E129" s="1698">
        <f t="shared" si="15"/>
        <v>61408</v>
      </c>
      <c r="F129" s="1698">
        <f t="shared" si="15"/>
        <v>64384</v>
      </c>
      <c r="G129" s="1698">
        <f t="shared" si="15"/>
        <v>117196</v>
      </c>
      <c r="H129" s="1698">
        <f t="shared" si="15"/>
        <v>0</v>
      </c>
      <c r="I129" s="1698">
        <f t="shared" si="15"/>
        <v>0</v>
      </c>
      <c r="J129" s="1698">
        <f t="shared" si="15"/>
        <v>0</v>
      </c>
      <c r="K129" s="1698">
        <f t="shared" si="15"/>
        <v>339423</v>
      </c>
      <c r="L129" s="1698">
        <f t="shared" si="15"/>
        <v>342247</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5" t="s">
        <v>641</v>
      </c>
      <c r="B151" s="2167"/>
      <c r="C151" s="1691">
        <f>SUM(C129,C130,C139,C149,C150)</f>
        <v>89343</v>
      </c>
      <c r="D151" s="1691">
        <f t="shared" ref="D151:K151" si="16">SUM(D129,D130,D139,D149,D150)</f>
        <v>7092</v>
      </c>
      <c r="E151" s="1691">
        <f t="shared" si="16"/>
        <v>61408</v>
      </c>
      <c r="F151" s="1691">
        <f t="shared" si="16"/>
        <v>64384</v>
      </c>
      <c r="G151" s="1691">
        <f t="shared" si="16"/>
        <v>117196</v>
      </c>
      <c r="H151" s="1691">
        <f t="shared" si="16"/>
        <v>0</v>
      </c>
      <c r="I151" s="1691">
        <f t="shared" si="16"/>
        <v>0</v>
      </c>
      <c r="J151" s="1691">
        <f t="shared" si="16"/>
        <v>0</v>
      </c>
      <c r="K151" s="1691">
        <f t="shared" si="16"/>
        <v>339423</v>
      </c>
      <c r="L151" s="1691">
        <f>SUM(L129,L130,L139,L149,L150)</f>
        <v>342247</v>
      </c>
    </row>
    <row r="152" spans="1:14" ht="12.75" customHeight="1" thickTop="1" x14ac:dyDescent="0.2">
      <c r="A152" s="2188" t="s">
        <v>1240</v>
      </c>
      <c r="B152" s="2189"/>
      <c r="C152" s="619"/>
      <c r="D152" s="619"/>
      <c r="E152" s="619"/>
      <c r="F152" s="619"/>
      <c r="G152" s="619"/>
      <c r="H152" s="619"/>
      <c r="I152" s="619"/>
      <c r="J152" s="617"/>
      <c r="K152" s="1705">
        <f>'Revenues 9-14'!D275-'Expenditures 15-22'!K151</f>
        <v>-79294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642</v>
      </c>
      <c r="B154" s="217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c r="I169" s="617"/>
      <c r="J169" s="617"/>
      <c r="K169" s="1692">
        <f>SUM(C169:H169)</f>
        <v>0</v>
      </c>
      <c r="L169" s="657"/>
    </row>
    <row r="170" spans="1:14" ht="33.75" customHeight="1" x14ac:dyDescent="0.2">
      <c r="A170" s="670" t="s">
        <v>1769</v>
      </c>
      <c r="B170" s="672" t="s">
        <v>31</v>
      </c>
      <c r="C170" s="617"/>
      <c r="D170" s="617"/>
      <c r="E170" s="617"/>
      <c r="F170" s="617"/>
      <c r="G170" s="617"/>
      <c r="H170" s="569"/>
      <c r="I170" s="617"/>
      <c r="J170" s="617"/>
      <c r="K170" s="1692">
        <f>SUM(C170:J170)</f>
        <v>0</v>
      </c>
      <c r="L170" s="569"/>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95" t="s">
        <v>1053</v>
      </c>
      <c r="B175" s="2196"/>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85312</v>
      </c>
      <c r="D182" s="466">
        <v>6160</v>
      </c>
      <c r="E182" s="466">
        <v>9180</v>
      </c>
      <c r="F182" s="466">
        <v>20893</v>
      </c>
      <c r="G182" s="466"/>
      <c r="H182" s="466"/>
      <c r="I182" s="467"/>
      <c r="J182" s="467"/>
      <c r="K182" s="1692">
        <f>SUM(C182:J182)</f>
        <v>121545</v>
      </c>
      <c r="L182" s="466">
        <v>122691</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85312</v>
      </c>
      <c r="D184" s="1698">
        <f t="shared" ref="D184:J184" si="17">SUM(D180,D182,D183)</f>
        <v>6160</v>
      </c>
      <c r="E184" s="1698">
        <f t="shared" si="17"/>
        <v>9180</v>
      </c>
      <c r="F184" s="1698">
        <f t="shared" si="17"/>
        <v>20893</v>
      </c>
      <c r="G184" s="1698">
        <f t="shared" si="17"/>
        <v>0</v>
      </c>
      <c r="H184" s="1698">
        <f t="shared" si="17"/>
        <v>0</v>
      </c>
      <c r="I184" s="1698">
        <f t="shared" si="17"/>
        <v>0</v>
      </c>
      <c r="J184" s="1698">
        <f t="shared" si="17"/>
        <v>0</v>
      </c>
      <c r="K184" s="1698">
        <f>SUM(K180,K182,K183)</f>
        <v>121545</v>
      </c>
      <c r="L184" s="1698">
        <f>SUM(L180, L182:L183)</f>
        <v>122691</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85312</v>
      </c>
      <c r="D210" s="1691">
        <f>SUM(D184,D185)</f>
        <v>6160</v>
      </c>
      <c r="E210" s="1691">
        <f>SUM(E184,E185,E196)</f>
        <v>9180</v>
      </c>
      <c r="F210" s="1691">
        <f>SUM(F184,F185)</f>
        <v>20893</v>
      </c>
      <c r="G210" s="1691">
        <f>SUM(G184,G185)</f>
        <v>0</v>
      </c>
      <c r="H210" s="1691">
        <f>SUM(H184,H185,H196,H208,H209)</f>
        <v>0</v>
      </c>
      <c r="I210" s="1691">
        <f>SUM(I184,I185)</f>
        <v>0</v>
      </c>
      <c r="J210" s="1691">
        <f>SUM(J184,J185)</f>
        <v>0</v>
      </c>
      <c r="K210" s="1692">
        <f>SUM(K184,K185,K196,K208,K209)</f>
        <v>121545</v>
      </c>
      <c r="L210" s="1691">
        <f>SUM(L184,L185,L196,L208,L209)</f>
        <v>122691</v>
      </c>
    </row>
    <row r="211" spans="1:14" ht="13.5" thickTop="1" x14ac:dyDescent="0.2">
      <c r="A211" s="2195" t="s">
        <v>1053</v>
      </c>
      <c r="B211" s="2196"/>
      <c r="C211" s="619"/>
      <c r="D211" s="619"/>
      <c r="E211" s="619"/>
      <c r="F211" s="619"/>
      <c r="G211" s="619"/>
      <c r="H211" s="619"/>
      <c r="I211" s="617"/>
      <c r="J211" s="617"/>
      <c r="K211" s="1705">
        <f>'Revenues 9-14'!F275-'Expenditures 15-22'!K210</f>
        <v>166231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1022</v>
      </c>
      <c r="B213" s="219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17550</v>
      </c>
      <c r="E215" s="617"/>
      <c r="F215" s="617"/>
      <c r="G215" s="617"/>
      <c r="H215" s="617"/>
      <c r="I215" s="617"/>
      <c r="J215" s="617"/>
      <c r="K215" s="1692">
        <f>D215</f>
        <v>17550</v>
      </c>
      <c r="L215" s="466">
        <v>17068</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2916</v>
      </c>
      <c r="E217" s="617"/>
      <c r="F217" s="617"/>
      <c r="G217" s="617"/>
      <c r="H217" s="617"/>
      <c r="I217" s="617"/>
      <c r="J217" s="617"/>
      <c r="K217" s="1692">
        <f t="shared" si="19"/>
        <v>2916</v>
      </c>
      <c r="L217" s="466">
        <v>2990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c r="E219" s="617"/>
      <c r="F219" s="617"/>
      <c r="G219" s="617"/>
      <c r="H219" s="617"/>
      <c r="I219" s="617"/>
      <c r="J219" s="617"/>
      <c r="K219" s="1692">
        <f t="shared" si="19"/>
        <v>0</v>
      </c>
      <c r="L219" s="466"/>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v>5</v>
      </c>
      <c r="E222" s="617"/>
      <c r="F222" s="617"/>
      <c r="G222" s="617"/>
      <c r="H222" s="617"/>
      <c r="I222" s="617"/>
      <c r="J222" s="617"/>
      <c r="K222" s="1692">
        <f t="shared" si="19"/>
        <v>5</v>
      </c>
      <c r="L222" s="466">
        <v>6</v>
      </c>
    </row>
    <row r="223" spans="1:14" x14ac:dyDescent="0.2">
      <c r="A223" s="1526" t="s">
        <v>1020</v>
      </c>
      <c r="B223" s="615">
        <v>1500</v>
      </c>
      <c r="C223" s="617"/>
      <c r="D223" s="466">
        <v>1451</v>
      </c>
      <c r="E223" s="617"/>
      <c r="F223" s="617"/>
      <c r="G223" s="617"/>
      <c r="H223" s="617"/>
      <c r="I223" s="617"/>
      <c r="J223" s="617"/>
      <c r="K223" s="1692">
        <f t="shared" si="19"/>
        <v>1451</v>
      </c>
      <c r="L223" s="466">
        <v>1465</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21922</v>
      </c>
      <c r="E229" s="617"/>
      <c r="F229" s="617"/>
      <c r="G229" s="617"/>
      <c r="H229" s="617"/>
      <c r="I229" s="617"/>
      <c r="J229" s="617"/>
      <c r="K229" s="1691">
        <f>SUM(K215:K228)</f>
        <v>21922</v>
      </c>
      <c r="L229" s="1691">
        <f>SUM(L215:L228)</f>
        <v>21529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v>583</v>
      </c>
      <c r="E233" s="617"/>
      <c r="F233" s="617"/>
      <c r="G233" s="617"/>
      <c r="H233" s="617"/>
      <c r="I233" s="617"/>
      <c r="J233" s="617"/>
      <c r="K233" s="1692">
        <f t="shared" si="20"/>
        <v>583</v>
      </c>
      <c r="L233" s="466">
        <v>585</v>
      </c>
    </row>
    <row r="234" spans="1:12" x14ac:dyDescent="0.2">
      <c r="A234" s="1526" t="s">
        <v>207</v>
      </c>
      <c r="B234" s="615">
        <v>2130</v>
      </c>
      <c r="C234" s="617"/>
      <c r="D234" s="466">
        <v>1290</v>
      </c>
      <c r="E234" s="617"/>
      <c r="F234" s="617"/>
      <c r="G234" s="617"/>
      <c r="H234" s="617"/>
      <c r="I234" s="617"/>
      <c r="J234" s="617"/>
      <c r="K234" s="1692">
        <f t="shared" si="20"/>
        <v>1290</v>
      </c>
      <c r="L234" s="466">
        <v>1300</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1873</v>
      </c>
      <c r="E238" s="617"/>
      <c r="F238" s="617"/>
      <c r="G238" s="617"/>
      <c r="H238" s="617"/>
      <c r="I238" s="617"/>
      <c r="J238" s="617"/>
      <c r="K238" s="1691">
        <f>SUM(K232:K237)</f>
        <v>1873</v>
      </c>
      <c r="L238" s="1691">
        <f>SUM(L232:L237)</f>
        <v>1885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24</v>
      </c>
      <c r="E240" s="617"/>
      <c r="F240" s="617"/>
      <c r="G240" s="617"/>
      <c r="H240" s="617"/>
      <c r="I240" s="617"/>
      <c r="J240" s="617"/>
      <c r="K240" s="1693">
        <f>D240</f>
        <v>24</v>
      </c>
      <c r="L240" s="481">
        <v>26</v>
      </c>
    </row>
    <row r="241" spans="1:12" x14ac:dyDescent="0.2">
      <c r="A241" s="1526" t="s">
        <v>869</v>
      </c>
      <c r="B241" s="615">
        <v>2220</v>
      </c>
      <c r="C241" s="617"/>
      <c r="D241" s="466">
        <v>1379</v>
      </c>
      <c r="E241" s="617"/>
      <c r="F241" s="617"/>
      <c r="G241" s="617"/>
      <c r="H241" s="617"/>
      <c r="I241" s="617"/>
      <c r="J241" s="617"/>
      <c r="K241" s="1693">
        <f>D241</f>
        <v>1379</v>
      </c>
      <c r="L241" s="466">
        <v>1400</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1403</v>
      </c>
      <c r="E243" s="617"/>
      <c r="F243" s="617"/>
      <c r="G243" s="617"/>
      <c r="H243" s="617"/>
      <c r="I243" s="617"/>
      <c r="J243" s="617"/>
      <c r="K243" s="1691">
        <f>SUM(K240:K242)</f>
        <v>1403</v>
      </c>
      <c r="L243" s="1691">
        <f>SUM(L240:L242)</f>
        <v>1426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303</v>
      </c>
      <c r="E245" s="617"/>
      <c r="F245" s="617"/>
      <c r="G245" s="617"/>
      <c r="H245" s="617"/>
      <c r="I245" s="617"/>
      <c r="J245" s="617"/>
      <c r="K245" s="1693">
        <f>D245</f>
        <v>303</v>
      </c>
      <c r="L245" s="481">
        <v>310</v>
      </c>
    </row>
    <row r="246" spans="1:12" x14ac:dyDescent="0.2">
      <c r="A246" s="1526" t="s">
        <v>872</v>
      </c>
      <c r="B246" s="615">
        <v>2320</v>
      </c>
      <c r="C246" s="617"/>
      <c r="D246" s="466">
        <v>1258</v>
      </c>
      <c r="E246" s="617"/>
      <c r="F246" s="617"/>
      <c r="G246" s="617"/>
      <c r="H246" s="617"/>
      <c r="I246" s="617"/>
      <c r="J246" s="617"/>
      <c r="K246" s="1693">
        <f t="shared" ref="K246:K256" si="21">D246</f>
        <v>1258</v>
      </c>
      <c r="L246" s="466">
        <v>1260</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v>13</v>
      </c>
      <c r="E252" s="617"/>
      <c r="F252" s="617"/>
      <c r="G252" s="617"/>
      <c r="H252" s="617"/>
      <c r="I252" s="617"/>
      <c r="J252" s="617"/>
      <c r="K252" s="1693">
        <f t="shared" si="21"/>
        <v>13</v>
      </c>
      <c r="L252" s="466">
        <v>20</v>
      </c>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1574</v>
      </c>
      <c r="E257" s="617"/>
      <c r="F257" s="617"/>
      <c r="G257" s="617"/>
      <c r="H257" s="617"/>
      <c r="I257" s="617"/>
      <c r="J257" s="617"/>
      <c r="K257" s="1691">
        <f>SUM(K245:K256)</f>
        <v>1574</v>
      </c>
      <c r="L257" s="1691">
        <f>SUM(L245:L256)</f>
        <v>1590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8585</v>
      </c>
      <c r="E259" s="617"/>
      <c r="F259" s="617"/>
      <c r="G259" s="617"/>
      <c r="H259" s="617"/>
      <c r="I259" s="617"/>
      <c r="J259" s="617"/>
      <c r="K259" s="1693">
        <f>D259</f>
        <v>8585</v>
      </c>
      <c r="L259" s="481">
        <v>8615</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8585</v>
      </c>
      <c r="E261" s="617"/>
      <c r="F261" s="617"/>
      <c r="G261" s="617"/>
      <c r="H261" s="617"/>
      <c r="I261" s="617"/>
      <c r="J261" s="617"/>
      <c r="K261" s="1691">
        <f>SUM(K259:K260)</f>
        <v>8585</v>
      </c>
      <c r="L261" s="1691">
        <f>SUM(L259:L260)</f>
        <v>8615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16369</v>
      </c>
      <c r="E264" s="617"/>
      <c r="F264" s="617"/>
      <c r="G264" s="617"/>
      <c r="H264" s="617"/>
      <c r="I264" s="617"/>
      <c r="J264" s="617"/>
      <c r="K264" s="1693">
        <f t="shared" ref="K264:K269" si="22">D264</f>
        <v>16369</v>
      </c>
      <c r="L264" s="466">
        <v>16520</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14842</v>
      </c>
      <c r="E266" s="617"/>
      <c r="F266" s="617"/>
      <c r="G266" s="617"/>
      <c r="H266" s="617"/>
      <c r="I266" s="617"/>
      <c r="J266" s="617"/>
      <c r="K266" s="1693">
        <f t="shared" si="22"/>
        <v>14842</v>
      </c>
      <c r="L266" s="466">
        <v>14905</v>
      </c>
    </row>
    <row r="267" spans="1:14" x14ac:dyDescent="0.2">
      <c r="A267" s="1526" t="s">
        <v>1010</v>
      </c>
      <c r="B267" s="615">
        <v>2550</v>
      </c>
      <c r="C267" s="617"/>
      <c r="D267" s="466">
        <v>14565</v>
      </c>
      <c r="E267" s="617"/>
      <c r="F267" s="617"/>
      <c r="G267" s="617"/>
      <c r="H267" s="617"/>
      <c r="I267" s="617"/>
      <c r="J267" s="617"/>
      <c r="K267" s="1693">
        <f t="shared" si="22"/>
        <v>14565</v>
      </c>
      <c r="L267" s="466">
        <v>14615</v>
      </c>
    </row>
    <row r="268" spans="1:14" x14ac:dyDescent="0.2">
      <c r="A268" s="1526" t="s">
        <v>102</v>
      </c>
      <c r="B268" s="615">
        <v>2560</v>
      </c>
      <c r="C268" s="617"/>
      <c r="D268" s="466">
        <v>5589</v>
      </c>
      <c r="E268" s="617"/>
      <c r="F268" s="617"/>
      <c r="G268" s="617"/>
      <c r="H268" s="617"/>
      <c r="I268" s="617"/>
      <c r="J268" s="617"/>
      <c r="K268" s="1693">
        <f t="shared" si="22"/>
        <v>5589</v>
      </c>
      <c r="L268" s="466">
        <v>5650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51365</v>
      </c>
      <c r="E270" s="617"/>
      <c r="F270" s="617"/>
      <c r="G270" s="617"/>
      <c r="H270" s="617"/>
      <c r="I270" s="617"/>
      <c r="J270" s="617"/>
      <c r="K270" s="1691">
        <f>SUM(K263:K269)</f>
        <v>51365</v>
      </c>
      <c r="L270" s="1691">
        <f>SUM(L263:L269)</f>
        <v>51690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v>4</v>
      </c>
      <c r="E275" s="617"/>
      <c r="F275" s="617"/>
      <c r="G275" s="617"/>
      <c r="H275" s="617"/>
      <c r="I275" s="617"/>
      <c r="J275" s="617"/>
      <c r="K275" s="1693">
        <f>D275</f>
        <v>4</v>
      </c>
      <c r="L275" s="466">
        <v>4</v>
      </c>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4</v>
      </c>
      <c r="E277" s="617"/>
      <c r="F277" s="617"/>
      <c r="G277" s="617"/>
      <c r="H277" s="617"/>
      <c r="I277" s="617"/>
      <c r="J277" s="617"/>
      <c r="K277" s="1691">
        <f>SUM(K272:K276)</f>
        <v>4</v>
      </c>
      <c r="L277" s="1691">
        <f>SUM(L272:L276)</f>
        <v>4</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64804</v>
      </c>
      <c r="E279" s="617"/>
      <c r="F279" s="617"/>
      <c r="G279" s="617"/>
      <c r="H279" s="617"/>
      <c r="I279" s="617"/>
      <c r="J279" s="617"/>
      <c r="K279" s="1698">
        <f>SUM(K238,K243,K257,K261,K270,K277,K278)</f>
        <v>64804</v>
      </c>
      <c r="L279" s="1698">
        <f>SUM(L238,L243,L257,L261,L270,L277,L278)</f>
        <v>65210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6" t="s">
        <v>526</v>
      </c>
      <c r="B295" s="2187"/>
      <c r="C295" s="617"/>
      <c r="D295" s="1691">
        <f>SUM(D229,D279,D280,D285)</f>
        <v>86726</v>
      </c>
      <c r="E295" s="617"/>
      <c r="F295" s="617"/>
      <c r="G295" s="617"/>
      <c r="H295" s="1691">
        <f>H293</f>
        <v>0</v>
      </c>
      <c r="I295" s="617"/>
      <c r="J295" s="617"/>
      <c r="K295" s="1691">
        <f>SUM(K229,K279,K280,K285,K293,K294)</f>
        <v>86726</v>
      </c>
      <c r="L295" s="1691">
        <f>SUM(L229,L279,L280,L285,L293,L294)</f>
        <v>86739</v>
      </c>
    </row>
    <row r="296" spans="1:14" ht="13.5" thickTop="1" x14ac:dyDescent="0.2">
      <c r="A296" s="2195" t="s">
        <v>1053</v>
      </c>
      <c r="B296" s="2196"/>
      <c r="C296" s="617"/>
      <c r="D296" s="619"/>
      <c r="E296" s="617"/>
      <c r="F296" s="617"/>
      <c r="G296" s="617"/>
      <c r="H296" s="688"/>
      <c r="I296" s="617"/>
      <c r="J296" s="617"/>
      <c r="K296" s="1705">
        <f>'Revenues 9-14'!G275-'Expenditures 15-22'!K295</f>
        <v>-13548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3" t="s">
        <v>295</v>
      </c>
      <c r="B312" s="2184"/>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79" t="s">
        <v>1053</v>
      </c>
      <c r="B313" s="2180"/>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954</v>
      </c>
      <c r="B317" s="219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2">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1" t="s">
        <v>1053</v>
      </c>
      <c r="B343" s="2182"/>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1023</v>
      </c>
      <c r="B345" s="217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38675</v>
      </c>
      <c r="H348" s="466"/>
      <c r="I348" s="467"/>
      <c r="J348" s="467"/>
      <c r="K348" s="1692">
        <f>SUM(C348:J348)</f>
        <v>38675</v>
      </c>
      <c r="L348" s="466">
        <v>38742</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38675</v>
      </c>
      <c r="H350" s="1691">
        <f t="shared" si="26"/>
        <v>0</v>
      </c>
      <c r="I350" s="1691">
        <f t="shared" si="26"/>
        <v>0</v>
      </c>
      <c r="J350" s="1691">
        <f t="shared" si="26"/>
        <v>0</v>
      </c>
      <c r="K350" s="1691">
        <f t="shared" si="26"/>
        <v>38675</v>
      </c>
      <c r="L350" s="1691">
        <f t="shared" si="26"/>
        <v>38742</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38675</v>
      </c>
      <c r="H352" s="1691">
        <f t="shared" si="27"/>
        <v>0</v>
      </c>
      <c r="I352" s="1691">
        <f t="shared" si="27"/>
        <v>0</v>
      </c>
      <c r="J352" s="1691">
        <f t="shared" si="27"/>
        <v>0</v>
      </c>
      <c r="K352" s="1691">
        <f t="shared" si="27"/>
        <v>38675</v>
      </c>
      <c r="L352" s="1691">
        <f t="shared" si="27"/>
        <v>38742</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38675</v>
      </c>
      <c r="H367" s="1691">
        <f t="shared" si="28"/>
        <v>0</v>
      </c>
      <c r="I367" s="1691">
        <f t="shared" si="28"/>
        <v>0</v>
      </c>
      <c r="J367" s="1691">
        <f t="shared" si="28"/>
        <v>0</v>
      </c>
      <c r="K367" s="1691">
        <f t="shared" si="28"/>
        <v>38675</v>
      </c>
      <c r="L367" s="1691">
        <f t="shared" si="28"/>
        <v>38742</v>
      </c>
    </row>
    <row r="368" spans="1:14" ht="13.5" thickTop="1" x14ac:dyDescent="0.2">
      <c r="A368" s="2195" t="s">
        <v>1053</v>
      </c>
      <c r="B368" s="2196"/>
      <c r="C368" s="655"/>
      <c r="D368" s="655"/>
      <c r="E368" s="627"/>
      <c r="F368" s="627"/>
      <c r="G368" s="627"/>
      <c r="H368" s="627"/>
      <c r="I368" s="627"/>
      <c r="J368" s="624"/>
      <c r="K368" s="1692">
        <f>'Revenues 9-14'!K275-'Expenditures 15-22'!K367</f>
        <v>-5500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15" sqref="T15:AA1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7" t="s">
        <v>1905</v>
      </c>
      <c r="B2" s="1550" t="s">
        <v>2037</v>
      </c>
      <c r="C2" s="715" t="s">
        <v>1910</v>
      </c>
      <c r="D2" s="715" t="s">
        <v>1911</v>
      </c>
      <c r="E2" s="715" t="s">
        <v>1912</v>
      </c>
      <c r="F2" s="715" t="s">
        <v>1913</v>
      </c>
    </row>
    <row r="3" spans="1:6" ht="12" customHeight="1" x14ac:dyDescent="0.2">
      <c r="A3" s="2198"/>
      <c r="B3" s="1547"/>
      <c r="C3" s="1548"/>
      <c r="D3" s="1549" t="s">
        <v>274</v>
      </c>
      <c r="E3" s="1548"/>
      <c r="F3" s="1549" t="s">
        <v>275</v>
      </c>
    </row>
    <row r="4" spans="1:6" ht="13.7" customHeight="1" x14ac:dyDescent="0.2">
      <c r="A4" s="716" t="s">
        <v>1217</v>
      </c>
      <c r="B4" s="1770">
        <f>'Revenues 9-14'!C5</f>
        <v>1344728</v>
      </c>
      <c r="C4" s="1546"/>
      <c r="D4" s="1773">
        <f>B4-C4</f>
        <v>1344728</v>
      </c>
      <c r="E4" s="1546">
        <v>1391545</v>
      </c>
      <c r="F4" s="1773">
        <f>E4-C4</f>
        <v>1391545</v>
      </c>
    </row>
    <row r="5" spans="1:6" ht="13.7" customHeight="1" x14ac:dyDescent="0.2">
      <c r="A5" s="716" t="s">
        <v>925</v>
      </c>
      <c r="B5" s="1771">
        <f>'Revenues 9-14'!D5</f>
        <v>233120</v>
      </c>
      <c r="C5" s="585"/>
      <c r="D5" s="1774">
        <f t="shared" ref="D5:D18" si="0">B5-C5</f>
        <v>233120</v>
      </c>
      <c r="E5" s="585">
        <v>230757</v>
      </c>
      <c r="F5" s="1774">
        <f>E5-C5</f>
        <v>230757</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170317</v>
      </c>
      <c r="C7" s="585"/>
      <c r="D7" s="1774">
        <f t="shared" si="0"/>
        <v>170317</v>
      </c>
      <c r="E7" s="585">
        <v>168591</v>
      </c>
      <c r="F7" s="1774">
        <f t="shared" si="1"/>
        <v>168591</v>
      </c>
    </row>
    <row r="8" spans="1:6" ht="13.7" customHeight="1" x14ac:dyDescent="0.2">
      <c r="A8" s="716" t="s">
        <v>1241</v>
      </c>
      <c r="B8" s="1771">
        <f>'Revenues 9-14'!G5</f>
        <v>35852</v>
      </c>
      <c r="C8" s="585"/>
      <c r="D8" s="1774">
        <f t="shared" si="0"/>
        <v>35852</v>
      </c>
      <c r="E8" s="585">
        <v>35517</v>
      </c>
      <c r="F8" s="1774">
        <f t="shared" si="1"/>
        <v>35517</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14341</v>
      </c>
      <c r="C10" s="585"/>
      <c r="D10" s="1774">
        <f t="shared" si="0"/>
        <v>14341</v>
      </c>
      <c r="E10" s="585">
        <v>14215</v>
      </c>
      <c r="F10" s="1774">
        <f t="shared" si="1"/>
        <v>14215</v>
      </c>
    </row>
    <row r="11" spans="1:6" x14ac:dyDescent="0.2">
      <c r="A11" s="716" t="s">
        <v>429</v>
      </c>
      <c r="B11" s="1771">
        <f>'Revenues 9-14'!J5</f>
        <v>0</v>
      </c>
      <c r="C11" s="585"/>
      <c r="D11" s="1774">
        <f t="shared" si="0"/>
        <v>0</v>
      </c>
      <c r="E11" s="585"/>
      <c r="F11" s="1774">
        <f t="shared" si="1"/>
        <v>0</v>
      </c>
    </row>
    <row r="12" spans="1:6" ht="13.7" customHeight="1" x14ac:dyDescent="0.2">
      <c r="A12" s="716" t="s">
        <v>159</v>
      </c>
      <c r="B12" s="1771">
        <f>'Revenues 9-14'!K5</f>
        <v>32307</v>
      </c>
      <c r="C12" s="585"/>
      <c r="D12" s="1774">
        <f t="shared" si="0"/>
        <v>32307</v>
      </c>
      <c r="E12" s="585">
        <v>31953</v>
      </c>
      <c r="F12" s="1774">
        <f t="shared" si="1"/>
        <v>31953</v>
      </c>
    </row>
    <row r="13" spans="1:6" ht="13.7" customHeight="1" x14ac:dyDescent="0.2">
      <c r="A13" s="716" t="s">
        <v>993</v>
      </c>
      <c r="B13" s="1771">
        <f>SUM('Revenues 9-14'!C6:D6)</f>
        <v>14341</v>
      </c>
      <c r="C13" s="585"/>
      <c r="D13" s="1774">
        <f t="shared" si="0"/>
        <v>14341</v>
      </c>
      <c r="E13" s="585">
        <v>14215</v>
      </c>
      <c r="F13" s="1774">
        <f t="shared" si="1"/>
        <v>14215</v>
      </c>
    </row>
    <row r="14" spans="1:6" ht="13.7" customHeight="1" x14ac:dyDescent="0.2">
      <c r="A14" s="716" t="s">
        <v>430</v>
      </c>
      <c r="B14" s="1771">
        <f>SUM('Revenues 9-14'!C7:D7,'Revenues 9-14'!F7:H7)</f>
        <v>53819</v>
      </c>
      <c r="C14" s="585"/>
      <c r="D14" s="1774">
        <f t="shared" si="0"/>
        <v>53819</v>
      </c>
      <c r="E14" s="585">
        <v>53255</v>
      </c>
      <c r="F14" s="1774">
        <f t="shared" si="1"/>
        <v>53255</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34945</v>
      </c>
      <c r="C16" s="585"/>
      <c r="D16" s="1774">
        <f t="shared" si="0"/>
        <v>34945</v>
      </c>
      <c r="E16" s="585">
        <v>34584</v>
      </c>
      <c r="F16" s="1774">
        <f t="shared" si="1"/>
        <v>34584</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1933770</v>
      </c>
      <c r="C19" s="1772">
        <f>SUM(C4:C18)</f>
        <v>0</v>
      </c>
      <c r="D19" s="1772">
        <f>SUM(D4:D18)</f>
        <v>1933770</v>
      </c>
      <c r="E19" s="1772">
        <f>SUM(E4:E18)</f>
        <v>1974632</v>
      </c>
      <c r="F19" s="1772">
        <f>SUM(F4:F18)</f>
        <v>1974632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2"/>
    </row>
    <row r="2" spans="1:7" ht="33.75" x14ac:dyDescent="0.2">
      <c r="A2" s="2212" t="s">
        <v>1905</v>
      </c>
      <c r="B2" s="2213"/>
      <c r="C2" s="1907" t="s">
        <v>2038</v>
      </c>
      <c r="D2" s="724" t="s">
        <v>2045</v>
      </c>
      <c r="E2" s="724" t="s">
        <v>2046</v>
      </c>
      <c r="F2" s="1907" t="s">
        <v>2039</v>
      </c>
    </row>
    <row r="3" spans="1:7" ht="15.75" customHeight="1" x14ac:dyDescent="0.2">
      <c r="A3" s="2216" t="s">
        <v>1176</v>
      </c>
      <c r="B3" s="2217"/>
      <c r="C3" s="2205"/>
      <c r="D3" s="2206"/>
      <c r="E3" s="2206"/>
      <c r="F3" s="2207"/>
    </row>
    <row r="4" spans="1:7" ht="12.75" customHeight="1" thickBot="1" x14ac:dyDescent="0.25">
      <c r="A4" s="2214" t="s">
        <v>651</v>
      </c>
      <c r="B4" s="2215"/>
      <c r="C4" s="581"/>
      <c r="D4" s="581"/>
      <c r="E4" s="581"/>
      <c r="F4" s="1776">
        <f>SUM(C4+D4)-E4</f>
        <v>0</v>
      </c>
    </row>
    <row r="5" spans="1:7" ht="15.75" customHeight="1" thickTop="1" x14ac:dyDescent="0.2">
      <c r="A5" s="2199" t="s">
        <v>1172</v>
      </c>
      <c r="B5" s="2200"/>
      <c r="C5" s="2208"/>
      <c r="D5" s="2209"/>
      <c r="E5" s="2209"/>
      <c r="F5" s="2210"/>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1" t="s">
        <v>652</v>
      </c>
      <c r="B15" s="2202"/>
      <c r="C15" s="1776">
        <f>SUM(C6:C14)</f>
        <v>0</v>
      </c>
      <c r="D15" s="1776">
        <f>SUM(D6:D14)</f>
        <v>0</v>
      </c>
      <c r="E15" s="1776">
        <f>SUM(E6:E14)</f>
        <v>0</v>
      </c>
      <c r="F15" s="1776">
        <f>SUM(F6:F14)</f>
        <v>0</v>
      </c>
      <c r="G15" s="552"/>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7"/>
      <c r="D17" s="585"/>
      <c r="E17" s="727"/>
      <c r="F17" s="1776">
        <f>SUM(C17+D17)-E17</f>
        <v>0</v>
      </c>
    </row>
    <row r="18" spans="1:11" ht="12.75" customHeight="1" thickTop="1" thickBot="1" x14ac:dyDescent="0.25">
      <c r="A18" s="2224" t="s">
        <v>6</v>
      </c>
      <c r="B18" s="2225"/>
      <c r="C18" s="727"/>
      <c r="D18" s="585"/>
      <c r="E18" s="727"/>
      <c r="F18" s="1776">
        <f>SUM(C18+D18)-E18</f>
        <v>0</v>
      </c>
    </row>
    <row r="19" spans="1:11" ht="12.75" customHeight="1" thickTop="1" thickBot="1" x14ac:dyDescent="0.25">
      <c r="A19" s="2224" t="s">
        <v>406</v>
      </c>
      <c r="B19" s="2225"/>
      <c r="C19" s="727"/>
      <c r="D19" s="585"/>
      <c r="E19" s="727"/>
      <c r="F19" s="1776">
        <f>SUM(C19+D19)-E19</f>
        <v>0</v>
      </c>
    </row>
    <row r="20" spans="1:11" ht="12.75" customHeight="1" thickTop="1" thickBot="1" x14ac:dyDescent="0.25">
      <c r="A20" s="2224" t="s">
        <v>468</v>
      </c>
      <c r="B20" s="2225"/>
      <c r="C20" s="727"/>
      <c r="D20" s="585"/>
      <c r="E20" s="727"/>
      <c r="F20" s="1776">
        <f>SUM(C20+D20)-E20</f>
        <v>0</v>
      </c>
    </row>
    <row r="21" spans="1:11" ht="14.25" thickTop="1" thickBot="1" x14ac:dyDescent="0.25">
      <c r="A21" s="2201" t="s">
        <v>653</v>
      </c>
      <c r="B21" s="2202"/>
      <c r="C21" s="1776">
        <f>SUM(C17:C20)</f>
        <v>0</v>
      </c>
      <c r="D21" s="1776">
        <f>SUM(D17:D20)</f>
        <v>0</v>
      </c>
      <c r="E21" s="1776">
        <f>SUM(E17:E20)</f>
        <v>0</v>
      </c>
      <c r="F21" s="1776">
        <f>SUM(F17:F20)</f>
        <v>0</v>
      </c>
      <c r="G21" s="552"/>
    </row>
    <row r="22" spans="1:11" ht="15.75" customHeight="1" thickTop="1" x14ac:dyDescent="0.2">
      <c r="A22" s="2226" t="s">
        <v>1174</v>
      </c>
      <c r="B22" s="2200"/>
      <c r="C22" s="2208"/>
      <c r="D22" s="2209"/>
      <c r="E22" s="2209"/>
      <c r="F22" s="2210"/>
    </row>
    <row r="23" spans="1:11" ht="13.5" thickBot="1" x14ac:dyDescent="0.25">
      <c r="A23" s="2214" t="s">
        <v>654</v>
      </c>
      <c r="B23" s="2215"/>
      <c r="C23" s="581"/>
      <c r="D23" s="581"/>
      <c r="E23" s="581"/>
      <c r="F23" s="1776">
        <f>SUM(C23+D23)-E23</f>
        <v>0</v>
      </c>
      <c r="G23" s="552"/>
    </row>
    <row r="24" spans="1:11" ht="15.75" customHeight="1" thickTop="1" x14ac:dyDescent="0.2">
      <c r="A24" s="2226" t="s">
        <v>1175</v>
      </c>
      <c r="B24" s="2200"/>
      <c r="C24" s="2208"/>
      <c r="D24" s="2209"/>
      <c r="E24" s="2209"/>
      <c r="F24" s="2210"/>
    </row>
    <row r="25" spans="1:11" ht="13.5" thickBot="1" x14ac:dyDescent="0.25">
      <c r="A25" s="2214" t="s">
        <v>655</v>
      </c>
      <c r="B25" s="2215"/>
      <c r="C25" s="581"/>
      <c r="D25" s="581"/>
      <c r="E25" s="581"/>
      <c r="F25" s="1776">
        <f>SUM(C25+D25)-E25</f>
        <v>0</v>
      </c>
      <c r="G25" s="552"/>
    </row>
    <row r="26" spans="1:11" ht="15.75" customHeight="1" thickTop="1" x14ac:dyDescent="0.2">
      <c r="A26" s="2199" t="s">
        <v>678</v>
      </c>
      <c r="B26" s="2200"/>
      <c r="C26" s="728"/>
      <c r="D26" s="728"/>
      <c r="E26" s="728"/>
      <c r="F26" s="729"/>
    </row>
    <row r="27" spans="1:11" ht="13.5" thickBot="1" x14ac:dyDescent="0.25">
      <c r="A27" s="2201" t="s">
        <v>1130</v>
      </c>
      <c r="B27" s="2202"/>
      <c r="C27" s="585"/>
      <c r="D27" s="585"/>
      <c r="E27" s="585"/>
      <c r="F27" s="1776">
        <f>SUM(C27+D27)-E27</f>
        <v>0</v>
      </c>
      <c r="G27" s="552"/>
    </row>
    <row r="28" spans="1:11" ht="7.5" customHeight="1" thickTop="1" x14ac:dyDescent="0.2">
      <c r="A28" s="594"/>
    </row>
    <row r="29" spans="1:11" ht="23.25" customHeight="1" x14ac:dyDescent="0.2">
      <c r="A29" s="2227" t="s">
        <v>603</v>
      </c>
      <c r="B29" s="2204"/>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8" t="s">
        <v>605</v>
      </c>
      <c r="C52" s="2219"/>
      <c r="D52" s="2219"/>
      <c r="E52" s="750" t="s">
        <v>900</v>
      </c>
      <c r="F52" s="2220"/>
      <c r="G52" s="2221"/>
      <c r="H52" s="737"/>
      <c r="I52" s="737"/>
      <c r="J52" s="747"/>
    </row>
    <row r="53" spans="1:11" ht="11.25" customHeight="1" x14ac:dyDescent="0.2">
      <c r="A53" s="751" t="s">
        <v>969</v>
      </c>
      <c r="B53" s="752" t="s">
        <v>1008</v>
      </c>
      <c r="C53" s="747"/>
      <c r="D53" s="738"/>
      <c r="E53" s="750" t="s">
        <v>518</v>
      </c>
      <c r="F53" s="2222"/>
      <c r="G53" s="2223"/>
      <c r="H53" s="737"/>
      <c r="I53" s="737"/>
      <c r="J53" s="747"/>
    </row>
    <row r="54" spans="1:11" ht="11.25" customHeight="1" x14ac:dyDescent="0.2">
      <c r="A54" s="753" t="s">
        <v>970</v>
      </c>
      <c r="B54" s="748" t="s">
        <v>1009</v>
      </c>
      <c r="C54" s="747"/>
      <c r="D54" s="738"/>
      <c r="E54" s="750" t="s">
        <v>519</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2"/>
      <c r="I1" s="761"/>
      <c r="J1" s="433"/>
    </row>
    <row r="2" spans="1:11" ht="26.25" x14ac:dyDescent="0.2">
      <c r="A2" s="2231" t="s">
        <v>1776</v>
      </c>
      <c r="B2" s="2232"/>
      <c r="C2" s="2232"/>
      <c r="D2" s="2232"/>
      <c r="E2" s="2233"/>
      <c r="F2" s="762" t="s">
        <v>960</v>
      </c>
      <c r="G2" s="763" t="s">
        <v>1773</v>
      </c>
      <c r="H2" s="763" t="s">
        <v>430</v>
      </c>
      <c r="I2" s="763" t="s">
        <v>1220</v>
      </c>
      <c r="J2" s="763" t="s">
        <v>1919</v>
      </c>
      <c r="K2" s="763" t="s">
        <v>140</v>
      </c>
    </row>
    <row r="3" spans="1:11" x14ac:dyDescent="0.2">
      <c r="A3" s="2234" t="s">
        <v>1698</v>
      </c>
      <c r="B3" s="2235"/>
      <c r="C3" s="2235"/>
      <c r="D3" s="2235"/>
      <c r="E3" s="2236"/>
      <c r="F3" s="764"/>
      <c r="G3" s="765"/>
      <c r="H3" s="765"/>
      <c r="I3" s="765"/>
      <c r="J3" s="766"/>
      <c r="K3" s="766"/>
    </row>
    <row r="4" spans="1:11" x14ac:dyDescent="0.2">
      <c r="A4" s="2237" t="s">
        <v>387</v>
      </c>
      <c r="B4" s="2238"/>
      <c r="C4" s="2238"/>
      <c r="D4" s="2238"/>
      <c r="E4" s="2219"/>
      <c r="F4" s="767"/>
      <c r="G4" s="768"/>
      <c r="H4" s="769"/>
      <c r="I4" s="768"/>
      <c r="J4" s="770"/>
      <c r="K4" s="770"/>
    </row>
    <row r="5" spans="1:11" x14ac:dyDescent="0.2">
      <c r="A5" s="2255" t="s">
        <v>1129</v>
      </c>
      <c r="B5" s="2228"/>
      <c r="C5" s="2228"/>
      <c r="D5" s="2228"/>
      <c r="E5" s="2256"/>
      <c r="F5" s="771" t="s">
        <v>903</v>
      </c>
      <c r="G5" s="772"/>
      <c r="H5" s="765">
        <v>53819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760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2228</v>
      </c>
    </row>
    <row r="10" spans="1:11" x14ac:dyDescent="0.2">
      <c r="A10" s="2255" t="s">
        <v>1920</v>
      </c>
      <c r="B10" s="2228"/>
      <c r="C10" s="2228"/>
      <c r="D10" s="2228"/>
      <c r="E10" s="2257"/>
      <c r="F10" s="784" t="s">
        <v>917</v>
      </c>
      <c r="G10" s="783"/>
      <c r="H10" s="785"/>
      <c r="I10" s="765"/>
      <c r="J10" s="766"/>
      <c r="K10" s="766"/>
    </row>
    <row r="11" spans="1:11" x14ac:dyDescent="0.2">
      <c r="A11" s="2255" t="s">
        <v>162</v>
      </c>
      <c r="B11" s="2228"/>
      <c r="C11" s="2228"/>
      <c r="D11" s="2228"/>
      <c r="E11" s="2256"/>
      <c r="F11" s="771" t="s">
        <v>907</v>
      </c>
      <c r="G11" s="772"/>
      <c r="H11" s="765"/>
      <c r="I11" s="765"/>
      <c r="J11" s="766"/>
      <c r="K11" s="774"/>
    </row>
    <row r="12" spans="1:11" ht="13.5" thickBot="1" x14ac:dyDescent="0.25">
      <c r="A12" s="2245" t="s">
        <v>961</v>
      </c>
      <c r="B12" s="2246"/>
      <c r="C12" s="2246"/>
      <c r="D12" s="2246"/>
      <c r="E12" s="2247"/>
      <c r="F12" s="1778"/>
      <c r="G12" s="1779">
        <f>SUM(G5:G11)</f>
        <v>0</v>
      </c>
      <c r="H12" s="1779">
        <f>SUM(H5:H11)</f>
        <v>53819</v>
      </c>
      <c r="I12" s="1779">
        <f>SUM(I5:I11)</f>
        <v>0</v>
      </c>
      <c r="J12" s="1779">
        <f>SUM(J5:J11)</f>
        <v>0</v>
      </c>
      <c r="K12" s="1779">
        <f>SUM(K5:K11)</f>
        <v>2988</v>
      </c>
    </row>
    <row r="13" spans="1:11" ht="13.5" thickTop="1" x14ac:dyDescent="0.2">
      <c r="A13" s="2239" t="s">
        <v>388</v>
      </c>
      <c r="B13" s="2240"/>
      <c r="C13" s="2240"/>
      <c r="D13" s="2240"/>
      <c r="E13" s="2241"/>
      <c r="F13" s="786"/>
      <c r="G13" s="787"/>
      <c r="H13" s="788"/>
      <c r="I13" s="789"/>
      <c r="J13" s="789"/>
      <c r="K13" s="789"/>
    </row>
    <row r="14" spans="1:11" x14ac:dyDescent="0.2">
      <c r="A14" s="2261" t="s">
        <v>476</v>
      </c>
      <c r="B14" s="2261"/>
      <c r="C14" s="2261"/>
      <c r="D14" s="2261"/>
      <c r="E14" s="2262"/>
      <c r="F14" s="790" t="s">
        <v>909</v>
      </c>
      <c r="G14" s="783"/>
      <c r="H14" s="765">
        <v>53819</v>
      </c>
      <c r="I14" s="772"/>
      <c r="J14" s="774"/>
      <c r="K14" s="766">
        <v>2988</v>
      </c>
    </row>
    <row r="15" spans="1:11" x14ac:dyDescent="0.2">
      <c r="A15" s="2228" t="s">
        <v>4</v>
      </c>
      <c r="B15" s="2228"/>
      <c r="C15" s="2228"/>
      <c r="D15" s="2228"/>
      <c r="E15" s="2256"/>
      <c r="F15" s="790" t="s">
        <v>910</v>
      </c>
      <c r="G15" s="772"/>
      <c r="H15" s="765"/>
      <c r="I15" s="765"/>
      <c r="J15" s="766"/>
      <c r="K15" s="766"/>
    </row>
    <row r="16" spans="1:11" x14ac:dyDescent="0.2">
      <c r="A16" s="2228" t="s">
        <v>316</v>
      </c>
      <c r="B16" s="2228"/>
      <c r="C16" s="2228"/>
      <c r="D16" s="2228"/>
      <c r="E16" s="2256"/>
      <c r="F16" s="790" t="s">
        <v>980</v>
      </c>
      <c r="G16" s="773"/>
      <c r="H16" s="768"/>
      <c r="I16" s="768"/>
      <c r="J16" s="770"/>
      <c r="K16" s="770"/>
    </row>
    <row r="17" spans="1:11" x14ac:dyDescent="0.2">
      <c r="A17" s="2250" t="s">
        <v>992</v>
      </c>
      <c r="B17" s="2250"/>
      <c r="C17" s="2250"/>
      <c r="D17" s="2250"/>
      <c r="E17" s="2251"/>
      <c r="F17" s="791"/>
      <c r="G17" s="792"/>
      <c r="H17" s="793"/>
      <c r="I17" s="793"/>
      <c r="J17" s="794"/>
      <c r="K17" s="795"/>
    </row>
    <row r="18" spans="1:11" x14ac:dyDescent="0.2">
      <c r="A18" s="2242" t="s">
        <v>386</v>
      </c>
      <c r="B18" s="2243"/>
      <c r="C18" s="2243"/>
      <c r="D18" s="2243"/>
      <c r="E18" s="2244"/>
      <c r="F18" s="790" t="s">
        <v>989</v>
      </c>
      <c r="G18" s="783"/>
      <c r="H18" s="783"/>
      <c r="I18" s="783"/>
      <c r="J18" s="766"/>
      <c r="K18" s="796"/>
    </row>
    <row r="19" spans="1:11" ht="21.75" customHeight="1" x14ac:dyDescent="0.2">
      <c r="A19" s="2263" t="s">
        <v>1916</v>
      </c>
      <c r="B19" s="2263"/>
      <c r="C19" s="2263"/>
      <c r="D19" s="2263"/>
      <c r="E19" s="2264"/>
      <c r="F19" s="790" t="s">
        <v>990</v>
      </c>
      <c r="G19" s="783"/>
      <c r="H19" s="783"/>
      <c r="I19" s="783"/>
      <c r="J19" s="766"/>
      <c r="K19" s="796"/>
    </row>
    <row r="20" spans="1:11" x14ac:dyDescent="0.2">
      <c r="A20" s="2242" t="s">
        <v>1921</v>
      </c>
      <c r="B20" s="2243"/>
      <c r="C20" s="2243"/>
      <c r="D20" s="2243"/>
      <c r="E20" s="2244"/>
      <c r="F20" s="790" t="s">
        <v>991</v>
      </c>
      <c r="G20" s="783"/>
      <c r="H20" s="783"/>
      <c r="I20" s="783"/>
      <c r="J20" s="766"/>
      <c r="K20" s="796"/>
    </row>
    <row r="21" spans="1:11" ht="13.5" thickBot="1" x14ac:dyDescent="0.25">
      <c r="A21" s="2248" t="s">
        <v>659</v>
      </c>
      <c r="B21" s="2248"/>
      <c r="C21" s="2248"/>
      <c r="D21" s="2248"/>
      <c r="E21" s="2248"/>
      <c r="F21" s="1780"/>
      <c r="G21" s="793"/>
      <c r="H21" s="797"/>
      <c r="I21" s="797"/>
      <c r="J21" s="1781">
        <f>SUM(J18:J20)</f>
        <v>0</v>
      </c>
      <c r="K21" s="794"/>
    </row>
    <row r="22" spans="1:11" ht="13.5" thickTop="1" x14ac:dyDescent="0.2">
      <c r="A22" s="2228" t="s">
        <v>1922</v>
      </c>
      <c r="B22" s="2228"/>
      <c r="C22" s="2228"/>
      <c r="D22" s="2228"/>
      <c r="E22" s="2256"/>
      <c r="F22" s="790" t="s">
        <v>917</v>
      </c>
      <c r="G22" s="783"/>
      <c r="H22" s="765"/>
      <c r="I22" s="765"/>
      <c r="J22" s="798"/>
      <c r="K22" s="766"/>
    </row>
    <row r="23" spans="1:11" ht="13.5" thickBot="1" x14ac:dyDescent="0.25">
      <c r="A23" s="2249" t="s">
        <v>962</v>
      </c>
      <c r="B23" s="2248"/>
      <c r="C23" s="2248"/>
      <c r="D23" s="2248"/>
      <c r="E23" s="2248"/>
      <c r="F23" s="1782"/>
      <c r="G23" s="1779">
        <f>SUM(G14:G16,G21,G22)</f>
        <v>0</v>
      </c>
      <c r="H23" s="1779">
        <f>SUM(H14:H16,H21,H22)</f>
        <v>53819</v>
      </c>
      <c r="I23" s="1779">
        <f>SUM(I14:I16,I21,I22)</f>
        <v>0</v>
      </c>
      <c r="J23" s="1779">
        <f>SUM(J14:J16,J21,J22)</f>
        <v>0</v>
      </c>
      <c r="K23" s="1779">
        <f>SUM(K14:K16,K21,K22)</f>
        <v>2988</v>
      </c>
    </row>
    <row r="24" spans="1:11" ht="14.25" thickTop="1" thickBot="1" x14ac:dyDescent="0.25">
      <c r="A24" s="2249" t="s">
        <v>2026</v>
      </c>
      <c r="B24" s="2248"/>
      <c r="C24" s="2248"/>
      <c r="D24" s="2248"/>
      <c r="E24" s="2248"/>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8"/>
      <c r="I31" s="2259"/>
      <c r="J31" s="2259"/>
      <c r="K31" s="2259"/>
    </row>
    <row r="32" spans="1:11" x14ac:dyDescent="0.2">
      <c r="A32" s="810"/>
      <c r="B32" s="237"/>
      <c r="C32" s="237"/>
      <c r="D32" s="237"/>
      <c r="E32" s="806"/>
      <c r="F32" s="812" t="s">
        <v>561</v>
      </c>
      <c r="G32" s="765"/>
      <c r="H32" s="2260"/>
      <c r="I32" s="2259"/>
      <c r="J32" s="2259"/>
      <c r="K32" s="2259"/>
    </row>
    <row r="33" spans="1:11" ht="1.5" customHeight="1" x14ac:dyDescent="0.2">
      <c r="A33" s="813" t="s">
        <v>1231</v>
      </c>
      <c r="B33" s="364"/>
      <c r="C33" s="364"/>
      <c r="D33" s="364"/>
      <c r="E33" s="364"/>
      <c r="F33" s="364"/>
      <c r="G33" s="814"/>
      <c r="H33" s="2260"/>
      <c r="I33" s="2259"/>
      <c r="J33" s="2259"/>
      <c r="K33" s="225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8" t="s">
        <v>562</v>
      </c>
      <c r="B41" s="2229"/>
      <c r="C41" s="2229"/>
      <c r="D41" s="2229"/>
      <c r="E41" s="2229"/>
      <c r="F41" s="223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15" sqref="T15:AA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7"/>
      <c r="E1" s="828"/>
      <c r="F1" s="828"/>
      <c r="G1" s="829"/>
      <c r="H1" s="830"/>
      <c r="I1" s="831"/>
      <c r="J1" s="2265"/>
      <c r="K1" s="2266"/>
      <c r="L1" s="226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7500</v>
      </c>
      <c r="D5" s="842"/>
      <c r="E5" s="842"/>
      <c r="F5" s="1781">
        <f>(C5+D5)-E5</f>
        <v>7500</v>
      </c>
      <c r="G5" s="838"/>
      <c r="H5" s="843"/>
      <c r="I5" s="843"/>
      <c r="J5" s="843"/>
      <c r="K5" s="794"/>
      <c r="L5" s="1790">
        <f>F5-K5</f>
        <v>7500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2504739</v>
      </c>
      <c r="D8" s="845">
        <v>155871</v>
      </c>
      <c r="E8" s="845"/>
      <c r="F8" s="1781">
        <f>(C8+D8)-E8</f>
        <v>2660610</v>
      </c>
      <c r="G8" s="844">
        <v>50</v>
      </c>
      <c r="H8" s="766">
        <v>1621388</v>
      </c>
      <c r="I8" s="766">
        <v>28463</v>
      </c>
      <c r="J8" s="766"/>
      <c r="K8" s="1790">
        <f>(H8+I8)-J8</f>
        <v>1649851</v>
      </c>
      <c r="L8" s="1790">
        <f>F8-K8</f>
        <v>1010759</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41861</v>
      </c>
      <c r="D10" s="847"/>
      <c r="E10" s="847"/>
      <c r="F10" s="1785">
        <f>(C10+D10)-E10</f>
        <v>41861</v>
      </c>
      <c r="G10" s="844">
        <v>20</v>
      </c>
      <c r="H10" s="848">
        <v>23591</v>
      </c>
      <c r="I10" s="848">
        <v>2093</v>
      </c>
      <c r="J10" s="848"/>
      <c r="K10" s="1790">
        <f>(H10+I10)-J10</f>
        <v>25684</v>
      </c>
      <c r="L10" s="1790">
        <f>F10-K10</f>
        <v>16177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289212</v>
      </c>
      <c r="D12" s="845">
        <v>15781</v>
      </c>
      <c r="E12" s="845">
        <v>33724</v>
      </c>
      <c r="F12" s="1781">
        <f>(C12+D12)-E12</f>
        <v>271269</v>
      </c>
      <c r="G12" s="844">
        <v>10</v>
      </c>
      <c r="H12" s="766">
        <v>153354</v>
      </c>
      <c r="I12" s="766">
        <v>26901</v>
      </c>
      <c r="J12" s="766">
        <v>33724</v>
      </c>
      <c r="K12" s="1790">
        <f>(H12+I12)-J12</f>
        <v>146531</v>
      </c>
      <c r="L12" s="1790">
        <f>F12-K12</f>
        <v>124738</v>
      </c>
    </row>
    <row r="13" spans="1:14" ht="14.25" thickTop="1" thickBot="1" x14ac:dyDescent="0.25">
      <c r="A13" s="849" t="s">
        <v>1184</v>
      </c>
      <c r="B13" s="841">
        <v>252</v>
      </c>
      <c r="C13" s="845">
        <v>119056</v>
      </c>
      <c r="D13" s="845"/>
      <c r="E13" s="845">
        <v>32772</v>
      </c>
      <c r="F13" s="1781">
        <f>(C13+D13)-E13</f>
        <v>86284</v>
      </c>
      <c r="G13" s="844">
        <v>5</v>
      </c>
      <c r="H13" s="766">
        <v>101550</v>
      </c>
      <c r="I13" s="766">
        <v>3510</v>
      </c>
      <c r="J13" s="766">
        <v>32772</v>
      </c>
      <c r="K13" s="1790">
        <f>(H13+I13)-J13</f>
        <v>72288</v>
      </c>
      <c r="L13" s="1790">
        <f>F13-K13</f>
        <v>13996</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2962368</v>
      </c>
      <c r="D16" s="1781">
        <f>SUM(D3,D5:D6,D8:D10,D12:D15)</f>
        <v>171652</v>
      </c>
      <c r="E16" s="1781">
        <f>SUM(E3,E5:E6,E8:E10,E12:E15)</f>
        <v>66496</v>
      </c>
      <c r="F16" s="1781">
        <f>SUM(F3,F5:F6,F8:F10,F12:F15)</f>
        <v>3067524</v>
      </c>
      <c r="G16" s="844"/>
      <c r="H16" s="1781">
        <f>SUM(H3,H6,H8:H10,H12:H14,)</f>
        <v>1899883</v>
      </c>
      <c r="I16" s="1781">
        <f>SUM(I3,I6,I8:I10,I12:I14,)</f>
        <v>60967</v>
      </c>
      <c r="J16" s="1781">
        <f>SUM(J3,J6,J8:J10,J12:J14,)</f>
        <v>66496</v>
      </c>
      <c r="K16" s="1781">
        <f>(H16+I16)-J16</f>
        <v>1894354</v>
      </c>
      <c r="L16" s="1781">
        <f>F16-K16</f>
        <v>1173170</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60967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15" sqref="T15:AA15"/>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2105199</v>
      </c>
      <c r="G8" s="866"/>
    </row>
    <row r="9" spans="1:7" x14ac:dyDescent="0.2">
      <c r="A9" s="870" t="s">
        <v>480</v>
      </c>
      <c r="B9" s="871" t="s">
        <v>1989</v>
      </c>
      <c r="C9" s="872"/>
      <c r="D9" s="870" t="s">
        <v>522</v>
      </c>
      <c r="E9" s="869"/>
      <c r="F9" s="1933">
        <f>'Expenditures 15-22'!K151</f>
        <v>339423</v>
      </c>
      <c r="G9" s="873"/>
    </row>
    <row r="10" spans="1:7" x14ac:dyDescent="0.2">
      <c r="A10" s="870" t="s">
        <v>520</v>
      </c>
      <c r="B10" s="871" t="s">
        <v>1990</v>
      </c>
      <c r="C10" s="872"/>
      <c r="D10" s="870" t="s">
        <v>522</v>
      </c>
      <c r="E10" s="869"/>
      <c r="F10" s="1933">
        <f>'Expenditures 15-22'!K174</f>
        <v>0</v>
      </c>
      <c r="G10" s="873"/>
    </row>
    <row r="11" spans="1:7" x14ac:dyDescent="0.2">
      <c r="A11" s="870" t="s">
        <v>481</v>
      </c>
      <c r="B11" s="871" t="s">
        <v>1991</v>
      </c>
      <c r="C11" s="872"/>
      <c r="D11" s="870" t="s">
        <v>522</v>
      </c>
      <c r="E11" s="869"/>
      <c r="F11" s="1933">
        <f>'Expenditures 15-22'!K210</f>
        <v>121545</v>
      </c>
      <c r="G11" s="873"/>
    </row>
    <row r="12" spans="1:7" x14ac:dyDescent="0.2">
      <c r="A12" s="870" t="s">
        <v>482</v>
      </c>
      <c r="B12" s="871" t="s">
        <v>1992</v>
      </c>
      <c r="C12" s="872"/>
      <c r="D12" s="870" t="s">
        <v>522</v>
      </c>
      <c r="E12" s="869"/>
      <c r="F12" s="1933">
        <f>'Expenditures 15-22'!K295</f>
        <v>86726</v>
      </c>
      <c r="G12" s="873"/>
    </row>
    <row r="13" spans="1:7" x14ac:dyDescent="0.2">
      <c r="A13" s="870" t="s">
        <v>108</v>
      </c>
      <c r="B13" s="871" t="s">
        <v>1993</v>
      </c>
      <c r="C13" s="872"/>
      <c r="D13" s="870" t="s">
        <v>522</v>
      </c>
      <c r="E13" s="869"/>
      <c r="F13" s="1933">
        <f>'Expenditures 15-22'!K342</f>
        <v>0</v>
      </c>
      <c r="G13" s="874"/>
    </row>
    <row r="14" spans="1:7" ht="12" customHeight="1" thickBot="1" x14ac:dyDescent="0.25">
      <c r="A14" s="1791"/>
      <c r="B14" s="1792"/>
      <c r="C14" s="1793"/>
      <c r="D14" s="1794" t="s">
        <v>522</v>
      </c>
      <c r="E14" s="1795" t="s">
        <v>1015</v>
      </c>
      <c r="F14" s="1796">
        <f>SUM(F8:F13)</f>
        <v>2652893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517</v>
      </c>
      <c r="G52" s="866"/>
    </row>
    <row r="53" spans="1:7" x14ac:dyDescent="0.2">
      <c r="A53" s="870" t="s">
        <v>479</v>
      </c>
      <c r="B53" s="870" t="s">
        <v>1551</v>
      </c>
      <c r="C53" s="890">
        <f>'Expenditures 15-22'!B102</f>
        <v>4000</v>
      </c>
      <c r="D53" s="889" t="str">
        <f>'Expenditures 15-22'!A102</f>
        <v>Total Payments to Other Govt Units</v>
      </c>
      <c r="E53" s="869"/>
      <c r="F53" s="1937">
        <f>'Expenditures 15-22'!K102</f>
        <v>224409</v>
      </c>
      <c r="G53" s="866"/>
    </row>
    <row r="54" spans="1:7" x14ac:dyDescent="0.2">
      <c r="A54" s="870" t="s">
        <v>479</v>
      </c>
      <c r="B54" s="870" t="s">
        <v>1552</v>
      </c>
      <c r="C54" s="890" t="s">
        <v>1039</v>
      </c>
      <c r="D54" s="886" t="s">
        <v>1157</v>
      </c>
      <c r="E54" s="869"/>
      <c r="F54" s="1937">
        <f>'Expenditures 15-22'!G114</f>
        <v>15781</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117196</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357903</v>
      </c>
      <c r="G76" s="866"/>
    </row>
    <row r="77" spans="1:8" s="894" customFormat="1" ht="12" customHeight="1" thickTop="1" thickBot="1" x14ac:dyDescent="0.25">
      <c r="A77" s="1800"/>
      <c r="B77" s="1797"/>
      <c r="C77" s="1793"/>
      <c r="D77" s="1798" t="s">
        <v>2012</v>
      </c>
      <c r="E77" s="1795"/>
      <c r="F77" s="1801">
        <f>(F14-F76)</f>
        <v>2294990</v>
      </c>
      <c r="G77" s="870"/>
    </row>
    <row r="78" spans="1:8" s="894" customFormat="1" ht="12" customHeight="1" thickTop="1" x14ac:dyDescent="0.2">
      <c r="A78" s="1802"/>
      <c r="B78" s="1797"/>
      <c r="C78" s="1793"/>
      <c r="D78" s="1798" t="s">
        <v>2059</v>
      </c>
      <c r="E78" s="1795"/>
      <c r="F78" s="899">
        <v>223.76</v>
      </c>
      <c r="G78" s="900"/>
      <c r="H78" s="870"/>
    </row>
    <row r="79" spans="1:8" s="894" customFormat="1" ht="12" customHeight="1" thickBot="1" x14ac:dyDescent="0.25">
      <c r="A79" s="1803"/>
      <c r="B79" s="1797"/>
      <c r="C79" s="1793"/>
      <c r="D79" s="1798" t="s">
        <v>2013</v>
      </c>
      <c r="E79" s="1795" t="s">
        <v>1015</v>
      </c>
      <c r="F79" s="1804">
        <f>IF(F78&gt;0,F77/F78," Complete Line 78")</f>
        <v>10256.480157311405</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39947</v>
      </c>
      <c r="G94" s="913"/>
    </row>
    <row r="95" spans="1:7" x14ac:dyDescent="0.2">
      <c r="A95" s="909" t="s">
        <v>142</v>
      </c>
      <c r="B95" s="909" t="s">
        <v>177</v>
      </c>
      <c r="C95" s="911">
        <v>1700</v>
      </c>
      <c r="D95" s="919" t="str">
        <f>'Revenues 9-14'!A82</f>
        <v>Total District/School Activity Income</v>
      </c>
      <c r="E95" s="907"/>
      <c r="F95" s="1810">
        <f>SUM('Revenues 9-14'!C82,'Revenues 9-14'!D82)</f>
        <v>9206</v>
      </c>
      <c r="G95" s="913"/>
    </row>
    <row r="96" spans="1:7" x14ac:dyDescent="0.2">
      <c r="A96" s="909" t="s">
        <v>479</v>
      </c>
      <c r="B96" s="909" t="s">
        <v>178</v>
      </c>
      <c r="C96" s="911">
        <f>'Revenues 9-14'!B84</f>
        <v>1811</v>
      </c>
      <c r="D96" s="912" t="str">
        <f>'Revenues 9-14'!A84</f>
        <v>Rentals - Regular Textbooks</v>
      </c>
      <c r="E96" s="907"/>
      <c r="F96" s="1810">
        <f>'Revenues 9-14'!C84</f>
        <v>16142</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2996</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22039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2868</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695</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2228</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112209</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3641</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52744</v>
      </c>
      <c r="G129" s="931"/>
    </row>
    <row r="130" spans="1:7" x14ac:dyDescent="0.2">
      <c r="A130" s="928" t="s">
        <v>689</v>
      </c>
      <c r="B130" s="928" t="s">
        <v>804</v>
      </c>
      <c r="C130" s="933">
        <v>4300</v>
      </c>
      <c r="D130" s="934" t="str">
        <f>'Revenues 9-14'!A211</f>
        <v>Total Title I</v>
      </c>
      <c r="E130" s="907"/>
      <c r="F130" s="1810">
        <f>SUM('Revenues 9-14'!C211,'Revenues 9-14'!D211,'Revenues 9-14'!F211,'Revenues 9-14'!G211)</f>
        <v>35970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14815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3253</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6062</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324815</v>
      </c>
    </row>
    <row r="179" spans="1:7" ht="12" customHeight="1" x14ac:dyDescent="0.2">
      <c r="A179" s="1791"/>
      <c r="B179" s="1805"/>
      <c r="C179" s="1806"/>
      <c r="D179" s="1807" t="s">
        <v>2015</v>
      </c>
      <c r="E179" s="1808"/>
      <c r="F179" s="1810">
        <f>'PCTC-OEPP 27-28'!F77-F178</f>
        <v>1970175</v>
      </c>
    </row>
    <row r="180" spans="1:7" ht="12" customHeight="1" x14ac:dyDescent="0.2">
      <c r="A180" s="1791"/>
      <c r="B180" s="1805"/>
      <c r="C180" s="1806"/>
      <c r="D180" s="1807" t="s">
        <v>1924</v>
      </c>
      <c r="E180" s="1808"/>
      <c r="F180" s="1810">
        <f>'Cap Outlay Deprec 26'!I18</f>
        <v>60967</v>
      </c>
    </row>
    <row r="181" spans="1:7" ht="12" customHeight="1" x14ac:dyDescent="0.2">
      <c r="A181" s="1791"/>
      <c r="B181" s="1805"/>
      <c r="C181" s="1806"/>
      <c r="D181" s="1807" t="s">
        <v>2016</v>
      </c>
      <c r="E181" s="1808"/>
      <c r="F181" s="1810">
        <f>F179+F180</f>
        <v>2031142</v>
      </c>
    </row>
    <row r="182" spans="1:7" ht="12" customHeight="1" x14ac:dyDescent="0.2">
      <c r="A182" s="1791"/>
      <c r="B182" s="1811"/>
      <c r="C182" s="1806"/>
      <c r="D182" s="1807" t="str">
        <f>D78</f>
        <v>9 Month ADA from District Average Daily Attendance/Prior General State Aid Inquiry 2017-2018</v>
      </c>
      <c r="E182" s="1808"/>
      <c r="F182" s="1812">
        <f>'PCTC-OEPP 27-28'!F78</f>
        <v>223.76</v>
      </c>
      <c r="G182" s="931"/>
    </row>
    <row r="183" spans="1:7" ht="12" customHeight="1" thickBot="1" x14ac:dyDescent="0.25">
      <c r="A183" s="1791"/>
      <c r="B183" s="1811"/>
      <c r="C183" s="1806"/>
      <c r="D183" s="1807" t="s">
        <v>2017</v>
      </c>
      <c r="E183" s="1808" t="s">
        <v>1626</v>
      </c>
      <c r="F183" s="1813">
        <f>F181/F182</f>
        <v>9077.3239184840913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pane ySplit="16" topLeftCell="A17" activePane="bottomLeft" state="frozen"/>
      <selection activeCell="T15" sqref="T15:AA15"/>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6" t="s">
        <v>1926</v>
      </c>
      <c r="B6" s="1557"/>
      <c r="C6" s="1557"/>
      <c r="D6" s="1557"/>
      <c r="E6" s="1557"/>
      <c r="F6" s="1557"/>
      <c r="G6" s="1558"/>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9" t="s">
        <v>1927</v>
      </c>
      <c r="B10" s="1560"/>
      <c r="C10" s="1560"/>
      <c r="D10" s="1560"/>
      <c r="E10" s="1560"/>
      <c r="F10" s="1560"/>
      <c r="G10" s="1561"/>
    </row>
    <row r="11" spans="1:7" ht="17.25" customHeight="1" x14ac:dyDescent="0.25">
      <c r="A11" s="2290" t="s">
        <v>1941</v>
      </c>
      <c r="B11" s="2291"/>
      <c r="C11" s="2291"/>
      <c r="D11" s="2291"/>
      <c r="E11" s="2291"/>
      <c r="F11" s="2291"/>
      <c r="G11" s="2292"/>
    </row>
    <row r="12" spans="1:7" ht="15" customHeight="1" x14ac:dyDescent="0.25">
      <c r="A12" s="1559" t="s">
        <v>1932</v>
      </c>
      <c r="B12" s="1560"/>
      <c r="C12" s="1560"/>
      <c r="D12" s="1560"/>
      <c r="E12" s="1560"/>
      <c r="F12" s="1560"/>
      <c r="G12" s="1561"/>
    </row>
    <row r="13" spans="1:7" ht="32.25" customHeight="1" x14ac:dyDescent="0.25">
      <c r="A13" s="2281" t="s">
        <v>1933</v>
      </c>
      <c r="B13" s="2282"/>
      <c r="C13" s="2282"/>
      <c r="D13" s="2282"/>
      <c r="E13" s="2282"/>
      <c r="F13" s="2282"/>
      <c r="G13" s="2283"/>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2104</v>
      </c>
      <c r="B17" s="1867"/>
      <c r="C17" s="1677"/>
      <c r="D17" s="1866"/>
      <c r="E17" s="1562">
        <f t="shared" ref="E17:E38" si="1">IF(D17&lt;=25000,D17,IF(D17&gt;25000,25000,0))</f>
        <v>0</v>
      </c>
      <c r="F17" s="1814">
        <f t="shared" si="0"/>
        <v>0</v>
      </c>
      <c r="G17" s="1815">
        <f>IF(F17=0,0,D17-F17)</f>
        <v>0</v>
      </c>
      <c r="H17" s="1669"/>
    </row>
    <row r="18" spans="1:8" x14ac:dyDescent="0.25">
      <c r="A18" s="1675"/>
      <c r="B18" s="1867"/>
      <c r="C18" s="1677"/>
      <c r="D18" s="1866"/>
      <c r="E18" s="1562">
        <f t="shared" ref="E18:E37" si="2">IF(D18&lt;=25000,D18,IF(D18&gt;25000,25000,0))</f>
        <v>0</v>
      </c>
      <c r="F18" s="1814">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37" si="4">IF(F18=0,0,D18-F18)</f>
        <v>0</v>
      </c>
    </row>
    <row r="19" spans="1:8" x14ac:dyDescent="0.25">
      <c r="A19" s="1675"/>
      <c r="B19" s="1688"/>
      <c r="C19" s="1676"/>
      <c r="D19" s="1866"/>
      <c r="E19" s="1562">
        <f t="shared" ref="E19:E22" si="5">IF(D19&lt;=25000,D19,IF(D19&gt;25000,25000,0))</f>
        <v>0</v>
      </c>
      <c r="F19" s="1814">
        <f t="shared" ref="F19:F22"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5">
        <f t="shared" ref="G19:G22" si="7">IF(F19=0,0,D19-F19)</f>
        <v>0</v>
      </c>
    </row>
    <row r="20" spans="1:8" x14ac:dyDescent="0.25">
      <c r="A20" s="1675"/>
      <c r="B20" s="1688"/>
      <c r="C20" s="1676"/>
      <c r="D20" s="1866"/>
      <c r="E20" s="1562">
        <f t="shared" si="5"/>
        <v>0</v>
      </c>
      <c r="F20" s="1814">
        <f t="shared" si="6"/>
        <v>0</v>
      </c>
      <c r="G20" s="1815">
        <f t="shared" si="7"/>
        <v>0</v>
      </c>
    </row>
    <row r="21" spans="1:8" x14ac:dyDescent="0.25">
      <c r="A21" s="1675"/>
      <c r="B21" s="1688"/>
      <c r="C21" s="1676"/>
      <c r="D21" s="1866"/>
      <c r="E21" s="1562">
        <f t="shared" si="5"/>
        <v>0</v>
      </c>
      <c r="F21" s="1814">
        <f t="shared" si="6"/>
        <v>0</v>
      </c>
      <c r="G21" s="1815">
        <f t="shared" si="7"/>
        <v>0</v>
      </c>
    </row>
    <row r="22" spans="1:8" x14ac:dyDescent="0.25">
      <c r="A22" s="1675"/>
      <c r="B22" s="1688"/>
      <c r="C22" s="1676"/>
      <c r="D22" s="1866"/>
      <c r="E22" s="1562">
        <f t="shared" si="5"/>
        <v>0</v>
      </c>
      <c r="F22" s="1814">
        <f t="shared" si="6"/>
        <v>0</v>
      </c>
      <c r="G22" s="1815">
        <f t="shared" si="7"/>
        <v>0</v>
      </c>
    </row>
    <row r="23" spans="1:8" x14ac:dyDescent="0.25">
      <c r="A23" s="1675"/>
      <c r="B23" s="1688"/>
      <c r="C23" s="1676"/>
      <c r="D23" s="1866"/>
      <c r="E23" s="1562">
        <f t="shared" ref="E23:E31" si="8">IF(D23&lt;=25000,D23,IF(D23&gt;25000,25000,0))</f>
        <v>0</v>
      </c>
      <c r="F23" s="1814">
        <f t="shared" ref="F23:F31" si="9">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5">
        <f t="shared" ref="G23:G31" si="10">IF(F23=0,0,D23-F23)</f>
        <v>0</v>
      </c>
    </row>
    <row r="24" spans="1:8" x14ac:dyDescent="0.25">
      <c r="A24" s="1675"/>
      <c r="B24" s="1688"/>
      <c r="C24" s="1676"/>
      <c r="D24" s="1866"/>
      <c r="E24" s="1562">
        <f t="shared" si="8"/>
        <v>0</v>
      </c>
      <c r="F24" s="1814">
        <f t="shared" si="9"/>
        <v>0</v>
      </c>
      <c r="G24" s="1815">
        <f t="shared" si="10"/>
        <v>0</v>
      </c>
    </row>
    <row r="25" spans="1:8" x14ac:dyDescent="0.25">
      <c r="A25" s="1675"/>
      <c r="B25" s="1688"/>
      <c r="C25" s="1676"/>
      <c r="D25" s="1866"/>
      <c r="E25" s="1562">
        <f t="shared" si="8"/>
        <v>0</v>
      </c>
      <c r="F25" s="1814">
        <f t="shared" si="9"/>
        <v>0</v>
      </c>
      <c r="G25" s="1815">
        <f t="shared" si="10"/>
        <v>0</v>
      </c>
    </row>
    <row r="26" spans="1:8" x14ac:dyDescent="0.25">
      <c r="A26" s="1675"/>
      <c r="B26" s="1688"/>
      <c r="C26" s="1676"/>
      <c r="D26" s="1866"/>
      <c r="E26" s="1562">
        <f t="shared" si="8"/>
        <v>0</v>
      </c>
      <c r="F26" s="1814">
        <f t="shared" si="9"/>
        <v>0</v>
      </c>
      <c r="G26" s="1815">
        <f t="shared" si="10"/>
        <v>0</v>
      </c>
    </row>
    <row r="27" spans="1:8" x14ac:dyDescent="0.25">
      <c r="A27" s="1675"/>
      <c r="B27" s="1688"/>
      <c r="C27" s="1676"/>
      <c r="D27" s="1866"/>
      <c r="E27" s="1562">
        <f t="shared" si="8"/>
        <v>0</v>
      </c>
      <c r="F27" s="1814">
        <f t="shared" si="9"/>
        <v>0</v>
      </c>
      <c r="G27" s="1815">
        <f t="shared" si="10"/>
        <v>0</v>
      </c>
    </row>
    <row r="28" spans="1:8" x14ac:dyDescent="0.25">
      <c r="A28" s="1675"/>
      <c r="B28" s="1859"/>
      <c r="C28" s="1676"/>
      <c r="D28" s="1866"/>
      <c r="E28" s="1562">
        <f t="shared" si="8"/>
        <v>0</v>
      </c>
      <c r="F28" s="1814">
        <f t="shared" si="9"/>
        <v>0</v>
      </c>
      <c r="G28" s="1815">
        <f t="shared" si="10"/>
        <v>0</v>
      </c>
    </row>
    <row r="29" spans="1:8" x14ac:dyDescent="0.25">
      <c r="A29" s="1675"/>
      <c r="B29" s="1859"/>
      <c r="C29" s="1676"/>
      <c r="D29" s="1866"/>
      <c r="E29" s="1562">
        <f t="shared" si="8"/>
        <v>0</v>
      </c>
      <c r="F29" s="1814">
        <f t="shared" si="9"/>
        <v>0</v>
      </c>
      <c r="G29" s="1815">
        <f t="shared" si="10"/>
        <v>0</v>
      </c>
    </row>
    <row r="30" spans="1:8" x14ac:dyDescent="0.25">
      <c r="A30" s="1675"/>
      <c r="B30" s="1688"/>
      <c r="C30" s="1676"/>
      <c r="D30" s="1866"/>
      <c r="E30" s="1562">
        <f t="shared" si="8"/>
        <v>0</v>
      </c>
      <c r="F30" s="1814">
        <f t="shared" si="9"/>
        <v>0</v>
      </c>
      <c r="G30" s="1815">
        <f t="shared" si="10"/>
        <v>0</v>
      </c>
    </row>
    <row r="31" spans="1:8" x14ac:dyDescent="0.25">
      <c r="A31" s="1675"/>
      <c r="B31" s="1688"/>
      <c r="C31" s="1676"/>
      <c r="D31" s="1866"/>
      <c r="E31" s="1562">
        <f t="shared" si="8"/>
        <v>0</v>
      </c>
      <c r="F31" s="1814">
        <f t="shared" si="9"/>
        <v>0</v>
      </c>
      <c r="G31" s="1815">
        <f t="shared" si="10"/>
        <v>0</v>
      </c>
    </row>
    <row r="32" spans="1:8" x14ac:dyDescent="0.25">
      <c r="A32" s="1675"/>
      <c r="B32" s="1688"/>
      <c r="C32" s="1676"/>
      <c r="D32" s="1866"/>
      <c r="E32" s="1562">
        <f t="shared" ref="E32:E36" si="11">IF(D32&lt;=25000,D32,IF(D32&gt;25000,25000,0))</f>
        <v>0</v>
      </c>
      <c r="F32" s="1814">
        <f t="shared" ref="F32:F36" si="12">IF(OR(B32="10-1000-100",B32="10-1000-200",B32="10-1000-300",B32="10-1000-400",B32="10-1000-600",B32="10-1000-800",B32="50-1000-200",B32="10-2100-100",B32="10-2100-200",B32="10-2100-300",B32="10-2100-400",B32="10-2100-600",B32="10-2100-800",B32="20-2100-200",B32="20-2190-100",B32="20-2190-200",B32="20-2190-300",B32="20-2190-400",B32="20-2190-600",B32="20-2190-800",B32="40-2190-100",B32="40-2190-200",B32="40-2190-300",B32="40-2190-400",B32="40-2190-600",B32="40-2190-800",B32="50-2190-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20-2540-800",B32="20-2540-100",B32="20-2540-200",B32="20-2540-300",B32="20-2540-400",B32="20-2540-600",B32="50-2540-200",B32="90-2540-100",B32="90-2540-200",B32="90-2540-300",B32="90-2540-400",B32="90-2540-600",B32="90-2540-800",B32="90-2540-800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20-2560-100",B32="20-2560-200",B32="20-2560-300",B32="20-2560-400",B32="20-2560-600",B32="20-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60-2900-100",B32="60-2900-200",B32="60-2900-300",B32="60-2900-400",B32="60-2900-600",B32="60-2900-800",B32="90-2900-100",B32="90-2900-200",B32="90-2900-300",B32="90-2900-400",B32="90-2900-600",B32="90-2900-800",B32="10-3000-100",B32="10-3000-200",B32="10-3000-300",B32="10-3000-400",B32="10-3000-600",B32="10-3000-800",B32="20-3000-100",B32="20-3000-200",B32="20-3000-300",B32="20-3000-400",B32="20-3000-600",B32="20-3000-800",B32="40-3000-100",B32="40-3000-200",B32="40-3000-300",B32="40-3000-400",B32="40-3000-600",B32="40-3000-800",B32="50-3000-200"),E32,0)</f>
        <v>0</v>
      </c>
      <c r="G32" s="1815">
        <f t="shared" ref="G32:G36" si="13">IF(F32=0,0,D32-F32)</f>
        <v>0</v>
      </c>
    </row>
    <row r="33" spans="1:7" x14ac:dyDescent="0.25">
      <c r="A33" s="1675"/>
      <c r="B33" s="1688"/>
      <c r="C33" s="1676"/>
      <c r="D33" s="1866"/>
      <c r="E33" s="1562">
        <f t="shared" si="11"/>
        <v>0</v>
      </c>
      <c r="F33" s="1814">
        <f t="shared" si="12"/>
        <v>0</v>
      </c>
      <c r="G33" s="1815">
        <f t="shared" si="13"/>
        <v>0</v>
      </c>
    </row>
    <row r="34" spans="1:7" x14ac:dyDescent="0.25">
      <c r="A34" s="1675"/>
      <c r="B34" s="1688"/>
      <c r="C34" s="1676"/>
      <c r="D34" s="1866"/>
      <c r="E34" s="1562">
        <f t="shared" si="11"/>
        <v>0</v>
      </c>
      <c r="F34" s="1814">
        <f t="shared" si="12"/>
        <v>0</v>
      </c>
      <c r="G34" s="1815">
        <f t="shared" si="13"/>
        <v>0</v>
      </c>
    </row>
    <row r="35" spans="1:7" x14ac:dyDescent="0.25">
      <c r="A35" s="1675"/>
      <c r="B35" s="1688"/>
      <c r="C35" s="1676"/>
      <c r="D35" s="1866"/>
      <c r="E35" s="1562">
        <f t="shared" si="11"/>
        <v>0</v>
      </c>
      <c r="F35" s="1814">
        <f t="shared" si="12"/>
        <v>0</v>
      </c>
      <c r="G35" s="1815">
        <f t="shared" si="13"/>
        <v>0</v>
      </c>
    </row>
    <row r="36" spans="1:7" x14ac:dyDescent="0.25">
      <c r="A36" s="1675"/>
      <c r="B36" s="1688"/>
      <c r="C36" s="1676"/>
      <c r="D36" s="1866"/>
      <c r="E36" s="1562">
        <f t="shared" si="11"/>
        <v>0</v>
      </c>
      <c r="F36" s="1814">
        <f t="shared" si="12"/>
        <v>0</v>
      </c>
      <c r="G36" s="1815">
        <f t="shared" si="13"/>
        <v>0</v>
      </c>
    </row>
    <row r="37" spans="1:7" x14ac:dyDescent="0.25">
      <c r="A37" s="1675"/>
      <c r="B37" s="1687"/>
      <c r="C37" s="1676"/>
      <c r="D37" s="1866"/>
      <c r="E37" s="1562">
        <f t="shared" si="2"/>
        <v>0</v>
      </c>
      <c r="F37" s="1814">
        <f t="shared" si="3"/>
        <v>0</v>
      </c>
      <c r="G37" s="1815">
        <f t="shared" si="4"/>
        <v>0</v>
      </c>
    </row>
    <row r="38" spans="1:7" x14ac:dyDescent="0.25">
      <c r="A38" s="1818" t="s">
        <v>158</v>
      </c>
      <c r="B38" s="1819"/>
      <c r="C38" s="1820"/>
      <c r="D38" s="1816">
        <f>SUM(D17:D37)</f>
        <v>0</v>
      </c>
      <c r="E38" s="1563">
        <f t="shared" si="1"/>
        <v>0</v>
      </c>
      <c r="F38" s="1816">
        <f>SUM(F17:F37)</f>
        <v>0</v>
      </c>
      <c r="G38" s="1817">
        <f>SUM(G17:G37)</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15" sqref="T15:AA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45391</v>
      </c>
      <c r="F10" s="975"/>
      <c r="G10" s="976"/>
      <c r="H10" s="162"/>
      <c r="I10" s="162"/>
    </row>
    <row r="11" spans="1:9" s="669" customFormat="1" ht="22.5" customHeight="1" x14ac:dyDescent="0.2">
      <c r="A11" s="2301" t="s">
        <v>1945</v>
      </c>
      <c r="B11" s="2302"/>
      <c r="C11" s="2302"/>
      <c r="D11" s="2303"/>
      <c r="E11" s="978">
        <v>8638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1267451</v>
      </c>
      <c r="F19" s="1821"/>
      <c r="G19" s="1823">
        <f>'Expenditures 15-22'!K33-SUM('Expenditures 15-22'!G33,'Expenditures 15-22'!I33)+'Expenditures 15-22'!D229</f>
        <v>1267451</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64289</v>
      </c>
      <c r="F21" s="1824"/>
      <c r="G21" s="1827">
        <f>'Expenditures 15-22'!K42-SUM('Expenditures 15-22'!G42,'Expenditures 15-22'!I42)+'Expenditures 15-22'!K120-SUM('Expenditures 15-22'!G120,'Expenditures 15-22'!I120)+'Expenditures 15-22'!K180-SUM('Expenditures 15-22'!G180,'Expenditures 15-22'!I180)+'Expenditures 15-22'!D238</f>
        <v>64289</v>
      </c>
      <c r="H21" s="988"/>
      <c r="I21" s="162"/>
    </row>
    <row r="22" spans="1:9" s="669" customFormat="1" ht="12" customHeight="1" x14ac:dyDescent="0.2">
      <c r="A22" s="995" t="s">
        <v>585</v>
      </c>
      <c r="B22" s="996"/>
      <c r="C22" s="994">
        <v>2200</v>
      </c>
      <c r="D22" s="1824"/>
      <c r="E22" s="1826">
        <f>'Expenditures 15-22'!K47-SUM('Expenditures 15-22'!G47,'Expenditures 15-22'!I47)+'Expenditures 15-22'!D243</f>
        <v>30916</v>
      </c>
      <c r="F22" s="1824"/>
      <c r="G22" s="1827">
        <f>'Expenditures 15-22'!K47-SUM('Expenditures 15-22'!G47,'Expenditures 15-22'!I47)+'Expenditures 15-22'!D243</f>
        <v>30916</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182474</v>
      </c>
      <c r="F23" s="1824"/>
      <c r="G23" s="1826">
        <f>'Expenditures 15-22'!K53-SUM('Expenditures 15-22'!G53,'Expenditures 15-22'!I53)+'Expenditures 15-22'!D257+'Expenditures 15-22'!K330-SUM('Expenditures 15-22'!G330,'Expenditures 15-22'!I330)</f>
        <v>182474</v>
      </c>
      <c r="H23" s="988"/>
      <c r="I23" s="162"/>
    </row>
    <row r="24" spans="1:9" s="669" customFormat="1" ht="12" customHeight="1" x14ac:dyDescent="0.2">
      <c r="A24" s="995" t="s">
        <v>587</v>
      </c>
      <c r="B24" s="996"/>
      <c r="C24" s="994">
        <v>2400</v>
      </c>
      <c r="D24" s="1824"/>
      <c r="E24" s="1826">
        <f>'Expenditures 15-22'!K57-SUM('Expenditures 15-22'!G57,'Expenditures 15-22'!I57)+'Expenditures 15-22'!D261</f>
        <v>152273</v>
      </c>
      <c r="F24" s="1824"/>
      <c r="G24" s="1827">
        <f>'Expenditures 15-22'!K57-SUM('Expenditures 15-22'!G57,'Expenditures 15-22'!I57)+'Expenditures 15-22'!D261</f>
        <v>152273</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134549</v>
      </c>
      <c r="E27" s="1826">
        <f>E8</f>
        <v>0</v>
      </c>
      <c r="F27" s="1826">
        <f>'Expenditures 15-22'!K60-SUM('Expenditures 15-22'!G60,'Expenditures 15-22'!I60)+'Expenditures 15-22'!D264-E8</f>
        <v>134549</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229155</v>
      </c>
      <c r="F28" s="1828">
        <f>'Expenditures 15-22'!K61-SUM('Expenditures 15-22'!G61,'Expenditures 15-22'!I61)+'Expenditures 15-22'!K124-SUM('Expenditures 15-22'!G124,'Expenditures 15-22'!I124)+'Expenditures 15-22'!D266-E9</f>
        <v>229155</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136426</v>
      </c>
      <c r="F29" s="1824"/>
      <c r="G29" s="1827">
        <f>'Expenditures 15-22'!K62-SUM('Expenditures 15-22'!G62,'Expenditures 15-22'!I62)+'Expenditures 15-22'!K125-SUM('Expenditures 15-22'!G125,'Expenditures 15-22'!I125)+'Expenditures 15-22'!K182-SUM('Expenditures 15-22'!G182,'Expenditures 15-22'!I182)+'Expenditures 15-22'!D267</f>
        <v>136426</v>
      </c>
      <c r="H29" s="986"/>
    </row>
    <row r="30" spans="1:9" ht="12" customHeight="1" x14ac:dyDescent="0.2">
      <c r="A30" s="995" t="s">
        <v>102</v>
      </c>
      <c r="B30" s="998"/>
      <c r="C30" s="994">
        <v>2560</v>
      </c>
      <c r="D30" s="1824"/>
      <c r="E30" s="1826">
        <f>'Expenditures 15-22'!K63-SUM('Expenditures 15-22'!G63,'Expenditures 15-22'!I63)+'Expenditures 15-22'!D268-E10</f>
        <v>43830</v>
      </c>
      <c r="F30" s="1824"/>
      <c r="G30" s="1826">
        <f>'Expenditures 15-22'!K63-SUM('Expenditures 15-22'!G63,'Expenditures 15-22'!I63)+'Expenditures 15-22'!D268-E10</f>
        <v>43830</v>
      </c>
    </row>
    <row r="31" spans="1:9" ht="12" customHeight="1" x14ac:dyDescent="0.2">
      <c r="A31" s="995" t="s">
        <v>103</v>
      </c>
      <c r="B31" s="998"/>
      <c r="C31" s="994">
        <v>2570</v>
      </c>
      <c r="D31" s="1826">
        <f>'Expenditures 15-22'!K64-SUM('Expenditures 15-22'!G64,'Expenditures 15-22'!I64)+'Expenditures 15-22'!D269-E12</f>
        <v>318</v>
      </c>
      <c r="E31" s="1826">
        <f>E12</f>
        <v>0</v>
      </c>
      <c r="F31" s="1826">
        <f>'Expenditures 15-22'!K64-SUM('Expenditures 15-22'!G64,'Expenditures 15-22'!I64)+'Expenditures 15-22'!D269-E12</f>
        <v>318</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4</v>
      </c>
      <c r="E36" s="1826">
        <f>E13</f>
        <v>0</v>
      </c>
      <c r="F36" s="1826">
        <f>'Expenditures 15-22'!K70-SUM('Expenditures 15-22'!G70,'Expenditures 15-22'!I70)+'Expenditures 15-22'!D275-E13</f>
        <v>4</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517</v>
      </c>
      <c r="F39" s="1824"/>
      <c r="G39" s="1826">
        <f>'Expenditures 15-22'!K75-SUM('Expenditures 15-22'!G75,'Expenditures 15-22'!I75)+'Expenditures 15-22'!K130-SUM('Expenditures 15-22'!G130,'Expenditures 15-22'!I130)+'Expenditures 15-22'!K185-SUM('Expenditures 15-22'!G185,'Expenditures 15-22'!I185)+'Expenditures 15-22'!D280</f>
        <v>517</v>
      </c>
    </row>
    <row r="40" spans="1:7" ht="12" customHeight="1" x14ac:dyDescent="0.2">
      <c r="A40" s="991" t="s">
        <v>1930</v>
      </c>
      <c r="B40" s="992"/>
      <c r="C40" s="994"/>
      <c r="D40" s="1824"/>
      <c r="E40" s="1828">
        <f>-'Contracts Paid in CY 29'!G38</f>
        <v>0</v>
      </c>
      <c r="F40" s="1824"/>
      <c r="G40" s="1828">
        <f>-'Contracts Paid in CY 29'!G38</f>
        <v>0</v>
      </c>
    </row>
    <row r="41" spans="1:7" ht="12" customHeight="1" x14ac:dyDescent="0.2">
      <c r="A41" s="999" t="s">
        <v>158</v>
      </c>
      <c r="B41" s="1000"/>
      <c r="C41" s="1001"/>
      <c r="D41" s="1828">
        <f>SUM(D19:D39)</f>
        <v>134871</v>
      </c>
      <c r="E41" s="1828">
        <f>SUM(E19:E40)</f>
        <v>2107331</v>
      </c>
      <c r="F41" s="1828">
        <f>SUM(F19:F39)</f>
        <v>364026</v>
      </c>
      <c r="G41" s="1828">
        <f>SUM(G19:G40)</f>
        <v>1878176</v>
      </c>
    </row>
    <row r="42" spans="1:7" x14ac:dyDescent="0.2">
      <c r="A42" s="988"/>
      <c r="B42" s="162"/>
      <c r="C42" s="1002"/>
      <c r="D42" s="2299" t="s">
        <v>543</v>
      </c>
      <c r="E42" s="2300"/>
      <c r="F42" s="1003" t="s">
        <v>544</v>
      </c>
      <c r="G42" s="1004"/>
    </row>
    <row r="43" spans="1:7" ht="12" customHeight="1" x14ac:dyDescent="0.2">
      <c r="A43" s="988"/>
      <c r="B43" s="162"/>
      <c r="C43" s="1002"/>
      <c r="D43" s="1829" t="s">
        <v>493</v>
      </c>
      <c r="E43" s="1830">
        <f>D41</f>
        <v>134871</v>
      </c>
      <c r="F43" s="1829" t="s">
        <v>495</v>
      </c>
      <c r="G43" s="1830">
        <f>F41</f>
        <v>364026</v>
      </c>
    </row>
    <row r="44" spans="1:7" ht="12" customHeight="1" x14ac:dyDescent="0.2">
      <c r="A44" s="988"/>
      <c r="B44" s="162"/>
      <c r="C44" s="1002"/>
      <c r="D44" s="1829" t="s">
        <v>494</v>
      </c>
      <c r="E44" s="1830">
        <f>E41</f>
        <v>2107331</v>
      </c>
      <c r="F44" s="1829" t="s">
        <v>494</v>
      </c>
      <c r="G44" s="1830">
        <f>G41</f>
        <v>1878176</v>
      </c>
    </row>
    <row r="45" spans="1:7" ht="12" customHeight="1" x14ac:dyDescent="0.2">
      <c r="A45" s="988"/>
      <c r="B45" s="162"/>
      <c r="C45" s="162"/>
      <c r="D45" s="1831" t="s">
        <v>1063</v>
      </c>
      <c r="E45" s="1832">
        <f>(E43/E44)</f>
        <v>6.4000861753564106E-2</v>
      </c>
      <c r="F45" s="1831" t="s">
        <v>1063</v>
      </c>
      <c r="G45" s="1832">
        <f>(G43/G44)</f>
        <v>0.19381889663162558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15" sqref="T15:AA15"/>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7" t="s">
        <v>1446</v>
      </c>
      <c r="B1" s="2307"/>
      <c r="C1" s="2307"/>
      <c r="D1" s="2307"/>
      <c r="E1" s="2307"/>
      <c r="F1" s="2307"/>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08" t="s">
        <v>1627</v>
      </c>
      <c r="B5" s="2309"/>
      <c r="C5" s="2310"/>
      <c r="D5" s="2310"/>
      <c r="E5" s="2310"/>
      <c r="F5" s="2310"/>
    </row>
    <row r="6" spans="1:10" ht="12" customHeight="1" x14ac:dyDescent="0.25">
      <c r="A6" s="1873"/>
      <c r="B6" s="1874"/>
      <c r="C6" s="2311" t="str">
        <f>COVER!A17</f>
        <v xml:space="preserve">Greenview CUSD 200                </v>
      </c>
      <c r="D6" s="2311"/>
      <c r="E6" s="2311"/>
      <c r="F6" s="1875"/>
    </row>
    <row r="7" spans="1:10" ht="11.25" customHeight="1" thickBot="1" x14ac:dyDescent="0.3">
      <c r="A7" s="1873"/>
      <c r="B7" s="1874"/>
      <c r="C7" s="2312">
        <f>COVER!A13</f>
        <v>51065200026</v>
      </c>
      <c r="D7" s="2312"/>
      <c r="E7" s="2312"/>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2084</v>
      </c>
      <c r="D19" s="1888" t="s">
        <v>2084</v>
      </c>
      <c r="E19" s="1891"/>
      <c r="F19" s="1890" t="s">
        <v>2094</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2084</v>
      </c>
      <c r="D26" s="1888" t="s">
        <v>2084</v>
      </c>
      <c r="E26" s="1891"/>
      <c r="F26" s="1890" t="s">
        <v>2095</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2084</v>
      </c>
      <c r="D31" s="1888" t="s">
        <v>2084</v>
      </c>
      <c r="E31" s="1891"/>
      <c r="F31" s="1890" t="s">
        <v>2096</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0</v>
      </c>
      <c r="K34" s="1901">
        <f>SUM(H34:J34)</f>
        <v>30</v>
      </c>
    </row>
    <row r="35" spans="1:11" ht="12" customHeight="1" x14ac:dyDescent="0.2">
      <c r="A35" s="1894" t="s">
        <v>1459</v>
      </c>
      <c r="B35" s="1895"/>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6"/>
      <c r="B39" s="1896"/>
      <c r="C39" s="1896"/>
      <c r="D39" s="1896"/>
      <c r="E39" s="1896"/>
      <c r="F39" s="1896"/>
    </row>
    <row r="40" spans="1:11" s="1893" customFormat="1" ht="12" customHeight="1" x14ac:dyDescent="0.25">
      <c r="A40" s="1897" t="s">
        <v>1458</v>
      </c>
      <c r="B40" s="1898"/>
      <c r="C40" s="2321"/>
      <c r="D40" s="2321"/>
      <c r="E40" s="2321"/>
      <c r="F40" s="2322"/>
      <c r="H40" s="1902"/>
      <c r="I40" s="1902"/>
      <c r="J40" s="1902"/>
      <c r="K40" s="1902"/>
    </row>
    <row r="41" spans="1:11" s="1893" customFormat="1" ht="12" customHeight="1" x14ac:dyDescent="0.25">
      <c r="A41" s="2323"/>
      <c r="B41" s="2324"/>
      <c r="C41" s="2324"/>
      <c r="D41" s="2324"/>
      <c r="E41" s="2324"/>
      <c r="F41" s="2325"/>
      <c r="H41" s="1902"/>
      <c r="I41" s="1902"/>
      <c r="J41" s="1902"/>
      <c r="K41" s="1902"/>
    </row>
    <row r="42" spans="1:11" s="1893" customFormat="1" ht="12" customHeight="1" x14ac:dyDescent="0.25">
      <c r="A42" s="2323"/>
      <c r="B42" s="2324"/>
      <c r="C42" s="2324"/>
      <c r="D42" s="2324"/>
      <c r="E42" s="2324"/>
      <c r="F42" s="2325"/>
      <c r="H42" s="1902"/>
      <c r="I42" s="1902"/>
      <c r="J42" s="1902"/>
      <c r="K42" s="1902"/>
    </row>
    <row r="43" spans="1:11" s="1893" customFormat="1" ht="15" x14ac:dyDescent="0.25">
      <c r="A43" s="2315"/>
      <c r="B43" s="2316"/>
      <c r="C43" s="2316"/>
      <c r="D43" s="2316"/>
      <c r="E43" s="2316"/>
      <c r="F43" s="2317"/>
      <c r="H43" s="1902"/>
      <c r="I43" s="1902"/>
      <c r="J43" s="1902"/>
      <c r="K43" s="1902"/>
    </row>
    <row r="44" spans="1:11" s="1893" customFormat="1" ht="12" hidden="1" customHeight="1" x14ac:dyDescent="0.25">
      <c r="A44" s="2315"/>
      <c r="B44" s="2316"/>
      <c r="C44" s="2316"/>
      <c r="D44" s="2316"/>
      <c r="E44" s="2316"/>
      <c r="F44" s="231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1" sqref="B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1" t="str">
        <f>COVER!A17</f>
        <v xml:space="preserve">Greenview CUSD 200                </v>
      </c>
      <c r="J6" s="2332"/>
      <c r="Q6" s="1685"/>
    </row>
    <row r="7" spans="1:17" x14ac:dyDescent="0.2">
      <c r="A7" s="2333" t="s">
        <v>924</v>
      </c>
      <c r="B7" s="2334"/>
      <c r="C7" s="2334"/>
      <c r="D7" s="2334"/>
      <c r="E7" s="2335"/>
      <c r="F7" s="1018"/>
      <c r="G7" s="1010"/>
      <c r="H7" s="1017" t="s">
        <v>390</v>
      </c>
      <c r="I7" s="2336">
        <f>COVER!A13</f>
        <v>51065200026</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100072</v>
      </c>
      <c r="F12" s="1040"/>
      <c r="G12" s="1833">
        <f t="shared" ref="G12:G18" si="0">SUM(E12:F12)</f>
        <v>100072</v>
      </c>
      <c r="H12" s="1041">
        <v>103065</v>
      </c>
      <c r="I12" s="1040"/>
      <c r="J12" s="1833">
        <f t="shared" ref="J12:J18" si="1">SUM(H12:I12)</f>
        <v>103065</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318</v>
      </c>
      <c r="F16" s="1040"/>
      <c r="G16" s="1833">
        <f t="shared" si="0"/>
        <v>318</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0" t="s">
        <v>7</v>
      </c>
      <c r="C18" s="2341"/>
      <c r="D18" s="2342"/>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100390</v>
      </c>
      <c r="F19" s="1835">
        <f t="shared" si="2"/>
        <v>0</v>
      </c>
      <c r="G19" s="1835">
        <f t="shared" si="2"/>
        <v>100390</v>
      </c>
      <c r="H19" s="1835">
        <f t="shared" si="2"/>
        <v>103065</v>
      </c>
      <c r="I19" s="1835">
        <f t="shared" si="2"/>
        <v>0</v>
      </c>
      <c r="J19" s="1835">
        <f t="shared" si="2"/>
        <v>103065</v>
      </c>
    </row>
    <row r="20" spans="1:10" ht="13.5" thickTop="1" x14ac:dyDescent="0.2">
      <c r="A20" s="1036">
        <v>9</v>
      </c>
      <c r="B20" s="2343" t="s">
        <v>1703</v>
      </c>
      <c r="C20" s="2343"/>
      <c r="D20" s="2344"/>
      <c r="E20" s="1047"/>
      <c r="F20" s="1047"/>
      <c r="G20" s="1047"/>
      <c r="H20" s="1047"/>
      <c r="I20" s="1047"/>
      <c r="J20" s="1836">
        <f>IF(AND(G19&gt;0,J19&gt;0),(((J19-G19)/G19)),"Enter Budget Data")</f>
        <v>2.6646080286881164E-2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c r="D28" s="2347"/>
      <c r="E28" s="1055"/>
      <c r="F28" s="2347"/>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1944</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 sqref="B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v>2</v>
      </c>
      <c r="B6" s="329" t="s">
        <v>2098</v>
      </c>
    </row>
    <row r="7" spans="1:2" x14ac:dyDescent="0.2">
      <c r="A7" s="1069">
        <v>3</v>
      </c>
      <c r="B7" s="329" t="s">
        <v>2099</v>
      </c>
    </row>
    <row r="8" spans="1:2" x14ac:dyDescent="0.2">
      <c r="A8" s="1069">
        <v>4</v>
      </c>
      <c r="B8" s="329" t="s">
        <v>2100</v>
      </c>
    </row>
    <row r="9" spans="1:2" x14ac:dyDescent="0.2">
      <c r="A9" s="1069">
        <v>5</v>
      </c>
      <c r="B9" s="329" t="s">
        <v>2101</v>
      </c>
    </row>
    <row r="10" spans="1:2" x14ac:dyDescent="0.2">
      <c r="A10" s="1069">
        <v>6</v>
      </c>
      <c r="B10" s="329" t="s">
        <v>2102</v>
      </c>
    </row>
    <row r="11" spans="1:2" x14ac:dyDescent="0.2">
      <c r="A11" s="1069">
        <v>7</v>
      </c>
      <c r="B11" s="329" t="s">
        <v>2105</v>
      </c>
    </row>
    <row r="12" spans="1:2" x14ac:dyDescent="0.2">
      <c r="A12" s="1069">
        <v>8</v>
      </c>
    </row>
    <row r="13" spans="1:2" x14ac:dyDescent="0.2">
      <c r="A13" s="1069">
        <v>9</v>
      </c>
    </row>
    <row r="14" spans="1:2" x14ac:dyDescent="0.2">
      <c r="A14" s="1069">
        <v>10</v>
      </c>
    </row>
    <row r="15" spans="1:2" x14ac:dyDescent="0.2">
      <c r="A15" s="1069"/>
    </row>
    <row r="16" spans="1:2" x14ac:dyDescent="0.2">
      <c r="A16" s="1069"/>
    </row>
    <row r="17" spans="1:1" x14ac:dyDescent="0.2">
      <c r="A17" s="1069"/>
    </row>
    <row r="18" spans="1:1" x14ac:dyDescent="0.2">
      <c r="A18" s="1069"/>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 xml:space="preserve">Greenview CUSD 200                </v>
      </c>
    </row>
    <row r="65" spans="2:2" x14ac:dyDescent="0.2">
      <c r="B65" s="1071">
        <f>COVER!A13</f>
        <v>51065200026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1666875</xdr:colOff>
                <xdr:row>3</xdr:row>
                <xdr:rowOff>9525</xdr:rowOff>
              </from>
              <to>
                <xdr:col>1</xdr:col>
                <xdr:colOff>2581275</xdr:colOff>
                <xdr:row>7</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15" sqref="T15:AA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5"/>
      <c r="H2" s="1075"/>
    </row>
    <row r="3" spans="1:8" ht="57" customHeight="1" x14ac:dyDescent="0.2">
      <c r="A3" s="2364" t="s">
        <v>1786</v>
      </c>
      <c r="B3" s="2365"/>
      <c r="C3" s="2365"/>
      <c r="D3" s="2365"/>
      <c r="E3" s="2365"/>
      <c r="F3" s="2366"/>
      <c r="G3" s="1075"/>
      <c r="H3" s="1075"/>
    </row>
    <row r="4" spans="1:8" ht="14.25" customHeight="1" x14ac:dyDescent="0.2">
      <c r="A4" s="2370" t="s">
        <v>2056</v>
      </c>
      <c r="B4" s="2371"/>
      <c r="C4" s="2371"/>
      <c r="D4" s="2371"/>
      <c r="E4" s="2371"/>
      <c r="F4" s="2372"/>
      <c r="G4" s="1075"/>
      <c r="H4" s="1075"/>
    </row>
    <row r="5" spans="1:8" ht="14.25" customHeight="1" x14ac:dyDescent="0.2">
      <c r="A5" s="2373" t="s">
        <v>2057</v>
      </c>
      <c r="B5" s="2374"/>
      <c r="C5" s="2374"/>
      <c r="D5" s="2374"/>
      <c r="E5" s="2374"/>
      <c r="F5" s="2375"/>
      <c r="G5" s="1075"/>
      <c r="H5" s="1075"/>
    </row>
    <row r="6" spans="1:8" s="1076" customFormat="1" ht="41.25" customHeight="1" x14ac:dyDescent="0.2">
      <c r="A6" s="2367" t="s">
        <v>1792</v>
      </c>
      <c r="B6" s="2368"/>
      <c r="C6" s="2368"/>
      <c r="D6" s="2368"/>
      <c r="E6" s="2368"/>
      <c r="F6" s="236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2303281</v>
      </c>
      <c r="C8" s="1837">
        <f>'Acct Summary 7-8'!D8</f>
        <v>260129</v>
      </c>
      <c r="D8" s="1837">
        <f>'Acct Summary 7-8'!F8</f>
        <v>287776</v>
      </c>
      <c r="E8" s="1837">
        <f>'Acct Summary 7-8'!I8</f>
        <v>15544</v>
      </c>
      <c r="F8" s="1837">
        <f>SUM(B8:E8)</f>
        <v>2866730</v>
      </c>
    </row>
    <row r="9" spans="1:8" s="1080" customFormat="1" ht="14.25" customHeight="1" thickBot="1" x14ac:dyDescent="0.25">
      <c r="A9" s="1079" t="s">
        <v>1436</v>
      </c>
      <c r="B9" s="1838">
        <f>'Acct Summary 7-8'!C17</f>
        <v>2105199</v>
      </c>
      <c r="C9" s="1838">
        <f>'Acct Summary 7-8'!D17</f>
        <v>339423</v>
      </c>
      <c r="D9" s="1838">
        <f>'Acct Summary 7-8'!F17</f>
        <v>121545</v>
      </c>
      <c r="E9" s="1837"/>
      <c r="F9" s="1837">
        <f>SUM(B9:E9)</f>
        <v>2566167</v>
      </c>
    </row>
    <row r="10" spans="1:8" s="1080" customFormat="1" ht="14.25" thickTop="1" thickBot="1" x14ac:dyDescent="0.25">
      <c r="A10" s="1081" t="s">
        <v>1437</v>
      </c>
      <c r="B10" s="1839">
        <f>(B8-B9)</f>
        <v>198082</v>
      </c>
      <c r="C10" s="1839">
        <f>(C8-C9)</f>
        <v>-79294</v>
      </c>
      <c r="D10" s="1839">
        <f>(D8-D9)</f>
        <v>166231</v>
      </c>
      <c r="E10" s="1838">
        <f>(E8-E9)</f>
        <v>15544</v>
      </c>
      <c r="F10" s="1840">
        <f>SUM(F8-F9)</f>
        <v>300563</v>
      </c>
    </row>
    <row r="11" spans="1:8" s="1080" customFormat="1" ht="14.25" thickTop="1" thickBot="1" x14ac:dyDescent="0.25">
      <c r="A11" s="1082" t="s">
        <v>1785</v>
      </c>
      <c r="B11" s="1841">
        <f>'Acct Summary 7-8'!C81</f>
        <v>1397063</v>
      </c>
      <c r="C11" s="1841">
        <f>'Acct Summary 7-8'!D81</f>
        <v>382307</v>
      </c>
      <c r="D11" s="1841">
        <f>'Acct Summary 7-8'!F81</f>
        <v>795007</v>
      </c>
      <c r="E11" s="1841">
        <f>'Acct Summary 7-8'!I81</f>
        <v>161784</v>
      </c>
      <c r="F11" s="1842">
        <f>SUM(B11:E11)</f>
        <v>2736161</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1787</v>
      </c>
      <c r="B16" s="2354"/>
      <c r="C16" s="2354"/>
      <c r="D16" s="2354"/>
      <c r="E16" s="235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6" t="s">
        <v>686</v>
      </c>
      <c r="B3" s="2377"/>
      <c r="C3" s="2377"/>
      <c r="D3" s="237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7" t="s">
        <v>1584</v>
      </c>
      <c r="D7" s="238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9" t="s">
        <v>1065</v>
      </c>
      <c r="B15" s="2380"/>
      <c r="C15" s="2380"/>
      <c r="D15" s="2381"/>
    </row>
    <row r="16" spans="1:4" s="669" customFormat="1" ht="24" customHeight="1" x14ac:dyDescent="0.2">
      <c r="A16" s="2382" t="s">
        <v>684</v>
      </c>
      <c r="B16" s="2383"/>
      <c r="C16" s="2383"/>
      <c r="D16" s="238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1" t="s">
        <v>332</v>
      </c>
      <c r="D21" s="2392"/>
    </row>
    <row r="22" spans="1:10" ht="12.75" x14ac:dyDescent="0.2">
      <c r="A22" s="1140"/>
      <c r="B22" s="1141">
        <v>2</v>
      </c>
      <c r="C22" s="2389" t="s">
        <v>1605</v>
      </c>
      <c r="D22" s="239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3" t="s">
        <v>557</v>
      </c>
      <c r="D43" s="239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5" t="s">
        <v>817</v>
      </c>
      <c r="D56" s="238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5" t="s">
        <v>1797</v>
      </c>
      <c r="D70" s="238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29'!D38&gt;0,"OK","PLEASE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51065200026</v>
      </c>
    </row>
    <row r="3" spans="1:2" x14ac:dyDescent="0.2">
      <c r="A3" t="s">
        <v>1013</v>
      </c>
      <c r="B3" s="138" t="str">
        <f>COVER!A15</f>
        <v>Menard</v>
      </c>
    </row>
    <row r="4" spans="1:2" x14ac:dyDescent="0.2">
      <c r="A4" t="s">
        <v>1064</v>
      </c>
      <c r="B4" s="138" t="str">
        <f>COVER!A17</f>
        <v xml:space="preserve">Greenview CUSD 200                </v>
      </c>
    </row>
    <row r="5" spans="1:2" x14ac:dyDescent="0.2">
      <c r="A5" t="s">
        <v>728</v>
      </c>
      <c r="B5" s="138" t="str">
        <f>COVER!A38</f>
        <v>Ryan Heavner, Superintendent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Pehlman and Dold, P.C.</v>
      </c>
    </row>
    <row r="17" spans="1:2" x14ac:dyDescent="0.2">
      <c r="A17" t="s">
        <v>939</v>
      </c>
      <c r="B17" s="138" t="str">
        <f>COVER!T15</f>
        <v xml:space="preserve">Dorinda L Fitzgerald                      </v>
      </c>
    </row>
    <row r="18" spans="1:2" x14ac:dyDescent="0.2">
      <c r="A18" t="s">
        <v>1212</v>
      </c>
      <c r="B18" s="138" t="str">
        <f>COVER!T17</f>
        <v>100 North Amos Avenue</v>
      </c>
    </row>
    <row r="19" spans="1:2" x14ac:dyDescent="0.2">
      <c r="A19" t="s">
        <v>941</v>
      </c>
      <c r="B19" s="138" t="str">
        <f>COVER!T25</f>
        <v>dfitzgerald@p-dcpas.com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1015424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1399339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2276</v>
      </c>
      <c r="C91" s="2" t="s">
        <v>594</v>
      </c>
      <c r="D91" s="2" t="str">
        <f t="shared" si="0"/>
        <v>Error?</v>
      </c>
    </row>
    <row r="92" spans="1:4" x14ac:dyDescent="0.2">
      <c r="A92" s="5">
        <v>31</v>
      </c>
      <c r="B92" s="138">
        <f>'Assets-Liab 5-6'!C39</f>
        <v>1382123</v>
      </c>
      <c r="D92" s="2" t="str">
        <f t="shared" si="0"/>
        <v>Error?</v>
      </c>
    </row>
    <row r="93" spans="1:4" x14ac:dyDescent="0.2">
      <c r="A93" s="5">
        <v>32</v>
      </c>
      <c r="B93" s="138">
        <f>'Assets-Liab 5-6'!C41</f>
        <v>1399339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253355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382307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382307</v>
      </c>
      <c r="D123" s="2" t="str">
        <f t="shared" si="0"/>
        <v>Error?</v>
      </c>
    </row>
    <row r="124" spans="1:4" x14ac:dyDescent="0.2">
      <c r="A124" s="5">
        <v>63</v>
      </c>
      <c r="B124" s="138">
        <f>'Assets-Liab 5-6'!D41</f>
        <v>382307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405596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795007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795007</v>
      </c>
      <c r="D170" s="2" t="str">
        <f t="shared" si="1"/>
        <v>Error?</v>
      </c>
    </row>
    <row r="171" spans="1:4" x14ac:dyDescent="0.2">
      <c r="A171" s="5">
        <v>110</v>
      </c>
      <c r="B171" s="138">
        <f>'Assets-Liab 5-6'!F41</f>
        <v>795007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31189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34331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v>
      </c>
      <c r="C188" s="2" t="s">
        <v>594</v>
      </c>
      <c r="D188" s="2" t="str">
        <f t="shared" si="1"/>
        <v>Error?</v>
      </c>
    </row>
    <row r="189" spans="1:4" x14ac:dyDescent="0.2">
      <c r="A189" s="5">
        <v>128</v>
      </c>
      <c r="B189" s="138">
        <f>'Assets-Liab 5-6'!G39</f>
        <v>34308</v>
      </c>
      <c r="D189" s="2" t="str">
        <f t="shared" si="1"/>
        <v>Error?</v>
      </c>
    </row>
    <row r="190" spans="1:4" x14ac:dyDescent="0.2">
      <c r="A190" s="5">
        <v>129</v>
      </c>
      <c r="B190" s="138">
        <f>'Assets-Liab 5-6'!G41</f>
        <v>34331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7500</v>
      </c>
      <c r="D273" s="2" t="str">
        <f t="shared" si="3"/>
        <v>Error?</v>
      </c>
    </row>
    <row r="274" spans="1:4" x14ac:dyDescent="0.2">
      <c r="A274" s="5">
        <v>213</v>
      </c>
      <c r="B274" s="138">
        <f>'Assets-Liab 5-6'!M17</f>
        <v>2660610</v>
      </c>
      <c r="D274" s="2" t="str">
        <f t="shared" si="3"/>
        <v>Error?</v>
      </c>
    </row>
    <row r="275" spans="1:4" x14ac:dyDescent="0.2">
      <c r="A275" s="5">
        <v>214</v>
      </c>
      <c r="B275" s="138">
        <f>'Assets-Liab 5-6'!M18</f>
        <v>41861</v>
      </c>
      <c r="D275" s="2" t="str">
        <f t="shared" si="3"/>
        <v>Error?</v>
      </c>
    </row>
    <row r="276" spans="1:4" x14ac:dyDescent="0.2">
      <c r="A276" s="5">
        <v>215</v>
      </c>
      <c r="B276" s="138">
        <f>'Assets-Liab 5-6'!M19</f>
        <v>357553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3067524</v>
      </c>
      <c r="C279" s="2" t="s">
        <v>594</v>
      </c>
      <c r="D279" s="2" t="str">
        <f t="shared" si="3"/>
        <v>Error?</v>
      </c>
    </row>
    <row r="280" spans="1:4" x14ac:dyDescent="0.2">
      <c r="A280" s="5">
        <v>219</v>
      </c>
      <c r="B280" s="138">
        <f>'Assets-Liab 5-6'!M40</f>
        <v>3067524</v>
      </c>
      <c r="D280" s="2" t="str">
        <f t="shared" si="3"/>
        <v>Error?</v>
      </c>
    </row>
    <row r="281" spans="1:4" x14ac:dyDescent="0.2">
      <c r="A281" s="5">
        <v>220</v>
      </c>
      <c r="B281" s="138">
        <f>'Assets-Liab 5-6'!M41</f>
        <v>3067524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1059886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30095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1110443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40225</v>
      </c>
      <c r="D722" s="2" t="str">
        <f t="shared" si="10"/>
        <v>Error?</v>
      </c>
    </row>
    <row r="723" spans="1:4" x14ac:dyDescent="0.2">
      <c r="A723" s="5">
        <v>662</v>
      </c>
      <c r="B723" s="138">
        <f>'Expenditures 15-22'!C38</f>
        <v>16868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57093</v>
      </c>
      <c r="C727" s="2" t="s">
        <v>594</v>
      </c>
      <c r="D727" s="2" t="str">
        <f t="shared" si="10"/>
        <v>Error?</v>
      </c>
    </row>
    <row r="728" spans="1:4" x14ac:dyDescent="0.2">
      <c r="A728" s="5">
        <v>667</v>
      </c>
      <c r="B728" s="138">
        <f>'Expenditures 15-22'!C44</f>
        <v>1500</v>
      </c>
      <c r="D728" s="2" t="str">
        <f t="shared" si="10"/>
        <v>Error?</v>
      </c>
    </row>
    <row r="729" spans="1:4" x14ac:dyDescent="0.2">
      <c r="A729" s="5">
        <v>668</v>
      </c>
      <c r="B729" s="138">
        <f>'Expenditures 15-22'!C45</f>
        <v>7510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9010</v>
      </c>
      <c r="C731" s="2" t="s">
        <v>594</v>
      </c>
      <c r="D731" s="2" t="str">
        <f t="shared" si="10"/>
        <v>Error?</v>
      </c>
    </row>
    <row r="732" spans="1:4" x14ac:dyDescent="0.2">
      <c r="A732" s="5">
        <v>671</v>
      </c>
      <c r="B732" s="138">
        <f>'Expenditures 15-22'!C49</f>
        <v>3958</v>
      </c>
      <c r="D732" s="2" t="str">
        <f t="shared" si="10"/>
        <v>Error?</v>
      </c>
    </row>
    <row r="733" spans="1:4" x14ac:dyDescent="0.2">
      <c r="A733" s="5">
        <v>672</v>
      </c>
      <c r="B733" s="138">
        <f>'Expenditures 15-22'!C50</f>
        <v>86802</v>
      </c>
      <c r="D733" s="2" t="str">
        <f t="shared" si="10"/>
        <v>Error?</v>
      </c>
    </row>
    <row r="734" spans="1:4" x14ac:dyDescent="0.2">
      <c r="A734" s="5">
        <v>673</v>
      </c>
      <c r="B734" s="138">
        <f>'Expenditures 15-22'!C53</f>
        <v>90760</v>
      </c>
      <c r="C734" s="2" t="s">
        <v>594</v>
      </c>
      <c r="D734" s="2" t="str">
        <f t="shared" si="10"/>
        <v>Error?</v>
      </c>
    </row>
    <row r="735" spans="1:4" x14ac:dyDescent="0.2">
      <c r="A735" s="5">
        <v>674</v>
      </c>
      <c r="B735" s="138">
        <f>'Expenditures 15-22'!C55</f>
        <v>125503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125503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91651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31528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123179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405545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1515988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84296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v>
      </c>
      <c r="D775" s="2" t="str">
        <f t="shared" si="11"/>
        <v>Error?</v>
      </c>
    </row>
    <row r="776" spans="1:4" x14ac:dyDescent="0.2">
      <c r="A776" s="5">
        <v>715</v>
      </c>
      <c r="B776" s="138">
        <f>'Expenditures 15-22'!D14</f>
        <v>239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87225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2877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2877</v>
      </c>
      <c r="C785" s="2" t="s">
        <v>594</v>
      </c>
      <c r="D785" s="2" t="str">
        <f t="shared" si="11"/>
        <v>Error?</v>
      </c>
    </row>
    <row r="786" spans="1:4" x14ac:dyDescent="0.2">
      <c r="A786" s="5">
        <v>725</v>
      </c>
      <c r="B786" s="138">
        <f>'Expenditures 15-22'!D44</f>
        <v>97</v>
      </c>
      <c r="D786" s="2" t="str">
        <f t="shared" si="11"/>
        <v>Error?</v>
      </c>
    </row>
    <row r="787" spans="1:4" x14ac:dyDescent="0.2">
      <c r="A787" s="5">
        <v>726</v>
      </c>
      <c r="B787" s="138">
        <f>'Expenditures 15-22'!D45</f>
        <v>1167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1264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13270</v>
      </c>
      <c r="D791" s="2" t="str">
        <f t="shared" si="11"/>
        <v>Error?</v>
      </c>
    </row>
    <row r="792" spans="1:4" x14ac:dyDescent="0.2">
      <c r="A792" s="5">
        <v>731</v>
      </c>
      <c r="B792" s="138">
        <f>'Expenditures 15-22'!D53</f>
        <v>13270</v>
      </c>
      <c r="C792" s="2" t="s">
        <v>594</v>
      </c>
      <c r="D792" s="2" t="str">
        <f t="shared" si="11"/>
        <v>Error?</v>
      </c>
    </row>
    <row r="793" spans="1:4" x14ac:dyDescent="0.2">
      <c r="A793" s="5">
        <v>732</v>
      </c>
      <c r="B793" s="138">
        <f>'Expenditures 15-22'!D55</f>
        <v>14635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14635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5390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6092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43528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130753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16429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200</v>
      </c>
      <c r="D833" s="2" t="str">
        <f t="shared" si="12"/>
        <v>Error?</v>
      </c>
    </row>
    <row r="834" spans="1:4" x14ac:dyDescent="0.2">
      <c r="A834" s="5">
        <v>773</v>
      </c>
      <c r="B834" s="138">
        <f>'Expenditures 15-22'!E14</f>
        <v>15746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32375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v>
      </c>
      <c r="C843" s="2" t="s">
        <v>594</v>
      </c>
      <c r="D843" s="2" t="str">
        <f t="shared" si="12"/>
        <v>Error?</v>
      </c>
    </row>
    <row r="844" spans="1:4" x14ac:dyDescent="0.2">
      <c r="A844" s="5">
        <v>783</v>
      </c>
      <c r="B844" s="138">
        <f>'Expenditures 15-22'!E44</f>
        <v>16364</v>
      </c>
      <c r="D844" s="2" t="str">
        <f t="shared" si="12"/>
        <v>Error?</v>
      </c>
    </row>
    <row r="845" spans="1:4" x14ac:dyDescent="0.2">
      <c r="A845" s="5">
        <v>784</v>
      </c>
      <c r="B845" s="138">
        <f>'Expenditures 15-22'!E45</f>
        <v>225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16589</v>
      </c>
      <c r="C847" s="2" t="s">
        <v>594</v>
      </c>
      <c r="D847" s="2" t="str">
        <f t="shared" si="12"/>
        <v>Error?</v>
      </c>
    </row>
    <row r="848" spans="1:4" x14ac:dyDescent="0.2">
      <c r="A848" s="5">
        <v>787</v>
      </c>
      <c r="B848" s="138">
        <f>'Expenditures 15-22'!E49</f>
        <v>74956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74956</v>
      </c>
      <c r="C850" s="2" t="s">
        <v>594</v>
      </c>
      <c r="D850" s="2" t="str">
        <f t="shared" si="12"/>
        <v>Error?</v>
      </c>
    </row>
    <row r="851" spans="1:4" x14ac:dyDescent="0.2">
      <c r="A851" s="5">
        <v>790</v>
      </c>
      <c r="B851" s="138">
        <f>'Expenditures 15-22'!E55</f>
        <v>1240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1240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16664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316</v>
      </c>
      <c r="D857" s="2" t="str">
        <f t="shared" si="12"/>
        <v>Error?</v>
      </c>
    </row>
    <row r="858" spans="1:4" x14ac:dyDescent="0.2">
      <c r="A858" s="5">
        <v>797</v>
      </c>
      <c r="B858" s="138">
        <f>'Expenditures 15-22'!E63</f>
        <v>521</v>
      </c>
      <c r="D858" s="2" t="str">
        <f t="shared" si="12"/>
        <v>Error?</v>
      </c>
    </row>
    <row r="859" spans="1:4" x14ac:dyDescent="0.2">
      <c r="A859" s="5">
        <v>798</v>
      </c>
      <c r="B859" s="138">
        <f>'Expenditures 15-22'!E64</f>
        <v>318</v>
      </c>
      <c r="D859" s="2" t="str">
        <f t="shared" si="12"/>
        <v>Error?</v>
      </c>
    </row>
    <row r="860" spans="1:4" x14ac:dyDescent="0.2">
      <c r="A860" s="10">
        <v>799</v>
      </c>
      <c r="D860" s="2" t="str">
        <f t="shared" si="12"/>
        <v>OK</v>
      </c>
    </row>
    <row r="861" spans="1:4" x14ac:dyDescent="0.2">
      <c r="A861" s="5">
        <v>800</v>
      </c>
      <c r="B861" s="138">
        <f>'Expenditures 15-22'!E65</f>
        <v>17819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110629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143004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12671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551</v>
      </c>
      <c r="D891" s="2" t="str">
        <f t="shared" si="12"/>
        <v>Error?</v>
      </c>
    </row>
    <row r="892" spans="1:4" x14ac:dyDescent="0.2">
      <c r="A892" s="5">
        <v>831</v>
      </c>
      <c r="B892" s="138">
        <f>'Expenditures 15-22'!F14</f>
        <v>2024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15246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2421</v>
      </c>
      <c r="C901" s="2" t="s">
        <v>594</v>
      </c>
      <c r="D901" s="2" t="str">
        <f t="shared" si="13"/>
        <v>Error?</v>
      </c>
    </row>
    <row r="902" spans="1:4" x14ac:dyDescent="0.2">
      <c r="A902" s="5">
        <v>841</v>
      </c>
      <c r="B902" s="138">
        <f>'Expenditures 15-22'!F44</f>
        <v>1891</v>
      </c>
      <c r="D902" s="2" t="str">
        <f t="shared" si="13"/>
        <v>Error?</v>
      </c>
    </row>
    <row r="903" spans="1:4" x14ac:dyDescent="0.2">
      <c r="A903" s="5">
        <v>842</v>
      </c>
      <c r="B903" s="138">
        <f>'Expenditures 15-22'!F45</f>
        <v>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1937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2310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2310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45391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49866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56534</v>
      </c>
      <c r="C929" s="2" t="s">
        <v>594</v>
      </c>
      <c r="D929" s="2" t="str">
        <f t="shared" si="13"/>
        <v>Error?</v>
      </c>
    </row>
    <row r="930" spans="1:4" x14ac:dyDescent="0.2">
      <c r="A930" s="5">
        <v>869</v>
      </c>
      <c r="B930" s="138">
        <f>'Expenditures 15-22'!F75</f>
        <v>517</v>
      </c>
      <c r="D930" s="2" t="str">
        <f t="shared" si="13"/>
        <v>Error?</v>
      </c>
    </row>
    <row r="931" spans="1:4" x14ac:dyDescent="0.2">
      <c r="A931" s="5">
        <v>870</v>
      </c>
      <c r="B931" s="138">
        <f>'Expenditures 15-22'!F114</f>
        <v>72297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5926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1972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7898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1016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1016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6867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6867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7883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15781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713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713</v>
      </c>
      <c r="C1021" s="2" t="s">
        <v>594</v>
      </c>
      <c r="D1021" s="2" t="str">
        <f t="shared" si="14"/>
        <v>Error?</v>
      </c>
    </row>
    <row r="1022" spans="1:4" x14ac:dyDescent="0.2">
      <c r="A1022" s="5">
        <v>961</v>
      </c>
      <c r="B1022" s="138">
        <f>'Expenditures 15-22'!H49</f>
        <v>1914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1914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224409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227376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1179208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2749</v>
      </c>
      <c r="C1105" s="2" t="s">
        <v>594</v>
      </c>
      <c r="D1105" s="2" t="str">
        <f t="shared" si="16"/>
        <v>Error?</v>
      </c>
    </row>
    <row r="1106" spans="1:4" x14ac:dyDescent="0.2">
      <c r="A1106" s="5">
        <v>1045</v>
      </c>
      <c r="B1106" s="138">
        <f>'Expenditures 15-22'!K14</f>
        <v>48344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1253427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43102</v>
      </c>
      <c r="C1110" s="2" t="s">
        <v>594</v>
      </c>
      <c r="D1110" s="2" t="str">
        <f t="shared" si="16"/>
        <v>Error?</v>
      </c>
    </row>
    <row r="1111" spans="1:4" x14ac:dyDescent="0.2">
      <c r="A1111" s="5">
        <v>1050</v>
      </c>
      <c r="B1111" s="138">
        <f>'Expenditures 15-22'!K38</f>
        <v>20330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63432</v>
      </c>
      <c r="C1115" s="2" t="s">
        <v>594</v>
      </c>
      <c r="D1115" s="2" t="str">
        <f t="shared" si="16"/>
        <v>Error?</v>
      </c>
    </row>
    <row r="1116" spans="1:4" x14ac:dyDescent="0.2">
      <c r="A1116" s="5">
        <v>1055</v>
      </c>
      <c r="B1116" s="138">
        <f>'Expenditures 15-22'!K44</f>
        <v>20565</v>
      </c>
      <c r="C1116" s="2" t="s">
        <v>594</v>
      </c>
      <c r="D1116" s="2" t="str">
        <f t="shared" si="16"/>
        <v>Error?</v>
      </c>
    </row>
    <row r="1117" spans="1:4" x14ac:dyDescent="0.2">
      <c r="A1117" s="5">
        <v>1056</v>
      </c>
      <c r="B1117" s="138">
        <f>'Expenditures 15-22'!K45</f>
        <v>8948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29513</v>
      </c>
      <c r="C1119" s="2" t="s">
        <v>594</v>
      </c>
      <c r="D1119" s="2" t="str">
        <f t="shared" si="16"/>
        <v>Error?</v>
      </c>
    </row>
    <row r="1120" spans="1:4" x14ac:dyDescent="0.2">
      <c r="A1120" s="5">
        <v>1059</v>
      </c>
      <c r="B1120" s="138">
        <f>'Expenditures 15-22'!K49</f>
        <v>80828</v>
      </c>
      <c r="C1120" s="2" t="s">
        <v>594</v>
      </c>
      <c r="D1120" s="2" t="str">
        <f t="shared" si="16"/>
        <v>Error?</v>
      </c>
    </row>
    <row r="1121" spans="1:4" x14ac:dyDescent="0.2">
      <c r="A1121" s="5">
        <v>1060</v>
      </c>
      <c r="B1121" s="138">
        <f>'Expenditures 15-22'!K50</f>
        <v>100072</v>
      </c>
      <c r="C1121" s="2" t="s">
        <v>594</v>
      </c>
      <c r="D1121" s="2" t="str">
        <f t="shared" si="16"/>
        <v>Error?</v>
      </c>
    </row>
    <row r="1122" spans="1:4" x14ac:dyDescent="0.2">
      <c r="A1122" s="5">
        <v>1061</v>
      </c>
      <c r="B1122" s="138">
        <f>'Expenditures 15-22'!K53</f>
        <v>180900</v>
      </c>
      <c r="C1122" s="2" t="s">
        <v>594</v>
      </c>
      <c r="D1122" s="2" t="str">
        <f t="shared" si="16"/>
        <v>Error?</v>
      </c>
    </row>
    <row r="1123" spans="1:4" x14ac:dyDescent="0.2">
      <c r="A1123" s="5">
        <v>1062</v>
      </c>
      <c r="B1123" s="138">
        <f>'Expenditures 15-22'!K55</f>
        <v>143688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143688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118180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316</v>
      </c>
      <c r="C1129" s="2" t="s">
        <v>594</v>
      </c>
      <c r="D1129" s="2" t="str">
        <f t="shared" si="16"/>
        <v>Error?</v>
      </c>
    </row>
    <row r="1130" spans="1:4" x14ac:dyDescent="0.2">
      <c r="A1130" s="5">
        <v>1069</v>
      </c>
      <c r="B1130" s="138">
        <f>'Expenditures 15-22'!K63</f>
        <v>90499</v>
      </c>
      <c r="C1130" s="2" t="s">
        <v>594</v>
      </c>
      <c r="D1130" s="2" t="str">
        <f t="shared" si="16"/>
        <v>Error?</v>
      </c>
    </row>
    <row r="1131" spans="1:4" x14ac:dyDescent="0.2">
      <c r="A1131" s="5">
        <v>1070</v>
      </c>
      <c r="B1131" s="138">
        <f>'Expenditures 15-22'!K64</f>
        <v>318</v>
      </c>
      <c r="C1131" s="2" t="s">
        <v>594</v>
      </c>
      <c r="D1131" s="2" t="str">
        <f t="shared" si="16"/>
        <v>Error?</v>
      </c>
    </row>
    <row r="1132" spans="1:4" x14ac:dyDescent="0.2">
      <c r="A1132" s="10">
        <v>1071</v>
      </c>
      <c r="D1132" s="2" t="str">
        <f t="shared" si="16"/>
        <v>OK</v>
      </c>
    </row>
    <row r="1133" spans="1:4" x14ac:dyDescent="0.2">
      <c r="A1133" s="5">
        <v>1072</v>
      </c>
      <c r="B1133" s="138">
        <f>'Expenditures 15-22'!K65</f>
        <v>209313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626846</v>
      </c>
      <c r="C1143" s="2" t="s">
        <v>594</v>
      </c>
      <c r="D1143" s="2" t="str">
        <f t="shared" si="16"/>
        <v>Error?</v>
      </c>
    </row>
    <row r="1144" spans="1:4" x14ac:dyDescent="0.2">
      <c r="A1144" s="5">
        <v>1083</v>
      </c>
      <c r="B1144" s="138">
        <f>'Expenditures 15-22'!K75</f>
        <v>517</v>
      </c>
      <c r="C1144" s="2" t="s">
        <v>594</v>
      </c>
      <c r="D1144" s="2" t="str">
        <f t="shared" si="16"/>
        <v>Error?</v>
      </c>
    </row>
    <row r="1145" spans="1:4" x14ac:dyDescent="0.2">
      <c r="A1145" s="5">
        <v>1084</v>
      </c>
      <c r="B1145" s="138">
        <f>'Expenditures 15-22'!K102</f>
        <v>224409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2105199</v>
      </c>
      <c r="C1152" s="2" t="s">
        <v>594</v>
      </c>
      <c r="D1152" s="2" t="str">
        <f t="shared" si="17"/>
        <v>Error?</v>
      </c>
    </row>
    <row r="1153" spans="1:4" x14ac:dyDescent="0.2">
      <c r="A1153" s="5">
        <v>1092</v>
      </c>
      <c r="B1153" s="138">
        <f>'Expenditures 15-22'!K115</f>
        <v>198082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89343</v>
      </c>
      <c r="D1221" s="2" t="str">
        <f t="shared" si="18"/>
        <v>Error?</v>
      </c>
    </row>
    <row r="1222" spans="1:4" x14ac:dyDescent="0.2">
      <c r="A1222" s="10">
        <v>1161</v>
      </c>
      <c r="D1222" s="2" t="str">
        <f t="shared" si="18"/>
        <v>OK</v>
      </c>
    </row>
    <row r="1223" spans="1:4" x14ac:dyDescent="0.2">
      <c r="A1223" s="5">
        <v>1162</v>
      </c>
      <c r="B1223" s="138">
        <f>'Expenditures 15-22'!C127</f>
        <v>89343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89343</v>
      </c>
      <c r="C1225" s="2" t="s">
        <v>594</v>
      </c>
      <c r="D1225" s="2" t="str">
        <f t="shared" si="18"/>
        <v>Error?</v>
      </c>
    </row>
    <row r="1226" spans="1:4" x14ac:dyDescent="0.2">
      <c r="A1226" s="5">
        <v>1165</v>
      </c>
      <c r="B1226" s="138">
        <f>'Expenditures 15-22'!C151</f>
        <v>89343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7092</v>
      </c>
      <c r="D1229" s="2" t="str">
        <f t="shared" si="18"/>
        <v>Error?</v>
      </c>
    </row>
    <row r="1230" spans="1:4" x14ac:dyDescent="0.2">
      <c r="A1230" s="10">
        <v>1169</v>
      </c>
      <c r="D1230" s="2" t="str">
        <f t="shared" si="18"/>
        <v>OK</v>
      </c>
    </row>
    <row r="1231" spans="1:4" x14ac:dyDescent="0.2">
      <c r="A1231" s="5">
        <v>1170</v>
      </c>
      <c r="B1231" s="138">
        <f>'Expenditures 15-22'!D127</f>
        <v>7092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7092</v>
      </c>
      <c r="C1233" s="2" t="s">
        <v>594</v>
      </c>
      <c r="D1233" s="2" t="str">
        <f t="shared" si="18"/>
        <v>Error?</v>
      </c>
    </row>
    <row r="1234" spans="1:4" x14ac:dyDescent="0.2">
      <c r="A1234" s="5">
        <v>1173</v>
      </c>
      <c r="B1234" s="138">
        <f>'Expenditures 15-22'!D151</f>
        <v>7092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7914</v>
      </c>
      <c r="D1236" s="2" t="str">
        <f t="shared" si="18"/>
        <v>Error?</v>
      </c>
    </row>
    <row r="1237" spans="1:4" x14ac:dyDescent="0.2">
      <c r="A1237" s="5">
        <v>1176</v>
      </c>
      <c r="B1237" s="138">
        <f>'Expenditures 15-22'!E124</f>
        <v>53494</v>
      </c>
      <c r="D1237" s="2" t="str">
        <f t="shared" si="18"/>
        <v>Error?</v>
      </c>
    </row>
    <row r="1238" spans="1:4" x14ac:dyDescent="0.2">
      <c r="A1238" s="10">
        <v>1177</v>
      </c>
      <c r="D1238" s="2" t="str">
        <f t="shared" si="18"/>
        <v>OK</v>
      </c>
    </row>
    <row r="1239" spans="1:4" x14ac:dyDescent="0.2">
      <c r="A1239" s="5">
        <v>1178</v>
      </c>
      <c r="B1239" s="138">
        <f>'Expenditures 15-22'!E127</f>
        <v>61408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61408</v>
      </c>
      <c r="C1241" s="2" t="s">
        <v>594</v>
      </c>
      <c r="D1241" s="2" t="str">
        <f t="shared" si="18"/>
        <v>Error?</v>
      </c>
    </row>
    <row r="1242" spans="1:4" x14ac:dyDescent="0.2">
      <c r="A1242" s="5">
        <v>1181</v>
      </c>
      <c r="B1242" s="138">
        <f>'Expenditures 15-22'!E151</f>
        <v>61408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64384</v>
      </c>
      <c r="D1245" s="2" t="str">
        <f t="shared" si="18"/>
        <v>Error?</v>
      </c>
    </row>
    <row r="1246" spans="1:4" x14ac:dyDescent="0.2">
      <c r="A1246" s="10">
        <v>1185</v>
      </c>
      <c r="D1246" s="2" t="str">
        <f t="shared" si="18"/>
        <v>OK</v>
      </c>
    </row>
    <row r="1247" spans="1:4" x14ac:dyDescent="0.2">
      <c r="A1247" s="5">
        <v>1186</v>
      </c>
      <c r="B1247" s="138">
        <f>'Expenditures 15-22'!F127</f>
        <v>64384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64384</v>
      </c>
      <c r="C1249" s="2" t="s">
        <v>594</v>
      </c>
      <c r="D1249" s="2" t="str">
        <f t="shared" si="18"/>
        <v>Error?</v>
      </c>
    </row>
    <row r="1250" spans="1:4" x14ac:dyDescent="0.2">
      <c r="A1250" s="5">
        <v>1189</v>
      </c>
      <c r="B1250" s="138">
        <f>'Expenditures 15-22'!F151</f>
        <v>64384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117196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117196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117196</v>
      </c>
      <c r="C1258" s="2" t="s">
        <v>594</v>
      </c>
      <c r="D1258" s="2" t="str">
        <f t="shared" si="18"/>
        <v>Error?</v>
      </c>
    </row>
    <row r="1259" spans="1:4" x14ac:dyDescent="0.2">
      <c r="A1259" s="5">
        <v>1198</v>
      </c>
      <c r="B1259" s="138">
        <f>'Expenditures 15-22'!G151</f>
        <v>117196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7914</v>
      </c>
      <c r="C1275" s="2" t="s">
        <v>594</v>
      </c>
      <c r="D1275" s="2" t="str">
        <f t="shared" si="18"/>
        <v>Error?</v>
      </c>
    </row>
    <row r="1276" spans="1:4" x14ac:dyDescent="0.2">
      <c r="A1276" s="5">
        <v>1215</v>
      </c>
      <c r="B1276" s="138">
        <f>'Expenditures 15-22'!K124</f>
        <v>331509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339423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339423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339423</v>
      </c>
      <c r="C1288" s="2" t="s">
        <v>594</v>
      </c>
      <c r="D1288" s="2" t="str">
        <f t="shared" si="19"/>
        <v>Error?</v>
      </c>
    </row>
    <row r="1289" spans="1:4" x14ac:dyDescent="0.2">
      <c r="A1289" s="5">
        <v>1228</v>
      </c>
      <c r="B1289" s="138">
        <f>'Expenditures 15-22'!K152</f>
        <v>-79294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85312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85312</v>
      </c>
      <c r="C1339" s="2" t="s">
        <v>594</v>
      </c>
      <c r="D1339" s="2" t="str">
        <f t="shared" si="19"/>
        <v>Error?</v>
      </c>
    </row>
    <row r="1340" spans="1:4" x14ac:dyDescent="0.2">
      <c r="A1340" s="5">
        <v>1279</v>
      </c>
      <c r="B1340" s="138">
        <f>'Expenditures 15-22'!C210</f>
        <v>85312</v>
      </c>
      <c r="C1340" s="2" t="s">
        <v>594</v>
      </c>
      <c r="D1340" s="2" t="str">
        <f t="shared" si="19"/>
        <v>Error?</v>
      </c>
    </row>
    <row r="1341" spans="1:4" x14ac:dyDescent="0.2">
      <c r="A1341" s="5">
        <v>1280</v>
      </c>
      <c r="B1341" s="138">
        <f>'Expenditures 15-22'!D182</f>
        <v>6160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6160</v>
      </c>
      <c r="C1345" s="2" t="s">
        <v>594</v>
      </c>
      <c r="D1345" s="2" t="str">
        <f t="shared" si="20"/>
        <v>Error?</v>
      </c>
    </row>
    <row r="1346" spans="1:4" x14ac:dyDescent="0.2">
      <c r="A1346" s="5">
        <v>1285</v>
      </c>
      <c r="B1346" s="138">
        <f>'Expenditures 15-22'!D210</f>
        <v>6160</v>
      </c>
      <c r="C1346" s="2" t="s">
        <v>594</v>
      </c>
      <c r="D1346" s="2" t="str">
        <f t="shared" si="20"/>
        <v>Error?</v>
      </c>
    </row>
    <row r="1347" spans="1:4" x14ac:dyDescent="0.2">
      <c r="A1347" s="5">
        <v>1286</v>
      </c>
      <c r="B1347" s="138">
        <f>'Expenditures 15-22'!E182</f>
        <v>9180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9180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9180</v>
      </c>
      <c r="C1353" s="2" t="s">
        <v>594</v>
      </c>
      <c r="D1353" s="2" t="str">
        <f t="shared" si="20"/>
        <v>Error?</v>
      </c>
    </row>
    <row r="1354" spans="1:4" x14ac:dyDescent="0.2">
      <c r="A1354" s="5">
        <v>1293</v>
      </c>
      <c r="B1354" s="138">
        <f>'Expenditures 15-22'!F182</f>
        <v>20893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20893</v>
      </c>
      <c r="C1358" s="2" t="s">
        <v>594</v>
      </c>
      <c r="D1358" s="2" t="str">
        <f t="shared" si="20"/>
        <v>Error?</v>
      </c>
    </row>
    <row r="1359" spans="1:4" x14ac:dyDescent="0.2">
      <c r="A1359" s="5">
        <v>1298</v>
      </c>
      <c r="B1359" s="138">
        <f>'Expenditures 15-22'!F210</f>
        <v>20893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121545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121545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121545</v>
      </c>
      <c r="C1388" s="2" t="s">
        <v>594</v>
      </c>
      <c r="D1388" s="2" t="str">
        <f t="shared" si="20"/>
        <v>Error?</v>
      </c>
    </row>
    <row r="1389" spans="1:4" x14ac:dyDescent="0.2">
      <c r="A1389" s="5">
        <v>1328</v>
      </c>
      <c r="B1389" s="138">
        <f>'Expenditures 15-22'!K211</f>
        <v>166231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v>
      </c>
      <c r="D1407" s="2" t="str">
        <f t="shared" ref="D1407:D1470" si="21">IF(ISBLANK(B1407),"OK",IF(A1407-B1407=0,"OK","Error?"))</f>
        <v>Error?</v>
      </c>
    </row>
    <row r="1408" spans="1:4" x14ac:dyDescent="0.2">
      <c r="A1408" s="5">
        <v>1347</v>
      </c>
      <c r="B1408" s="138">
        <f>'Expenditures 15-22'!D223</f>
        <v>1451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21922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583</v>
      </c>
      <c r="D1412" s="2" t="str">
        <f t="shared" si="21"/>
        <v>Error?</v>
      </c>
    </row>
    <row r="1413" spans="1:4" x14ac:dyDescent="0.2">
      <c r="A1413" s="5">
        <v>1352</v>
      </c>
      <c r="B1413" s="138">
        <f>'Expenditures 15-22'!D234</f>
        <v>1290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1873</v>
      </c>
      <c r="C1417" s="2" t="s">
        <v>594</v>
      </c>
      <c r="D1417" s="2" t="str">
        <f t="shared" si="21"/>
        <v>Error?</v>
      </c>
    </row>
    <row r="1418" spans="1:4" x14ac:dyDescent="0.2">
      <c r="A1418" s="5">
        <v>1357</v>
      </c>
      <c r="B1418" s="138">
        <f>'Expenditures 15-22'!D240</f>
        <v>24</v>
      </c>
      <c r="D1418" s="2" t="str">
        <f t="shared" si="21"/>
        <v>Error?</v>
      </c>
    </row>
    <row r="1419" spans="1:4" x14ac:dyDescent="0.2">
      <c r="A1419" s="5">
        <v>1358</v>
      </c>
      <c r="B1419" s="138">
        <f>'Expenditures 15-22'!D241</f>
        <v>1379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1403</v>
      </c>
      <c r="C1421" s="2" t="s">
        <v>594</v>
      </c>
      <c r="D1421" s="2" t="str">
        <f t="shared" si="21"/>
        <v>Error?</v>
      </c>
    </row>
    <row r="1422" spans="1:4" x14ac:dyDescent="0.2">
      <c r="A1422" s="5">
        <v>1361</v>
      </c>
      <c r="B1422" s="138">
        <f>'Expenditures 15-22'!D245</f>
        <v>303</v>
      </c>
      <c r="D1422" s="2" t="str">
        <f t="shared" si="21"/>
        <v>Error?</v>
      </c>
    </row>
    <row r="1423" spans="1:4" x14ac:dyDescent="0.2">
      <c r="A1423" s="5">
        <v>1362</v>
      </c>
      <c r="B1423" s="138">
        <f>'Expenditures 15-22'!D246</f>
        <v>1258</v>
      </c>
      <c r="D1423" s="2" t="str">
        <f t="shared" si="21"/>
        <v>Error?</v>
      </c>
    </row>
    <row r="1424" spans="1:4" x14ac:dyDescent="0.2">
      <c r="A1424" s="5">
        <v>1363</v>
      </c>
      <c r="B1424" s="138">
        <f>'Expenditures 15-22'!D257</f>
        <v>1574</v>
      </c>
      <c r="C1424" s="2" t="s">
        <v>594</v>
      </c>
      <c r="D1424" s="2" t="str">
        <f t="shared" si="21"/>
        <v>Error?</v>
      </c>
    </row>
    <row r="1425" spans="1:4" x14ac:dyDescent="0.2">
      <c r="A1425" s="5">
        <v>1364</v>
      </c>
      <c r="B1425" s="138">
        <f>'Expenditures 15-22'!D259</f>
        <v>8585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8585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16369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14842</v>
      </c>
      <c r="D1431" s="2" t="str">
        <f t="shared" si="21"/>
        <v>Error?</v>
      </c>
    </row>
    <row r="1432" spans="1:4" x14ac:dyDescent="0.2">
      <c r="A1432" s="5">
        <v>1371</v>
      </c>
      <c r="B1432" s="138">
        <f>'Expenditures 15-22'!D267</f>
        <v>14565</v>
      </c>
      <c r="D1432" s="2" t="str">
        <f t="shared" si="21"/>
        <v>Error?</v>
      </c>
    </row>
    <row r="1433" spans="1:4" x14ac:dyDescent="0.2">
      <c r="A1433" s="5">
        <v>1372</v>
      </c>
      <c r="B1433" s="138">
        <f>'Expenditures 15-22'!D268</f>
        <v>5589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51365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64804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86726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v>
      </c>
      <c r="C1471" s="2" t="s">
        <v>594</v>
      </c>
      <c r="D1471" s="2" t="str">
        <f t="shared" ref="D1471:D1534" si="22">IF(ISBLANK(B1471),"OK",IF(A1471-B1471=0,"OK","Error?"))</f>
        <v>Error?</v>
      </c>
    </row>
    <row r="1472" spans="1:4" x14ac:dyDescent="0.2">
      <c r="A1472" s="5">
        <v>1411</v>
      </c>
      <c r="B1472" s="138">
        <f>'Expenditures 15-22'!K223</f>
        <v>1451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21922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583</v>
      </c>
      <c r="C1476" s="2" t="s">
        <v>594</v>
      </c>
      <c r="D1476" s="2" t="str">
        <f t="shared" si="22"/>
        <v>Error?</v>
      </c>
    </row>
    <row r="1477" spans="1:4" x14ac:dyDescent="0.2">
      <c r="A1477" s="5">
        <v>1416</v>
      </c>
      <c r="B1477" s="138">
        <f>'Expenditures 15-22'!K234</f>
        <v>1290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1873</v>
      </c>
      <c r="C1481" s="2" t="s">
        <v>594</v>
      </c>
      <c r="D1481" s="2" t="str">
        <f t="shared" si="22"/>
        <v>Error?</v>
      </c>
    </row>
    <row r="1482" spans="1:4" x14ac:dyDescent="0.2">
      <c r="A1482" s="5">
        <v>1421</v>
      </c>
      <c r="B1482" s="138">
        <f>'Expenditures 15-22'!K240</f>
        <v>24</v>
      </c>
      <c r="C1482" s="2" t="s">
        <v>594</v>
      </c>
      <c r="D1482" s="2" t="str">
        <f t="shared" si="22"/>
        <v>Error?</v>
      </c>
    </row>
    <row r="1483" spans="1:4" x14ac:dyDescent="0.2">
      <c r="A1483" s="5">
        <v>1422</v>
      </c>
      <c r="B1483" s="138">
        <f>'Expenditures 15-22'!K241</f>
        <v>1379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1403</v>
      </c>
      <c r="C1485" s="2" t="s">
        <v>594</v>
      </c>
      <c r="D1485" s="2" t="str">
        <f t="shared" si="22"/>
        <v>Error?</v>
      </c>
    </row>
    <row r="1486" spans="1:4" x14ac:dyDescent="0.2">
      <c r="A1486" s="5">
        <v>1425</v>
      </c>
      <c r="B1486" s="138">
        <f>'Expenditures 15-22'!K245</f>
        <v>303</v>
      </c>
      <c r="C1486" s="2" t="s">
        <v>594</v>
      </c>
      <c r="D1486" s="2" t="str">
        <f t="shared" si="22"/>
        <v>Error?</v>
      </c>
    </row>
    <row r="1487" spans="1:4" x14ac:dyDescent="0.2">
      <c r="A1487" s="5">
        <v>1426</v>
      </c>
      <c r="B1487" s="138">
        <f>'Expenditures 15-22'!K246</f>
        <v>1258</v>
      </c>
      <c r="C1487" s="2" t="s">
        <v>594</v>
      </c>
      <c r="D1487" s="2" t="str">
        <f t="shared" si="22"/>
        <v>Error?</v>
      </c>
    </row>
    <row r="1488" spans="1:4" x14ac:dyDescent="0.2">
      <c r="A1488" s="5">
        <v>1427</v>
      </c>
      <c r="B1488" s="138">
        <f>'Expenditures 15-22'!K257</f>
        <v>1574</v>
      </c>
      <c r="C1488" s="2" t="s">
        <v>594</v>
      </c>
      <c r="D1488" s="2" t="str">
        <f t="shared" si="22"/>
        <v>Error?</v>
      </c>
    </row>
    <row r="1489" spans="1:4" x14ac:dyDescent="0.2">
      <c r="A1489" s="5">
        <v>1428</v>
      </c>
      <c r="B1489" s="138">
        <f>'Expenditures 15-22'!K259</f>
        <v>8585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8585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16369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14842</v>
      </c>
      <c r="C1495" s="2" t="s">
        <v>594</v>
      </c>
      <c r="D1495" s="2" t="str">
        <f t="shared" si="22"/>
        <v>Error?</v>
      </c>
    </row>
    <row r="1496" spans="1:4" x14ac:dyDescent="0.2">
      <c r="A1496" s="5">
        <v>1435</v>
      </c>
      <c r="B1496" s="138">
        <f>'Expenditures 15-22'!K267</f>
        <v>14565</v>
      </c>
      <c r="C1496" s="2" t="s">
        <v>594</v>
      </c>
      <c r="D1496" s="2" t="str">
        <f t="shared" si="22"/>
        <v>Error?</v>
      </c>
    </row>
    <row r="1497" spans="1:4" x14ac:dyDescent="0.2">
      <c r="A1497" s="5">
        <v>1436</v>
      </c>
      <c r="B1497" s="138">
        <f>'Expenditures 15-22'!K268</f>
        <v>5589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51365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4</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64804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86726</v>
      </c>
      <c r="C1517" s="2" t="s">
        <v>594</v>
      </c>
      <c r="D1517" s="2" t="str">
        <f t="shared" si="22"/>
        <v>Error?</v>
      </c>
    </row>
    <row r="1518" spans="1:4" x14ac:dyDescent="0.2">
      <c r="A1518" s="5">
        <v>1457</v>
      </c>
      <c r="B1518" s="138">
        <f>'Expenditures 15-22'!K296</f>
        <v>-13548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1198981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1397063</v>
      </c>
      <c r="C1630" s="2" t="s">
        <v>594</v>
      </c>
      <c r="D1630" s="2" t="str">
        <f t="shared" si="24"/>
        <v>Error?</v>
      </c>
    </row>
    <row r="1631" spans="1:4" x14ac:dyDescent="0.2">
      <c r="A1631" s="5">
        <v>1570</v>
      </c>
      <c r="B1631" s="138">
        <f>'Acct Summary 7-8'!D79</f>
        <v>461601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382307</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628776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795007</v>
      </c>
      <c r="C1672" s="2" t="s">
        <v>594</v>
      </c>
      <c r="D1672" s="2" t="str">
        <f t="shared" si="25"/>
        <v>Error?</v>
      </c>
    </row>
    <row r="1673" spans="1:4" x14ac:dyDescent="0.2">
      <c r="A1673" s="5">
        <v>1612</v>
      </c>
      <c r="B1673" s="138">
        <f>'Acct Summary 7-8'!G79</f>
        <v>47856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34308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1344728</v>
      </c>
      <c r="C1744" s="2" t="s">
        <v>594</v>
      </c>
      <c r="D1744" s="2" t="str">
        <f t="shared" si="26"/>
        <v>Error?</v>
      </c>
    </row>
    <row r="1745" spans="1:5" x14ac:dyDescent="0.2">
      <c r="A1745" s="5">
        <v>1684</v>
      </c>
      <c r="B1745" s="138">
        <f>'Tax Sched 23'!B5</f>
        <v>233120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170317</v>
      </c>
      <c r="C1747" s="2" t="s">
        <v>594</v>
      </c>
      <c r="D1747" s="2" t="str">
        <f t="shared" si="26"/>
        <v>Error?</v>
      </c>
    </row>
    <row r="1748" spans="1:5" x14ac:dyDescent="0.2">
      <c r="A1748" s="5">
        <v>1687</v>
      </c>
      <c r="B1748" s="138">
        <f>'Tax Sched 23'!B8</f>
        <v>35852</v>
      </c>
      <c r="C1748" s="2" t="s">
        <v>594</v>
      </c>
      <c r="D1748" s="2" t="str">
        <f t="shared" si="26"/>
        <v>Error?</v>
      </c>
    </row>
    <row r="1749" spans="1:5" x14ac:dyDescent="0.2">
      <c r="A1749" s="5">
        <v>1688</v>
      </c>
      <c r="B1749" s="138">
        <f>'Tax Sched 23'!B10</f>
        <v>14341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32307</v>
      </c>
      <c r="C1753" s="2" t="s">
        <v>594</v>
      </c>
      <c r="D1753" s="2" t="str">
        <f t="shared" si="26"/>
        <v>Error?</v>
      </c>
    </row>
    <row r="1754" spans="1:5" x14ac:dyDescent="0.2">
      <c r="A1754" s="5">
        <v>1693</v>
      </c>
      <c r="B1754" s="138">
        <f>'Tax Sched 23'!B14</f>
        <v>53819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1933770</v>
      </c>
      <c r="C1759" s="2" t="s">
        <v>594</v>
      </c>
      <c r="D1759" s="2" t="str">
        <f t="shared" si="26"/>
        <v>Error?</v>
      </c>
    </row>
    <row r="1760" spans="1:5" x14ac:dyDescent="0.2">
      <c r="A1760" s="5">
        <v>1699</v>
      </c>
      <c r="B1760" s="138">
        <f>'Tax Sched 23'!D4</f>
        <v>1344728</v>
      </c>
      <c r="C1760" s="2" t="s">
        <v>594</v>
      </c>
      <c r="D1760" s="2" t="str">
        <f t="shared" si="26"/>
        <v>Error?</v>
      </c>
    </row>
    <row r="1761" spans="1:5" x14ac:dyDescent="0.2">
      <c r="A1761" s="5">
        <v>1700</v>
      </c>
      <c r="B1761" s="138">
        <f>'Tax Sched 23'!D5</f>
        <v>233120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170317</v>
      </c>
      <c r="C1763" s="2" t="s">
        <v>594</v>
      </c>
      <c r="D1763" s="2" t="str">
        <f t="shared" si="26"/>
        <v>Error?</v>
      </c>
    </row>
    <row r="1764" spans="1:5" x14ac:dyDescent="0.2">
      <c r="A1764" s="5">
        <v>1703</v>
      </c>
      <c r="B1764" s="138">
        <f>'Tax Sched 23'!D8</f>
        <v>35852</v>
      </c>
      <c r="C1764" s="2" t="s">
        <v>594</v>
      </c>
      <c r="D1764" s="2" t="str">
        <f t="shared" si="26"/>
        <v>Error?</v>
      </c>
    </row>
    <row r="1765" spans="1:5" x14ac:dyDescent="0.2">
      <c r="A1765" s="5">
        <v>1704</v>
      </c>
      <c r="B1765" s="138">
        <f>'Tax Sched 23'!D10</f>
        <v>14341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32307</v>
      </c>
      <c r="C1769" s="2" t="s">
        <v>594</v>
      </c>
      <c r="D1769" s="2" t="str">
        <f t="shared" si="26"/>
        <v>Error?</v>
      </c>
    </row>
    <row r="1770" spans="1:5" x14ac:dyDescent="0.2">
      <c r="A1770" s="5">
        <v>1709</v>
      </c>
      <c r="B1770" s="138">
        <f>'Tax Sched 23'!D14</f>
        <v>53819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1933770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1391545</v>
      </c>
      <c r="C1792" s="2" t="s">
        <v>594</v>
      </c>
      <c r="D1792" s="2" t="str">
        <f t="shared" si="27"/>
        <v>Error?</v>
      </c>
    </row>
    <row r="1793" spans="1:4" x14ac:dyDescent="0.2">
      <c r="A1793" s="5">
        <v>1732</v>
      </c>
      <c r="B1793" s="138">
        <f>'Tax Sched 23'!F5</f>
        <v>230757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168591</v>
      </c>
      <c r="C1795" s="2" t="s">
        <v>594</v>
      </c>
      <c r="D1795" s="2" t="str">
        <f t="shared" si="27"/>
        <v>Error?</v>
      </c>
    </row>
    <row r="1796" spans="1:4" x14ac:dyDescent="0.2">
      <c r="A1796" s="5">
        <v>1735</v>
      </c>
      <c r="B1796" s="138">
        <f>'Tax Sched 23'!F8</f>
        <v>35517</v>
      </c>
      <c r="C1796" s="2" t="s">
        <v>594</v>
      </c>
      <c r="D1796" s="2" t="str">
        <f t="shared" si="27"/>
        <v>Error?</v>
      </c>
    </row>
    <row r="1797" spans="1:4" x14ac:dyDescent="0.2">
      <c r="A1797" s="5">
        <v>1736</v>
      </c>
      <c r="B1797" s="138">
        <f>'Tax Sched 23'!F10</f>
        <v>14215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31953</v>
      </c>
      <c r="C1801" s="2" t="s">
        <v>594</v>
      </c>
      <c r="D1801" s="2" t="str">
        <f t="shared" si="27"/>
        <v>Error?</v>
      </c>
    </row>
    <row r="1802" spans="1:4" x14ac:dyDescent="0.2">
      <c r="A1802" s="5">
        <v>1741</v>
      </c>
      <c r="B1802" s="138">
        <f>'Tax Sched 23'!F14</f>
        <v>53255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1974632</v>
      </c>
      <c r="C1807" s="2" t="s">
        <v>594</v>
      </c>
      <c r="D1807" s="2" t="str">
        <f t="shared" si="27"/>
        <v>Error?</v>
      </c>
    </row>
    <row r="1808" spans="1:4" x14ac:dyDescent="0.2">
      <c r="A1808" s="5">
        <v>1747</v>
      </c>
      <c r="B1808" s="138">
        <f>'Tax Sched 23'!E4</f>
        <v>1391545</v>
      </c>
      <c r="D1808" s="2" t="str">
        <f t="shared" si="27"/>
        <v>Error?</v>
      </c>
    </row>
    <row r="1809" spans="1:4" x14ac:dyDescent="0.2">
      <c r="A1809" s="5">
        <v>1748</v>
      </c>
      <c r="B1809" s="138">
        <f>'Tax Sched 23'!E5</f>
        <v>230757</v>
      </c>
      <c r="D1809" s="2" t="str">
        <f t="shared" si="27"/>
        <v>Error?</v>
      </c>
    </row>
    <row r="1810" spans="1:4" x14ac:dyDescent="0.2">
      <c r="A1810" s="5">
        <v>1749</v>
      </c>
      <c r="B1810" s="138">
        <f>'Tax Sched 23'!E6</f>
        <v>0</v>
      </c>
      <c r="D1810" s="2" t="str">
        <f t="shared" si="27"/>
        <v>Error?</v>
      </c>
    </row>
    <row r="1811" spans="1:4" x14ac:dyDescent="0.2">
      <c r="A1811" s="5">
        <v>1750</v>
      </c>
      <c r="B1811" s="138">
        <f>'Tax Sched 23'!E7</f>
        <v>168591</v>
      </c>
      <c r="D1811" s="2" t="str">
        <f t="shared" si="27"/>
        <v>Error?</v>
      </c>
    </row>
    <row r="1812" spans="1:4" x14ac:dyDescent="0.2">
      <c r="A1812" s="5">
        <v>1751</v>
      </c>
      <c r="B1812" s="138">
        <f>'Tax Sched 23'!E8</f>
        <v>35517</v>
      </c>
      <c r="D1812" s="2" t="str">
        <f t="shared" si="27"/>
        <v>Error?</v>
      </c>
    </row>
    <row r="1813" spans="1:4" x14ac:dyDescent="0.2">
      <c r="A1813" s="5">
        <v>1752</v>
      </c>
      <c r="B1813" s="138">
        <f>'Tax Sched 23'!E10</f>
        <v>14215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31953</v>
      </c>
      <c r="D1817" s="2" t="str">
        <f t="shared" si="27"/>
        <v>Error?</v>
      </c>
    </row>
    <row r="1818" spans="1:4" x14ac:dyDescent="0.2">
      <c r="A1818" s="5">
        <v>1757</v>
      </c>
      <c r="B1818" s="138">
        <f>'Tax Sched 23'!E14</f>
        <v>53255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1974632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53819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53819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53819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7500</v>
      </c>
      <c r="D2008" s="2" t="str">
        <f t="shared" si="30"/>
        <v>Error?</v>
      </c>
    </row>
    <row r="2009" spans="1:4" x14ac:dyDescent="0.2">
      <c r="A2009" s="5">
        <v>1948</v>
      </c>
      <c r="B2009" s="138">
        <f>'Cap Outlay Deprec 26'!C8</f>
        <v>2504739</v>
      </c>
      <c r="D2009" s="2" t="str">
        <f t="shared" si="30"/>
        <v>Error?</v>
      </c>
    </row>
    <row r="2010" spans="1:4" x14ac:dyDescent="0.2">
      <c r="A2010" s="5">
        <v>1949</v>
      </c>
      <c r="B2010" s="138">
        <f>'Cap Outlay Deprec 26'!C10</f>
        <v>41861</v>
      </c>
      <c r="D2010" s="2" t="str">
        <f t="shared" si="30"/>
        <v>Error?</v>
      </c>
    </row>
    <row r="2011" spans="1:4" x14ac:dyDescent="0.2">
      <c r="A2011" s="5">
        <v>1950</v>
      </c>
      <c r="B2011" s="138">
        <f>'Cap Outlay Deprec 26'!C12</f>
        <v>289212</v>
      </c>
      <c r="D2011" s="2" t="str">
        <f t="shared" si="30"/>
        <v>Error?</v>
      </c>
    </row>
    <row r="2012" spans="1:4" x14ac:dyDescent="0.2">
      <c r="A2012" s="5">
        <v>1951</v>
      </c>
      <c r="B2012" s="138">
        <f>'Cap Outlay Deprec 26'!C13</f>
        <v>119056</v>
      </c>
      <c r="D2012" s="2" t="str">
        <f t="shared" si="30"/>
        <v>Error?</v>
      </c>
    </row>
    <row r="2013" spans="1:4" x14ac:dyDescent="0.2">
      <c r="A2013" s="5">
        <v>1952</v>
      </c>
      <c r="B2013" s="138">
        <f>'Cap Outlay Deprec 26'!C16</f>
        <v>2962368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155871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15781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171652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33724</v>
      </c>
      <c r="D2023" s="2" t="str">
        <f t="shared" si="30"/>
        <v>Error?</v>
      </c>
    </row>
    <row r="2024" spans="1:4" x14ac:dyDescent="0.2">
      <c r="A2024" s="5">
        <v>1963</v>
      </c>
      <c r="B2024" s="138">
        <f>'Cap Outlay Deprec 26'!E13</f>
        <v>32772</v>
      </c>
      <c r="D2024" s="2" t="str">
        <f t="shared" si="30"/>
        <v>Error?</v>
      </c>
    </row>
    <row r="2025" spans="1:4" x14ac:dyDescent="0.2">
      <c r="A2025" s="5">
        <v>1964</v>
      </c>
      <c r="B2025" s="138">
        <f>'Cap Outlay Deprec 26'!E16</f>
        <v>66496</v>
      </c>
      <c r="C2025" s="2" t="s">
        <v>594</v>
      </c>
      <c r="D2025" s="2" t="str">
        <f t="shared" si="30"/>
        <v>Error?</v>
      </c>
    </row>
    <row r="2026" spans="1:4" x14ac:dyDescent="0.2">
      <c r="A2026" s="5">
        <v>1965</v>
      </c>
      <c r="B2026" s="138">
        <f>'Cap Outlay Deprec 26'!F5</f>
        <v>7500</v>
      </c>
      <c r="C2026" s="2" t="s">
        <v>594</v>
      </c>
      <c r="D2026" s="2" t="str">
        <f t="shared" si="30"/>
        <v>Error?</v>
      </c>
    </row>
    <row r="2027" spans="1:4" x14ac:dyDescent="0.2">
      <c r="A2027" s="5">
        <v>1966</v>
      </c>
      <c r="B2027" s="138">
        <f>'Cap Outlay Deprec 26'!F8</f>
        <v>2660610</v>
      </c>
      <c r="C2027" s="2" t="s">
        <v>594</v>
      </c>
      <c r="D2027" s="2" t="str">
        <f t="shared" si="30"/>
        <v>Error?</v>
      </c>
    </row>
    <row r="2028" spans="1:4" x14ac:dyDescent="0.2">
      <c r="A2028" s="5">
        <v>1967</v>
      </c>
      <c r="B2028" s="138">
        <f>'Cap Outlay Deprec 26'!F10</f>
        <v>41861</v>
      </c>
      <c r="C2028" s="2" t="s">
        <v>594</v>
      </c>
      <c r="D2028" s="2" t="str">
        <f t="shared" si="30"/>
        <v>Error?</v>
      </c>
    </row>
    <row r="2029" spans="1:4" x14ac:dyDescent="0.2">
      <c r="A2029" s="5">
        <v>1968</v>
      </c>
      <c r="B2029" s="138">
        <f>'Cap Outlay Deprec 26'!F12</f>
        <v>271269</v>
      </c>
      <c r="C2029" s="2" t="s">
        <v>594</v>
      </c>
      <c r="D2029" s="2" t="str">
        <f t="shared" si="30"/>
        <v>Error?</v>
      </c>
    </row>
    <row r="2030" spans="1:4" x14ac:dyDescent="0.2">
      <c r="A2030" s="5">
        <v>1969</v>
      </c>
      <c r="B2030" s="138">
        <f>'Cap Outlay Deprec 26'!F13</f>
        <v>86284</v>
      </c>
      <c r="C2030" s="2" t="s">
        <v>594</v>
      </c>
      <c r="D2030" s="2" t="str">
        <f t="shared" si="30"/>
        <v>Error?</v>
      </c>
    </row>
    <row r="2031" spans="1:4" x14ac:dyDescent="0.2">
      <c r="A2031" s="5">
        <v>1970</v>
      </c>
      <c r="B2031" s="138">
        <f>'Cap Outlay Deprec 26'!F16</f>
        <v>3067524</v>
      </c>
      <c r="C2031" s="2" t="s">
        <v>594</v>
      </c>
      <c r="D2031" s="2" t="str">
        <f t="shared" si="30"/>
        <v>Error?</v>
      </c>
    </row>
    <row r="2032" spans="1:4" x14ac:dyDescent="0.2">
      <c r="A2032" s="10">
        <v>1971</v>
      </c>
      <c r="D2032" s="2" t="str">
        <f t="shared" si="30"/>
        <v>OK</v>
      </c>
    </row>
    <row r="2033" spans="1:4" x14ac:dyDescent="0.2">
      <c r="A2033" s="5">
        <v>1972</v>
      </c>
      <c r="B2033" s="138">
        <f>'Cap Outlay Deprec 26'!H8</f>
        <v>1621388</v>
      </c>
      <c r="D2033" s="2" t="str">
        <f t="shared" si="30"/>
        <v>Error?</v>
      </c>
    </row>
    <row r="2034" spans="1:4" x14ac:dyDescent="0.2">
      <c r="A2034" s="5">
        <v>1973</v>
      </c>
      <c r="B2034" s="138">
        <f>'Cap Outlay Deprec 26'!H10</f>
        <v>23591</v>
      </c>
      <c r="D2034" s="2" t="str">
        <f t="shared" si="30"/>
        <v>Error?</v>
      </c>
    </row>
    <row r="2035" spans="1:4" x14ac:dyDescent="0.2">
      <c r="A2035" s="5">
        <v>1974</v>
      </c>
      <c r="B2035" s="138">
        <f>'Cap Outlay Deprec 26'!H12</f>
        <v>153354</v>
      </c>
      <c r="D2035" s="2" t="str">
        <f t="shared" si="30"/>
        <v>Error?</v>
      </c>
    </row>
    <row r="2036" spans="1:4" x14ac:dyDescent="0.2">
      <c r="A2036" s="5">
        <v>1975</v>
      </c>
      <c r="B2036" s="138">
        <f>'Cap Outlay Deprec 26'!H13</f>
        <v>101550</v>
      </c>
      <c r="D2036" s="2" t="str">
        <f t="shared" si="30"/>
        <v>Error?</v>
      </c>
    </row>
    <row r="2037" spans="1:4" x14ac:dyDescent="0.2">
      <c r="A2037" s="5">
        <v>1976</v>
      </c>
      <c r="B2037" s="138">
        <f>'Cap Outlay Deprec 26'!H16</f>
        <v>1899883</v>
      </c>
      <c r="C2037" s="2" t="s">
        <v>594</v>
      </c>
      <c r="D2037" s="2" t="str">
        <f t="shared" si="30"/>
        <v>Error?</v>
      </c>
    </row>
    <row r="2038" spans="1:4" x14ac:dyDescent="0.2">
      <c r="A2038" s="10">
        <v>1977</v>
      </c>
      <c r="D2038" s="2" t="str">
        <f t="shared" si="30"/>
        <v>OK</v>
      </c>
    </row>
    <row r="2039" spans="1:4" x14ac:dyDescent="0.2">
      <c r="A2039" s="5">
        <v>1978</v>
      </c>
      <c r="B2039" s="138">
        <f>'Cap Outlay Deprec 26'!I8</f>
        <v>28463</v>
      </c>
      <c r="D2039" s="2" t="str">
        <f t="shared" si="30"/>
        <v>Error?</v>
      </c>
    </row>
    <row r="2040" spans="1:4" x14ac:dyDescent="0.2">
      <c r="A2040" s="5">
        <v>1979</v>
      </c>
      <c r="B2040" s="138">
        <f>'Cap Outlay Deprec 26'!I10</f>
        <v>2093</v>
      </c>
      <c r="D2040" s="2" t="str">
        <f t="shared" si="30"/>
        <v>Error?</v>
      </c>
    </row>
    <row r="2041" spans="1:4" x14ac:dyDescent="0.2">
      <c r="A2041" s="5">
        <v>1980</v>
      </c>
      <c r="B2041" s="138">
        <f>'Cap Outlay Deprec 26'!I12</f>
        <v>26901</v>
      </c>
      <c r="D2041" s="2" t="str">
        <f t="shared" si="30"/>
        <v>Error?</v>
      </c>
    </row>
    <row r="2042" spans="1:4" x14ac:dyDescent="0.2">
      <c r="A2042" s="5">
        <v>1981</v>
      </c>
      <c r="B2042" s="138">
        <f>'Cap Outlay Deprec 26'!I13</f>
        <v>3510</v>
      </c>
      <c r="D2042" s="2" t="str">
        <f t="shared" si="30"/>
        <v>Error?</v>
      </c>
    </row>
    <row r="2043" spans="1:4" x14ac:dyDescent="0.2">
      <c r="A2043" s="5">
        <v>1982</v>
      </c>
      <c r="B2043" s="138">
        <f>'Cap Outlay Deprec 26'!I16</f>
        <v>60967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33724</v>
      </c>
      <c r="D2047" s="2" t="str">
        <f t="shared" ref="D2047:D2110" si="31">IF(ISBLANK(B2047),"OK",IF(A2047-B2047=0,"OK","Error?"))</f>
        <v>Error?</v>
      </c>
    </row>
    <row r="2048" spans="1:4" x14ac:dyDescent="0.2">
      <c r="A2048" s="5">
        <v>1987</v>
      </c>
      <c r="B2048" s="138">
        <f>'Cap Outlay Deprec 26'!J13</f>
        <v>32772</v>
      </c>
      <c r="D2048" s="2" t="str">
        <f t="shared" si="31"/>
        <v>Error?</v>
      </c>
    </row>
    <row r="2049" spans="1:4" x14ac:dyDescent="0.2">
      <c r="A2049" s="5">
        <v>1988</v>
      </c>
      <c r="B2049" s="138">
        <f>'Cap Outlay Deprec 26'!J16</f>
        <v>66496</v>
      </c>
      <c r="C2049" s="2" t="s">
        <v>594</v>
      </c>
      <c r="D2049" s="2" t="str">
        <f t="shared" si="31"/>
        <v>Error?</v>
      </c>
    </row>
    <row r="2050" spans="1:4" x14ac:dyDescent="0.2">
      <c r="A2050" s="10">
        <v>1989</v>
      </c>
      <c r="D2050" s="2" t="str">
        <f t="shared" si="31"/>
        <v>OK</v>
      </c>
    </row>
    <row r="2051" spans="1:4" x14ac:dyDescent="0.2">
      <c r="A2051" s="5">
        <v>1990</v>
      </c>
      <c r="B2051" s="138">
        <f>'Cap Outlay Deprec 26'!K8</f>
        <v>1649851</v>
      </c>
      <c r="C2051" s="2" t="s">
        <v>594</v>
      </c>
      <c r="D2051" s="2" t="str">
        <f t="shared" si="31"/>
        <v>Error?</v>
      </c>
    </row>
    <row r="2052" spans="1:4" x14ac:dyDescent="0.2">
      <c r="A2052" s="5">
        <v>1991</v>
      </c>
      <c r="B2052" s="138">
        <f>'Cap Outlay Deprec 26'!K10</f>
        <v>25684</v>
      </c>
      <c r="C2052" s="2" t="s">
        <v>594</v>
      </c>
      <c r="D2052" s="2" t="str">
        <f t="shared" si="31"/>
        <v>Error?</v>
      </c>
    </row>
    <row r="2053" spans="1:4" x14ac:dyDescent="0.2">
      <c r="A2053" s="5">
        <v>1992</v>
      </c>
      <c r="B2053" s="138">
        <f>'Cap Outlay Deprec 26'!K12</f>
        <v>146531</v>
      </c>
      <c r="C2053" s="2" t="s">
        <v>594</v>
      </c>
      <c r="D2053" s="2" t="str">
        <f t="shared" si="31"/>
        <v>Error?</v>
      </c>
    </row>
    <row r="2054" spans="1:4" x14ac:dyDescent="0.2">
      <c r="A2054" s="5">
        <v>1993</v>
      </c>
      <c r="B2054" s="138">
        <f>'Cap Outlay Deprec 26'!K13</f>
        <v>72288</v>
      </c>
      <c r="C2054" s="2" t="s">
        <v>594</v>
      </c>
      <c r="D2054" s="2" t="str">
        <f t="shared" si="31"/>
        <v>Error?</v>
      </c>
    </row>
    <row r="2055" spans="1:4" x14ac:dyDescent="0.2">
      <c r="A2055" s="5">
        <v>1994</v>
      </c>
      <c r="B2055" s="138">
        <f>'Cap Outlay Deprec 26'!K16</f>
        <v>1894354</v>
      </c>
      <c r="C2055" s="2" t="s">
        <v>594</v>
      </c>
      <c r="D2055" s="2" t="str">
        <f t="shared" si="31"/>
        <v>Error?</v>
      </c>
    </row>
    <row r="2056" spans="1:4" x14ac:dyDescent="0.2">
      <c r="A2056" s="5">
        <v>1995</v>
      </c>
      <c r="B2056" s="138">
        <f>'Cap Outlay Deprec 26'!L5</f>
        <v>7500</v>
      </c>
      <c r="C2056" s="2" t="s">
        <v>594</v>
      </c>
      <c r="D2056" s="2" t="str">
        <f t="shared" si="31"/>
        <v>Error?</v>
      </c>
    </row>
    <row r="2057" spans="1:4" x14ac:dyDescent="0.2">
      <c r="A2057" s="5">
        <v>1996</v>
      </c>
      <c r="B2057" s="138">
        <f>'Cap Outlay Deprec 26'!L8</f>
        <v>1010759</v>
      </c>
      <c r="C2057" s="2" t="s">
        <v>594</v>
      </c>
      <c r="D2057" s="2" t="str">
        <f t="shared" si="31"/>
        <v>Error?</v>
      </c>
    </row>
    <row r="2058" spans="1:4" x14ac:dyDescent="0.2">
      <c r="A2058" s="5">
        <v>1997</v>
      </c>
      <c r="B2058" s="138">
        <f>'Cap Outlay Deprec 26'!L10</f>
        <v>16177</v>
      </c>
      <c r="C2058" s="2" t="s">
        <v>594</v>
      </c>
      <c r="D2058" s="2" t="str">
        <f t="shared" si="31"/>
        <v>Error?</v>
      </c>
    </row>
    <row r="2059" spans="1:4" x14ac:dyDescent="0.2">
      <c r="A2059" s="5">
        <v>1998</v>
      </c>
      <c r="B2059" s="138">
        <f>'Cap Outlay Deprec 26'!L12</f>
        <v>124738</v>
      </c>
      <c r="C2059" s="2" t="s">
        <v>594</v>
      </c>
      <c r="D2059" s="2" t="str">
        <f t="shared" si="31"/>
        <v>Error?</v>
      </c>
    </row>
    <row r="2060" spans="1:4" x14ac:dyDescent="0.2">
      <c r="A2060" s="5">
        <v>1999</v>
      </c>
      <c r="B2060" s="138">
        <f>'Cap Outlay Deprec 26'!L13</f>
        <v>13996</v>
      </c>
      <c r="C2060" s="2" t="s">
        <v>594</v>
      </c>
      <c r="D2060" s="2" t="str">
        <f t="shared" si="31"/>
        <v>Error?</v>
      </c>
    </row>
    <row r="2061" spans="1:4" x14ac:dyDescent="0.2">
      <c r="A2061" s="5">
        <v>2000</v>
      </c>
      <c r="B2061" s="138">
        <f>'Cap Outlay Deprec 26'!L16</f>
        <v>1173170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224409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224409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14940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1555772</v>
      </c>
      <c r="C2551" s="2" t="s">
        <v>594</v>
      </c>
      <c r="D2551" s="2" t="str">
        <f t="shared" si="38"/>
        <v>Error?</v>
      </c>
    </row>
    <row r="2552" spans="1:4" x14ac:dyDescent="0.2">
      <c r="A2552" s="10">
        <v>2491</v>
      </c>
      <c r="D2552" s="2" t="str">
        <f t="shared" si="38"/>
        <v>OK</v>
      </c>
    </row>
    <row r="2553" spans="1:4" x14ac:dyDescent="0.2">
      <c r="A2553" s="5">
        <v>2492</v>
      </c>
      <c r="B2553" s="138">
        <f>'Acct Summary 7-8'!C6</f>
        <v>583215</v>
      </c>
      <c r="C2553" s="2" t="s">
        <v>594</v>
      </c>
      <c r="D2553" s="2" t="str">
        <f t="shared" si="38"/>
        <v>Error?</v>
      </c>
    </row>
    <row r="2554" spans="1:4" x14ac:dyDescent="0.2">
      <c r="A2554" s="5">
        <v>2493</v>
      </c>
      <c r="B2554" s="138">
        <f>'Acct Summary 7-8'!C7</f>
        <v>116485</v>
      </c>
      <c r="C2554" s="2" t="s">
        <v>594</v>
      </c>
      <c r="D2554" s="2" t="str">
        <f t="shared" si="38"/>
        <v>Error?</v>
      </c>
    </row>
    <row r="2555" spans="1:4" x14ac:dyDescent="0.2">
      <c r="A2555" s="5">
        <v>2494</v>
      </c>
      <c r="B2555" s="138">
        <f>'Acct Summary 7-8'!C8</f>
        <v>2303281</v>
      </c>
      <c r="C2555" s="2" t="s">
        <v>594</v>
      </c>
      <c r="D2555" s="2" t="str">
        <f t="shared" si="38"/>
        <v>Error?</v>
      </c>
    </row>
    <row r="2556" spans="1:4" x14ac:dyDescent="0.2">
      <c r="A2556" s="5">
        <v>2495</v>
      </c>
      <c r="B2556" s="138">
        <f>'Acct Summary 7-8'!C12</f>
        <v>1253427</v>
      </c>
      <c r="C2556" s="2" t="s">
        <v>594</v>
      </c>
      <c r="D2556" s="2" t="str">
        <f t="shared" si="38"/>
        <v>Error?</v>
      </c>
    </row>
    <row r="2557" spans="1:4" x14ac:dyDescent="0.2">
      <c r="A2557" s="5">
        <v>2496</v>
      </c>
      <c r="B2557" s="138">
        <f>'Acct Summary 7-8'!C13</f>
        <v>626846</v>
      </c>
      <c r="C2557" s="2" t="s">
        <v>594</v>
      </c>
      <c r="D2557" s="2" t="str">
        <f t="shared" si="38"/>
        <v>Error?</v>
      </c>
    </row>
    <row r="2558" spans="1:4" x14ac:dyDescent="0.2">
      <c r="A2558" s="5">
        <v>2497</v>
      </c>
      <c r="B2558" s="138">
        <f>'Acct Summary 7-8'!C14</f>
        <v>517</v>
      </c>
      <c r="C2558" s="2" t="s">
        <v>594</v>
      </c>
      <c r="D2558" s="2" t="str">
        <f t="shared" si="38"/>
        <v>Error?</v>
      </c>
    </row>
    <row r="2559" spans="1:4" x14ac:dyDescent="0.2">
      <c r="A2559" s="5">
        <v>2498</v>
      </c>
      <c r="B2559" s="138">
        <f>'Acct Summary 7-8'!C15</f>
        <v>224409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2105199</v>
      </c>
      <c r="C2561" s="2" t="s">
        <v>594</v>
      </c>
      <c r="D2561" s="2" t="str">
        <f t="shared" si="39"/>
        <v>Error?</v>
      </c>
    </row>
    <row r="2562" spans="1:4" x14ac:dyDescent="0.2">
      <c r="A2562" s="5">
        <v>2501</v>
      </c>
      <c r="B2562" s="138">
        <f>'Acct Summary 7-8'!C20</f>
        <v>198082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260129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260129</v>
      </c>
      <c r="C2568" s="2" t="s">
        <v>594</v>
      </c>
      <c r="D2568" s="2" t="str">
        <f t="shared" si="39"/>
        <v>Error?</v>
      </c>
    </row>
    <row r="2569" spans="1:4" x14ac:dyDescent="0.2">
      <c r="A2569" s="5">
        <v>2508</v>
      </c>
      <c r="B2569" s="138">
        <f>'Acct Summary 7-8'!D13</f>
        <v>339423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339423</v>
      </c>
      <c r="C2573" s="2" t="s">
        <v>594</v>
      </c>
      <c r="D2573" s="2" t="str">
        <f t="shared" si="39"/>
        <v>Error?</v>
      </c>
    </row>
    <row r="2574" spans="1:4" x14ac:dyDescent="0.2">
      <c r="A2574" s="5">
        <v>2513</v>
      </c>
      <c r="B2574" s="138">
        <f>'Acct Summary 7-8'!D20</f>
        <v>-79294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175567</v>
      </c>
      <c r="C2591" s="2" t="s">
        <v>594</v>
      </c>
      <c r="D2591" s="2" t="str">
        <f t="shared" si="39"/>
        <v>Error?</v>
      </c>
    </row>
    <row r="2592" spans="1:4" x14ac:dyDescent="0.2">
      <c r="A2592" s="10">
        <v>2531</v>
      </c>
      <c r="D2592" s="2" t="str">
        <f t="shared" si="39"/>
        <v>OK</v>
      </c>
    </row>
    <row r="2593" spans="1:4" x14ac:dyDescent="0.2">
      <c r="A2593" s="5">
        <v>2532</v>
      </c>
      <c r="B2593" s="138">
        <f>'Acct Summary 7-8'!F6</f>
        <v>112209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287776</v>
      </c>
      <c r="C2595" s="2" t="s">
        <v>594</v>
      </c>
      <c r="D2595" s="2" t="str">
        <f t="shared" si="39"/>
        <v>Error?</v>
      </c>
    </row>
    <row r="2596" spans="1:4" x14ac:dyDescent="0.2">
      <c r="A2596" s="5">
        <v>2535</v>
      </c>
      <c r="B2596" s="138">
        <f>'Acct Summary 7-8'!F13</f>
        <v>121545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121545</v>
      </c>
      <c r="C2600" s="2" t="s">
        <v>594</v>
      </c>
      <c r="D2600" s="2" t="str">
        <f t="shared" si="39"/>
        <v>Error?</v>
      </c>
    </row>
    <row r="2601" spans="1:4" x14ac:dyDescent="0.2">
      <c r="A2601" s="5">
        <v>2540</v>
      </c>
      <c r="B2601" s="138">
        <f>'Acct Summary 7-8'!F20</f>
        <v>166231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73178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73178</v>
      </c>
      <c r="C2606" s="2" t="s">
        <v>594</v>
      </c>
      <c r="D2606" s="2" t="str">
        <f t="shared" si="39"/>
        <v>Error?</v>
      </c>
    </row>
    <row r="2607" spans="1:4" x14ac:dyDescent="0.2">
      <c r="A2607" s="5">
        <v>2546</v>
      </c>
      <c r="B2607" s="138">
        <f>'Acct Summary 7-8'!G12</f>
        <v>21922</v>
      </c>
      <c r="C2607" s="2" t="s">
        <v>594</v>
      </c>
      <c r="D2607" s="2" t="str">
        <f t="shared" si="39"/>
        <v>Error?</v>
      </c>
    </row>
    <row r="2608" spans="1:4" x14ac:dyDescent="0.2">
      <c r="A2608" s="5">
        <v>2547</v>
      </c>
      <c r="B2608" s="138">
        <f>'Acct Summary 7-8'!G13</f>
        <v>64804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86726</v>
      </c>
      <c r="C2612" s="2" t="s">
        <v>594</v>
      </c>
      <c r="D2612" s="2" t="str">
        <f t="shared" si="39"/>
        <v>Error?</v>
      </c>
    </row>
    <row r="2613" spans="1:4" x14ac:dyDescent="0.2">
      <c r="A2613" s="5">
        <v>2552</v>
      </c>
      <c r="B2613" s="138">
        <f>'Acct Summary 7-8'!G20</f>
        <v>-13548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141167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161784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42787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161784</v>
      </c>
      <c r="D2912" s="2" t="str">
        <f t="shared" si="44"/>
        <v>Error?</v>
      </c>
    </row>
    <row r="2913" spans="1:4" x14ac:dyDescent="0.2">
      <c r="A2913" s="5">
        <v>2852</v>
      </c>
      <c r="B2913" s="138">
        <f>'Assets-Liab 5-6'!I41</f>
        <v>161784</v>
      </c>
      <c r="C2913" s="2" t="s">
        <v>594</v>
      </c>
      <c r="D2913" s="2" t="str">
        <f t="shared" si="44"/>
        <v>Error?</v>
      </c>
    </row>
    <row r="2914" spans="1:4" x14ac:dyDescent="0.2">
      <c r="A2914" s="5">
        <v>2853</v>
      </c>
      <c r="B2914" s="138">
        <f>'Assets-Liab 5-6'!L33</f>
        <v>42787</v>
      </c>
      <c r="D2914" s="2" t="str">
        <f t="shared" si="44"/>
        <v>Error?</v>
      </c>
    </row>
    <row r="2915" spans="1:4" x14ac:dyDescent="0.2">
      <c r="A2915" s="10">
        <v>2854</v>
      </c>
      <c r="D2915" s="2" t="str">
        <f t="shared" si="44"/>
        <v>OK</v>
      </c>
    </row>
    <row r="2916" spans="1:4" x14ac:dyDescent="0.2">
      <c r="A2916" s="5">
        <v>2855</v>
      </c>
      <c r="B2916" s="138">
        <f>'Assets-Liab 5-6'!L34</f>
        <v>42787</v>
      </c>
      <c r="C2916" s="2" t="s">
        <v>594</v>
      </c>
      <c r="D2916" s="2" t="str">
        <f t="shared" si="44"/>
        <v>Error?</v>
      </c>
    </row>
    <row r="2917" spans="1:4" x14ac:dyDescent="0.2">
      <c r="A2917" s="5">
        <v>2856</v>
      </c>
      <c r="B2917" s="138">
        <f>'Assets-Liab 5-6'!L41</f>
        <v>42787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212314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5195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6900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212314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5195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6900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15544</v>
      </c>
      <c r="C3225" s="2" t="s">
        <v>594</v>
      </c>
      <c r="D3225" s="2" t="str">
        <f t="shared" si="49"/>
        <v>Error?</v>
      </c>
    </row>
    <row r="3226" spans="1:4" x14ac:dyDescent="0.2">
      <c r="A3226" s="5">
        <v>3165</v>
      </c>
      <c r="B3226" s="138">
        <f>'Acct Summary 7-8'!I8</f>
        <v>15544</v>
      </c>
      <c r="C3226" s="2" t="s">
        <v>594</v>
      </c>
      <c r="D3226" s="2" t="str">
        <f t="shared" si="49"/>
        <v>Error?</v>
      </c>
    </row>
    <row r="3227" spans="1:4" x14ac:dyDescent="0.2">
      <c r="A3227" s="5">
        <v>3166</v>
      </c>
      <c r="B3227" s="138">
        <f>'Acct Summary 7-8'!I20</f>
        <v>15544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198082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-79294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166231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-13548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15544</v>
      </c>
      <c r="C3320" s="2" t="s">
        <v>594</v>
      </c>
      <c r="D3320" s="2" t="str">
        <f t="shared" si="50"/>
        <v>Error?</v>
      </c>
    </row>
    <row r="3321" spans="1:4" x14ac:dyDescent="0.2">
      <c r="A3321" s="5">
        <v>3260</v>
      </c>
      <c r="B3321" s="138">
        <f>'Acct Summary 7-8'!I79</f>
        <v>146240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161784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20462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23126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17550</v>
      </c>
      <c r="D3387" s="2" t="str">
        <f t="shared" si="51"/>
        <v>Error?</v>
      </c>
    </row>
    <row r="3388" spans="1:4" x14ac:dyDescent="0.2">
      <c r="A3388" s="5">
        <v>3327</v>
      </c>
      <c r="B3388" s="138">
        <f>'Expenditures 15-22'!D217</f>
        <v>2916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17550</v>
      </c>
      <c r="C3390" s="2" t="s">
        <v>594</v>
      </c>
      <c r="D3390" s="2" t="str">
        <f t="shared" si="51"/>
        <v>Error?</v>
      </c>
    </row>
    <row r="3391" spans="1:4" x14ac:dyDescent="0.2">
      <c r="A3391" s="5">
        <v>3330</v>
      </c>
      <c r="B3391" s="138">
        <f>'Expenditures 15-22'!K217</f>
        <v>2916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47809</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383915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128952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389411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20617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42787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34945</v>
      </c>
      <c r="C3446" s="2" t="s">
        <v>594</v>
      </c>
      <c r="D3446" s="2" t="str">
        <f t="shared" si="52"/>
        <v>Error?</v>
      </c>
    </row>
    <row r="3447" spans="1:4" x14ac:dyDescent="0.2">
      <c r="A3447" s="5">
        <v>3386</v>
      </c>
      <c r="B3447" s="138">
        <f>'Tax Sched 23'!D16</f>
        <v>34945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34584</v>
      </c>
      <c r="C3449" s="2" t="s">
        <v>594</v>
      </c>
      <c r="D3449" s="2" t="str">
        <f t="shared" si="52"/>
        <v>Error?</v>
      </c>
    </row>
    <row r="3450" spans="1:4" x14ac:dyDescent="0.2">
      <c r="A3450" s="5">
        <v>3389</v>
      </c>
      <c r="B3450" s="138">
        <f>'Tax Sched 23'!E16</f>
        <v>34584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71099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80885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80885</v>
      </c>
      <c r="D3567" s="2" t="str">
        <f t="shared" si="54"/>
        <v>Error?</v>
      </c>
    </row>
    <row r="3568" spans="1:4" x14ac:dyDescent="0.2">
      <c r="A3568" s="5">
        <v>3507</v>
      </c>
      <c r="B3568" s="138">
        <f>'Assets-Liab 5-6'!K41</f>
        <v>80885</v>
      </c>
      <c r="C3568" s="2" t="s">
        <v>594</v>
      </c>
      <c r="D3568" s="2" t="str">
        <f t="shared" si="54"/>
        <v>Error?</v>
      </c>
    </row>
    <row r="3569" spans="1:4" x14ac:dyDescent="0.2">
      <c r="A3569" s="5">
        <v>3508</v>
      </c>
      <c r="B3569" s="138">
        <f>'Acct Summary 7-8'!K4</f>
        <v>33175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33175</v>
      </c>
      <c r="C3571" s="2" t="s">
        <v>594</v>
      </c>
      <c r="D3571" s="2" t="str">
        <f t="shared" si="54"/>
        <v>Error?</v>
      </c>
    </row>
    <row r="3572" spans="1:4" x14ac:dyDescent="0.2">
      <c r="A3572" s="5">
        <v>3511</v>
      </c>
      <c r="B3572" s="138">
        <f>'Acct Summary 7-8'!K13</f>
        <v>38675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38675</v>
      </c>
      <c r="C3575" s="2" t="s">
        <v>594</v>
      </c>
      <c r="D3575" s="2" t="str">
        <f t="shared" si="54"/>
        <v>Error?</v>
      </c>
    </row>
    <row r="3576" spans="1:4" x14ac:dyDescent="0.2">
      <c r="A3576" s="5">
        <v>3515</v>
      </c>
      <c r="B3576" s="138">
        <f>'Acct Summary 7-8'!K20</f>
        <v>-5500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-5500</v>
      </c>
      <c r="C3588" s="2" t="s">
        <v>594</v>
      </c>
      <c r="D3588" s="2" t="str">
        <f t="shared" si="55"/>
        <v>Error?</v>
      </c>
    </row>
    <row r="3589" spans="1:4" x14ac:dyDescent="0.2">
      <c r="A3589" s="5">
        <v>3528</v>
      </c>
      <c r="B3589" s="138">
        <f>'Acct Summary 7-8'!K79</f>
        <v>86385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80885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38675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38675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38675</v>
      </c>
      <c r="C3649" s="2" t="s">
        <v>594</v>
      </c>
      <c r="D3649" s="2" t="str">
        <f t="shared" si="56"/>
        <v>Error?</v>
      </c>
    </row>
    <row r="3650" spans="1:4" x14ac:dyDescent="0.2">
      <c r="A3650" s="5">
        <v>3589</v>
      </c>
      <c r="B3650" s="138">
        <f>'Expenditures 15-22'!G367</f>
        <v>38675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38675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38675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38675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38675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-5500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14341</v>
      </c>
      <c r="C3725" s="2" t="s">
        <v>594</v>
      </c>
      <c r="D3725" s="2" t="str">
        <f t="shared" si="57"/>
        <v>Error?</v>
      </c>
    </row>
    <row r="3726" spans="1:4" x14ac:dyDescent="0.2">
      <c r="A3726" s="5">
        <v>3665</v>
      </c>
      <c r="B3726" s="138">
        <f>'Tax Sched 23'!D13</f>
        <v>14341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14215</v>
      </c>
      <c r="C3728" s="2" t="s">
        <v>594</v>
      </c>
      <c r="D3728" s="2" t="str">
        <f t="shared" si="57"/>
        <v>Error?</v>
      </c>
    </row>
    <row r="3729" spans="1:4" x14ac:dyDescent="0.2">
      <c r="A3729" s="5">
        <v>3668</v>
      </c>
      <c r="B3729" s="138">
        <f>'Tax Sched 23'!E13</f>
        <v>14215</v>
      </c>
      <c r="D3729" s="2" t="str">
        <f t="shared" si="57"/>
        <v>Error?</v>
      </c>
    </row>
    <row r="3730" spans="1:4" x14ac:dyDescent="0.2">
      <c r="A3730" s="5">
        <v>3669</v>
      </c>
      <c r="B3730" s="138">
        <f>'ICR Computation 30'!E10</f>
        <v>45391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976245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3279526</v>
      </c>
      <c r="C4122" s="2" t="s">
        <v>594</v>
      </c>
      <c r="D4122" s="2" t="str">
        <f t="shared" si="63"/>
        <v>Error?</v>
      </c>
    </row>
    <row r="4123" spans="1:4" x14ac:dyDescent="0.2">
      <c r="A4123" s="5">
        <v>4062</v>
      </c>
      <c r="B4123" s="138">
        <f>'Acct Summary 7-8'!D10</f>
        <v>260129</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287776</v>
      </c>
      <c r="C4125" s="2" t="s">
        <v>594</v>
      </c>
      <c r="D4125" s="2" t="str">
        <f t="shared" si="63"/>
        <v>Error?</v>
      </c>
    </row>
    <row r="4126" spans="1:4" x14ac:dyDescent="0.2">
      <c r="A4126" s="5">
        <v>4065</v>
      </c>
      <c r="B4126" s="138">
        <f>'Acct Summary 7-8'!G10</f>
        <v>73178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15544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33175</v>
      </c>
      <c r="C4130" s="2" t="s">
        <v>594</v>
      </c>
      <c r="D4130" s="2" t="str">
        <f t="shared" si="63"/>
        <v>Error?</v>
      </c>
    </row>
    <row r="4131" spans="1:4" x14ac:dyDescent="0.2">
      <c r="A4131" s="5">
        <v>4070</v>
      </c>
      <c r="B4131" s="138">
        <f>'Acct Summary 7-8'!C18</f>
        <v>976245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3081444</v>
      </c>
      <c r="C4136" s="2" t="s">
        <v>594</v>
      </c>
      <c r="D4136" s="2" t="str">
        <f t="shared" si="63"/>
        <v>Error?</v>
      </c>
    </row>
    <row r="4137" spans="1:4" x14ac:dyDescent="0.2">
      <c r="A4137" s="5">
        <v>4076</v>
      </c>
      <c r="B4137" s="138">
        <f>'Acct Summary 7-8'!D19</f>
        <v>339423</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121545</v>
      </c>
      <c r="C4139" s="2" t="s">
        <v>594</v>
      </c>
      <c r="D4139" s="2" t="str">
        <f t="shared" si="63"/>
        <v>Error?</v>
      </c>
    </row>
    <row r="4140" spans="1:4" x14ac:dyDescent="0.2">
      <c r="A4140" s="5">
        <v>4079</v>
      </c>
      <c r="B4140" s="138">
        <f>'Acct Summary 7-8'!G19</f>
        <v>86726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38675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3279.3</v>
      </c>
      <c r="C4265" s="2" t="s">
        <v>594</v>
      </c>
      <c r="D4265" s="2" t="str">
        <f t="shared" si="65"/>
        <v>Error?</v>
      </c>
      <c r="E4265" s="128"/>
    </row>
    <row r="4266" spans="1:5" x14ac:dyDescent="0.2">
      <c r="A4266" s="12">
        <v>4205</v>
      </c>
      <c r="B4266" s="138">
        <f>('FP Info 3'!F10)*100000</f>
        <v>543.80000000000007</v>
      </c>
      <c r="C4266" s="2" t="s">
        <v>594</v>
      </c>
      <c r="D4266" s="2" t="str">
        <f t="shared" si="65"/>
        <v>Error?</v>
      </c>
      <c r="E4266" s="128"/>
    </row>
    <row r="4267" spans="1:5" x14ac:dyDescent="0.2">
      <c r="A4267" s="12">
        <v>4206</v>
      </c>
      <c r="B4267" s="138">
        <f>('FP Info 3'!H10)*100000</f>
        <v>397.3</v>
      </c>
      <c r="C4267" s="2" t="s">
        <v>594</v>
      </c>
      <c r="D4267" s="2" t="str">
        <f t="shared" si="65"/>
        <v>Error?</v>
      </c>
      <c r="E4267" s="128"/>
    </row>
    <row r="4268" spans="1:5" x14ac:dyDescent="0.2">
      <c r="A4268" s="12">
        <v>4207</v>
      </c>
      <c r="B4268" s="138">
        <f>('FP Info 3'!J10)*100000</f>
        <v>4220</v>
      </c>
      <c r="C4268" s="2" t="s">
        <v>594</v>
      </c>
      <c r="D4268" s="2" t="str">
        <f t="shared" si="65"/>
        <v>Error?</v>
      </c>
    </row>
    <row r="4269" spans="1:5" x14ac:dyDescent="0.2">
      <c r="A4269" s="12">
        <v>4208</v>
      </c>
      <c r="B4269" s="138">
        <f>'FP Info 3'!J16</f>
        <v>2736161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3253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6062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14815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2996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3641</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42434215</v>
      </c>
      <c r="D4995" s="2" t="str">
        <f t="shared" si="77"/>
        <v>Error?</v>
      </c>
    </row>
    <row r="4996" spans="1:4" x14ac:dyDescent="0.2">
      <c r="A4996" s="12">
        <v>4935</v>
      </c>
      <c r="B4996" s="138">
        <f>'FP Info 3'!H31</f>
        <v>5855921.6700000009</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14341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1344728</v>
      </c>
      <c r="D5061" s="2" t="str">
        <f t="shared" si="78"/>
        <v>Error?</v>
      </c>
    </row>
    <row r="5062" spans="1:4" x14ac:dyDescent="0.2">
      <c r="A5062" s="10">
        <v>5001</v>
      </c>
      <c r="D5062" s="2" t="str">
        <f t="shared" si="78"/>
        <v>OK</v>
      </c>
    </row>
    <row r="5063" spans="1:4" x14ac:dyDescent="0.2">
      <c r="A5063" s="5">
        <v>5002</v>
      </c>
      <c r="B5063" s="138">
        <f>'Revenues 9-14'!C7</f>
        <v>53819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1412888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47435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47435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16039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16039</v>
      </c>
      <c r="C5090" s="2" t="s">
        <v>594</v>
      </c>
      <c r="D5090" s="2" t="str">
        <f t="shared" si="78"/>
        <v>Error?</v>
      </c>
    </row>
    <row r="5091" spans="1:4" x14ac:dyDescent="0.2">
      <c r="A5091" s="5">
        <v>5030</v>
      </c>
      <c r="B5091" s="138">
        <f>'Revenues 9-14'!C70</f>
        <v>1134</v>
      </c>
      <c r="D5091" s="2" t="str">
        <f t="shared" si="78"/>
        <v>Error?</v>
      </c>
    </row>
    <row r="5092" spans="1:4" x14ac:dyDescent="0.2">
      <c r="A5092" s="5">
        <v>5031</v>
      </c>
      <c r="B5092" s="138">
        <f>'Revenues 9-14'!C71</f>
        <v>7826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1120</v>
      </c>
      <c r="D5094" s="2" t="str">
        <f t="shared" si="78"/>
        <v>Error?</v>
      </c>
    </row>
    <row r="5095" spans="1:4" x14ac:dyDescent="0.2">
      <c r="A5095" s="5">
        <v>5034</v>
      </c>
      <c r="B5095" s="138">
        <f>'Revenues 9-14'!C74</f>
        <v>200</v>
      </c>
      <c r="D5095" s="2" t="str">
        <f t="shared" si="78"/>
        <v>Error?</v>
      </c>
    </row>
    <row r="5096" spans="1:4" x14ac:dyDescent="0.2">
      <c r="A5096" s="5">
        <v>5035</v>
      </c>
      <c r="B5096" s="138">
        <f>'Revenues 9-14'!C75</f>
        <v>39947</v>
      </c>
      <c r="C5096" s="2" t="s">
        <v>594</v>
      </c>
      <c r="D5096" s="2" t="str">
        <f t="shared" si="78"/>
        <v>Error?</v>
      </c>
    </row>
    <row r="5097" spans="1:4" x14ac:dyDescent="0.2">
      <c r="A5097" s="5">
        <v>5036</v>
      </c>
      <c r="B5097" s="138">
        <f>'Revenues 9-14'!C77</f>
        <v>9103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103</v>
      </c>
      <c r="D5101" s="2" t="str">
        <f t="shared" si="78"/>
        <v>Error?</v>
      </c>
    </row>
    <row r="5102" spans="1:4" x14ac:dyDescent="0.2">
      <c r="A5102" s="5">
        <v>5041</v>
      </c>
      <c r="B5102" s="138">
        <f>'Revenues 9-14'!C82</f>
        <v>9206</v>
      </c>
      <c r="C5102" s="2" t="s">
        <v>594</v>
      </c>
      <c r="D5102" s="2" t="str">
        <f t="shared" si="78"/>
        <v>Error?</v>
      </c>
    </row>
    <row r="5103" spans="1:4" x14ac:dyDescent="0.2">
      <c r="A5103" s="5">
        <v>5042</v>
      </c>
      <c r="B5103" s="138">
        <f>'Revenues 9-14'!C84</f>
        <v>16142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16142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1802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5020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3537</v>
      </c>
      <c r="D5119" s="2" t="str">
        <f t="shared" ref="D5119:D5182" si="79">IF(ISBLANK(B5119),"OK",IF(A5119-B5119=0,"OK","Error?"))</f>
        <v>Error?</v>
      </c>
    </row>
    <row r="5120" spans="1:4" x14ac:dyDescent="0.2">
      <c r="A5120" s="5">
        <v>5059</v>
      </c>
      <c r="B5120" s="138">
        <f>'Revenues 9-14'!C108</f>
        <v>14115</v>
      </c>
      <c r="C5120" s="2" t="s">
        <v>594</v>
      </c>
      <c r="D5120" s="2" t="str">
        <f t="shared" si="79"/>
        <v>Error?</v>
      </c>
    </row>
    <row r="5121" spans="1:4" x14ac:dyDescent="0.2">
      <c r="A5121" s="5">
        <v>5060</v>
      </c>
      <c r="B5121" s="138">
        <f>'Revenues 9-14'!C109</f>
        <v>1555772</v>
      </c>
      <c r="C5121" s="2" t="s">
        <v>594</v>
      </c>
      <c r="D5121" s="2" t="str">
        <f t="shared" si="79"/>
        <v>Error?</v>
      </c>
    </row>
    <row r="5122" spans="1:4" x14ac:dyDescent="0.2">
      <c r="A5122" s="5">
        <v>5061</v>
      </c>
      <c r="B5122" s="138">
        <f>'Revenues 9-14'!C111</f>
        <v>3689</v>
      </c>
      <c r="D5122" s="2" t="str">
        <f t="shared" si="79"/>
        <v>Error?</v>
      </c>
    </row>
    <row r="5123" spans="1:4" x14ac:dyDescent="0.2">
      <c r="A5123" s="5">
        <v>5062</v>
      </c>
      <c r="B5123" s="138">
        <f>'Revenues 9-14'!C112</f>
        <v>44120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47809</v>
      </c>
      <c r="C5125" s="2" t="s">
        <v>594</v>
      </c>
      <c r="D5125" s="2" t="str">
        <f t="shared" si="79"/>
        <v>Error?</v>
      </c>
    </row>
    <row r="5126" spans="1:4" x14ac:dyDescent="0.2">
      <c r="A5126" s="5">
        <v>5065</v>
      </c>
      <c r="B5126" s="138">
        <f>'Revenues 9-14'!C117</f>
        <v>555385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555385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15306</v>
      </c>
      <c r="D5134" s="2" t="str">
        <f t="shared" si="79"/>
        <v>Error?</v>
      </c>
    </row>
    <row r="5135" spans="1:4" x14ac:dyDescent="0.2">
      <c r="A5135" s="5">
        <v>5074</v>
      </c>
      <c r="B5135" s="138">
        <f>'Revenues 9-14'!C126</f>
        <v>1530</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22039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2868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695</v>
      </c>
      <c r="D5167" s="2" t="str">
        <f t="shared" si="79"/>
        <v>Error?</v>
      </c>
    </row>
    <row r="5168" spans="1:4" x14ac:dyDescent="0.2">
      <c r="A5168" s="5">
        <v>5107</v>
      </c>
      <c r="B5168" s="138">
        <f>'Revenues 9-14'!C147</f>
        <v>2228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27830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583215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3641</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48190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4554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52744</v>
      </c>
      <c r="C5246" s="2" t="s">
        <v>594</v>
      </c>
      <c r="D5246" s="2" t="str">
        <f t="shared" si="80"/>
        <v>Error?</v>
      </c>
    </row>
    <row r="5247" spans="1:4" x14ac:dyDescent="0.2">
      <c r="A5247" s="5">
        <v>5186</v>
      </c>
      <c r="B5247" s="138">
        <f>'Revenues 9-14'!C203</f>
        <v>35970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35970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112844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116485</v>
      </c>
      <c r="C5326" s="2" t="s">
        <v>594</v>
      </c>
      <c r="D5326" s="2" t="str">
        <f t="shared" si="82"/>
        <v>Error?</v>
      </c>
    </row>
    <row r="5327" spans="1:4" x14ac:dyDescent="0.2">
      <c r="A5327" s="5">
        <v>5266</v>
      </c>
      <c r="B5327" s="138">
        <f>'Revenues 9-14'!C275</f>
        <v>2303281</v>
      </c>
      <c r="C5327" s="2" t="s">
        <v>594</v>
      </c>
      <c r="D5327" s="2" t="str">
        <f t="shared" si="82"/>
        <v>Error?</v>
      </c>
    </row>
    <row r="5328" spans="1:4" x14ac:dyDescent="0.2">
      <c r="A5328" s="5">
        <v>5267</v>
      </c>
      <c r="B5328" s="138">
        <f>'Revenues 9-14'!D5</f>
        <v>233120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233120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15000</v>
      </c>
      <c r="C5339" s="2" t="s">
        <v>594</v>
      </c>
      <c r="D5339" s="2" t="str">
        <f t="shared" si="82"/>
        <v>Error?</v>
      </c>
    </row>
    <row r="5340" spans="1:4" x14ac:dyDescent="0.2">
      <c r="A5340" s="5">
        <v>5279</v>
      </c>
      <c r="B5340" s="138">
        <f>'Revenues 9-14'!D65</f>
        <v>2809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2809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9200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9200</v>
      </c>
      <c r="C5355" s="2" t="s">
        <v>594</v>
      </c>
      <c r="D5355" s="2" t="str">
        <f t="shared" si="82"/>
        <v>Error?</v>
      </c>
    </row>
    <row r="5356" spans="1:4" x14ac:dyDescent="0.2">
      <c r="A5356" s="5">
        <v>5295</v>
      </c>
      <c r="B5356" s="138">
        <f>'Revenues 9-14'!D109</f>
        <v>260129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260129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170317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170317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4705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4705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545</v>
      </c>
      <c r="D5586" s="2" t="str">
        <f t="shared" si="86"/>
        <v>Error?</v>
      </c>
    </row>
    <row r="5587" spans="1:4" x14ac:dyDescent="0.2">
      <c r="A5587" s="5">
        <v>5526</v>
      </c>
      <c r="B5587" s="138">
        <f>'Revenues 9-14'!F108</f>
        <v>545</v>
      </c>
      <c r="C5587" s="2" t="s">
        <v>594</v>
      </c>
      <c r="D5587" s="2" t="str">
        <f t="shared" si="86"/>
        <v>Error?</v>
      </c>
    </row>
    <row r="5588" spans="1:4" x14ac:dyDescent="0.2">
      <c r="A5588" s="5">
        <v>5527</v>
      </c>
      <c r="B5588" s="138">
        <f>'Revenues 9-14'!F109</f>
        <v>175567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84627</v>
      </c>
      <c r="D5615" s="2" t="str">
        <f t="shared" si="86"/>
        <v>Error?</v>
      </c>
    </row>
    <row r="5616" spans="1:4" x14ac:dyDescent="0.2">
      <c r="A5616" s="10">
        <v>5555</v>
      </c>
      <c r="D5616" s="2" t="str">
        <f t="shared" si="86"/>
        <v>OK</v>
      </c>
    </row>
    <row r="5617" spans="1:4" x14ac:dyDescent="0.2">
      <c r="A5617" s="5">
        <v>5556</v>
      </c>
      <c r="B5617" s="138">
        <f>'Revenues 9-14'!F152</f>
        <v>27582</v>
      </c>
      <c r="D5617" s="2" t="str">
        <f t="shared" si="86"/>
        <v>Error?</v>
      </c>
    </row>
    <row r="5618" spans="1:4" x14ac:dyDescent="0.2">
      <c r="A5618" s="5">
        <v>5557</v>
      </c>
      <c r="B5618" s="138">
        <f>'Revenues 9-14'!F154</f>
        <v>112209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112209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112209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287776</v>
      </c>
      <c r="C5720" s="2" t="s">
        <v>594</v>
      </c>
      <c r="D5720" s="2" t="str">
        <f t="shared" si="88"/>
        <v>Error?</v>
      </c>
    </row>
    <row r="5721" spans="1:4" x14ac:dyDescent="0.2">
      <c r="A5721" s="5">
        <v>5660</v>
      </c>
      <c r="B5721" s="138">
        <f>'Revenues 9-14'!G5</f>
        <v>35852</v>
      </c>
      <c r="D5721" s="2" t="str">
        <f t="shared" si="88"/>
        <v>Error?</v>
      </c>
    </row>
    <row r="5722" spans="1:4" x14ac:dyDescent="0.2">
      <c r="A5722" s="5">
        <v>5661</v>
      </c>
      <c r="B5722" s="138">
        <f>'Revenues 9-14'!G7</f>
        <v>0</v>
      </c>
      <c r="D5722" s="2" t="str">
        <f t="shared" si="88"/>
        <v>Error?</v>
      </c>
    </row>
    <row r="5723" spans="1:4" x14ac:dyDescent="0.2">
      <c r="A5723" s="5">
        <v>5662</v>
      </c>
      <c r="B5723" s="138">
        <f>'Revenues 9-14'!G8</f>
        <v>34945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70797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594</v>
      </c>
      <c r="D5730" s="2" t="str">
        <f t="shared" si="88"/>
        <v>Error?</v>
      </c>
    </row>
    <row r="5731" spans="1:4" x14ac:dyDescent="0.2">
      <c r="A5731" s="5">
        <v>5670</v>
      </c>
      <c r="B5731" s="138">
        <f>'Revenues 9-14'!G65</f>
        <v>381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73178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14341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14341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15544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32307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32307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868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33175</v>
      </c>
      <c r="C6023" s="2" t="s">
        <v>594</v>
      </c>
      <c r="D6023" s="2" t="str">
        <f t="shared" si="93"/>
        <v>Error?</v>
      </c>
    </row>
    <row r="6024" spans="1:5" x14ac:dyDescent="0.2">
      <c r="A6024" s="5">
        <v>5963</v>
      </c>
      <c r="B6024" s="138">
        <f>'Revenues 9-14'!G109</f>
        <v>73178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15544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33175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29667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8638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223.76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2276</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23</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198082</v>
      </c>
      <c r="D6267" s="2" t="str">
        <f t="shared" si="96"/>
        <v>Error?</v>
      </c>
      <c r="E6267" s="2" t="s">
        <v>199</v>
      </c>
    </row>
    <row r="6268" spans="1:5" x14ac:dyDescent="0.2">
      <c r="A6268">
        <v>6207</v>
      </c>
      <c r="B6268" s="138">
        <f>'Acct Summary 7-8'!D82</f>
        <v>-79294</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166231</v>
      </c>
      <c r="D6270" s="2" t="str">
        <f t="shared" si="96"/>
        <v>Error?</v>
      </c>
      <c r="E6270" s="2" t="s">
        <v>199</v>
      </c>
    </row>
    <row r="6271" spans="1:5" x14ac:dyDescent="0.2">
      <c r="A6271">
        <v>6210</v>
      </c>
      <c r="B6271" s="138">
        <f>'Acct Summary 7-8'!G82</f>
        <v>-13548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15544</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-5500</v>
      </c>
      <c r="D6275" s="2" t="str">
        <f t="shared" si="97"/>
        <v>Error?</v>
      </c>
      <c r="E6275" s="2" t="s">
        <v>199</v>
      </c>
    </row>
    <row r="6276" spans="1:5" x14ac:dyDescent="0.2">
      <c r="A6276">
        <v>6215</v>
      </c>
      <c r="B6276" s="138">
        <f>'Acct Summary 7-8'!C83</f>
        <v>0.14178458666502514</v>
      </c>
      <c r="D6276" s="2" t="str">
        <f t="shared" si="97"/>
        <v>Error?</v>
      </c>
      <c r="E6276" s="2" t="s">
        <v>199</v>
      </c>
    </row>
    <row r="6277" spans="1:5" x14ac:dyDescent="0.2">
      <c r="A6277">
        <v>6216</v>
      </c>
      <c r="B6277" s="138">
        <f>'Acct Summary 7-8'!D83</f>
        <v>-0.20740922870886486</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0.20909375640717628</v>
      </c>
      <c r="D6279" s="2" t="str">
        <f t="shared" si="97"/>
        <v>Error?</v>
      </c>
      <c r="E6279" s="2" t="s">
        <v>199</v>
      </c>
    </row>
    <row r="6280" spans="1:5" x14ac:dyDescent="0.2">
      <c r="A6280">
        <v>6219</v>
      </c>
      <c r="B6280" s="138">
        <f>'Acct Summary 7-8'!G83</f>
        <v>-0.39489331934242744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9.6078722246946552E-2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-6.7997774618285226E-2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2868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13</v>
      </c>
      <c r="D7089" s="2" t="str">
        <f t="shared" si="109"/>
        <v>Error?</v>
      </c>
    </row>
    <row r="7090" spans="1:4" x14ac:dyDescent="0.2">
      <c r="A7090">
        <v>7029</v>
      </c>
      <c r="B7090" s="138">
        <f>'Expenditures 15-22'!K252</f>
        <v>13</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60967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760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2228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2988</v>
      </c>
      <c r="D7719" s="2" t="str">
        <f t="shared" si="126"/>
        <v>Error?</v>
      </c>
      <c r="E7719" s="2" t="s">
        <v>881</v>
      </c>
    </row>
    <row r="7720" spans="1:6" x14ac:dyDescent="0.2">
      <c r="A7720">
        <v>7659</v>
      </c>
      <c r="B7720" s="138">
        <f>'Rest Tax Levies-Tort Im 25'!H14</f>
        <v>53819</v>
      </c>
      <c r="D7720" s="2" t="str">
        <f t="shared" si="126"/>
        <v>Error?</v>
      </c>
      <c r="E7720" s="2" t="s">
        <v>881</v>
      </c>
    </row>
    <row r="7721" spans="1:6" x14ac:dyDescent="0.2">
      <c r="A7721">
        <v>7660</v>
      </c>
      <c r="B7721" s="138">
        <f>'Rest Tax Levies-Tort Im 25'!K14</f>
        <v>2988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29'!D38</f>
        <v>0</v>
      </c>
      <c r="D7797" s="2" t="str">
        <f t="shared" si="127"/>
        <v>Error?</v>
      </c>
      <c r="E7797" s="4" t="s">
        <v>2020</v>
      </c>
    </row>
    <row r="7798" spans="1:5" x14ac:dyDescent="0.2">
      <c r="A7798">
        <v>7737</v>
      </c>
      <c r="B7798" s="138">
        <f>'Contracts Paid in CY 29'!F38</f>
        <v>0</v>
      </c>
      <c r="D7798" s="2" t="str">
        <f t="shared" si="127"/>
        <v>Error?</v>
      </c>
      <c r="E7798" s="4" t="s">
        <v>2020</v>
      </c>
    </row>
    <row r="7799" spans="1:5" x14ac:dyDescent="0.2">
      <c r="A7799">
        <v>7738</v>
      </c>
      <c r="B7799" s="138">
        <f>'Contracts Paid in CY 29'!G38</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7" t="str">
        <f>COVER!A17</f>
        <v xml:space="preserve">Greenview CUSD 200                </v>
      </c>
      <c r="B7" s="2418"/>
      <c r="C7" s="2418"/>
      <c r="D7" s="2419"/>
      <c r="E7" s="2420">
        <f>COVER!A13</f>
        <v>51065200026</v>
      </c>
      <c r="F7" s="2421"/>
      <c r="G7" s="2427" t="str">
        <f>COVER!T23</f>
        <v>060-004845</v>
      </c>
      <c r="H7" s="2428"/>
      <c r="I7" s="2428"/>
      <c r="J7" s="2428"/>
      <c r="K7" s="2428"/>
      <c r="L7" s="242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0"/>
      <c r="B9" s="2431"/>
      <c r="C9" s="2431"/>
      <c r="D9" s="2431"/>
      <c r="E9" s="2431"/>
      <c r="F9" s="2432"/>
      <c r="G9" s="2401" t="str">
        <f>COVER!T13</f>
        <v>Pehlman and Dold, P.C.</v>
      </c>
      <c r="H9" s="2433"/>
      <c r="I9" s="2433"/>
      <c r="J9" s="2433"/>
      <c r="K9" s="2433"/>
      <c r="L9" s="2434"/>
    </row>
    <row r="10" spans="1:29" ht="13.5" customHeight="1" x14ac:dyDescent="0.2">
      <c r="A10" s="2407" t="str">
        <f>COVER!A38</f>
        <v>Ryan Heavner, Superintendent</v>
      </c>
      <c r="B10" s="2408"/>
      <c r="C10" s="2408"/>
      <c r="D10" s="2408"/>
      <c r="E10" s="2408"/>
      <c r="F10" s="2409"/>
      <c r="G10" s="2401" t="str">
        <f>COVER!T17</f>
        <v>100 North Amos Avenue</v>
      </c>
      <c r="H10" s="2402"/>
      <c r="I10" s="2402"/>
      <c r="J10" s="2402"/>
      <c r="K10" s="2402"/>
      <c r="L10" s="2403"/>
    </row>
    <row r="11" spans="1:29" ht="13.5" customHeight="1" x14ac:dyDescent="0.2">
      <c r="A11" s="1185" t="s">
        <v>1599</v>
      </c>
      <c r="B11" s="1186"/>
      <c r="C11" s="1187"/>
      <c r="D11" s="1192"/>
      <c r="E11" s="1187"/>
      <c r="F11" s="1191"/>
      <c r="G11" s="2401" t="str">
        <f>COVER!T19</f>
        <v>Springfield</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dfitzgerald@p-dcpas.com</v>
      </c>
      <c r="J13" s="2414"/>
      <c r="K13" s="2414"/>
      <c r="L13" s="2415"/>
    </row>
    <row r="14" spans="1:29" ht="13.5" customHeight="1" x14ac:dyDescent="0.2">
      <c r="A14" s="2401" t="str">
        <f>COVER!A19</f>
        <v>147 Palmer Street</v>
      </c>
      <c r="B14" s="2402"/>
      <c r="C14" s="2402"/>
      <c r="D14" s="2402"/>
      <c r="E14" s="2402"/>
      <c r="F14" s="2403"/>
      <c r="G14" s="1196" t="s">
        <v>1247</v>
      </c>
      <c r="H14" s="1194"/>
      <c r="I14" s="1194"/>
      <c r="J14" s="1194"/>
      <c r="K14" s="1194"/>
      <c r="L14" s="1195"/>
    </row>
    <row r="15" spans="1:29" ht="13.5" customHeight="1" x14ac:dyDescent="0.2">
      <c r="A15" s="2401" t="str">
        <f>COVER!A21</f>
        <v>Greenview</v>
      </c>
      <c r="B15" s="2402"/>
      <c r="C15" s="2402"/>
      <c r="D15" s="2402"/>
      <c r="E15" s="2402"/>
      <c r="F15" s="2403"/>
      <c r="G15" s="2398" t="str">
        <f>COVER!T15</f>
        <v xml:space="preserve">Dorinda L Fitzgerald                      </v>
      </c>
      <c r="H15" s="2399"/>
      <c r="I15" s="2399"/>
      <c r="J15" s="2399"/>
      <c r="K15" s="2399"/>
      <c r="L15" s="2400"/>
    </row>
    <row r="16" spans="1:29" ht="12.2" customHeight="1" x14ac:dyDescent="0.2">
      <c r="A16" s="2423">
        <f>COVER!A25</f>
        <v>62642</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6" t="s">
        <v>1246</v>
      </c>
      <c r="H17" s="1194"/>
      <c r="I17" s="1194"/>
      <c r="J17" s="1194"/>
      <c r="K17" s="1198" t="s">
        <v>1245</v>
      </c>
      <c r="L17" s="1191"/>
      <c r="M17" s="1184"/>
    </row>
    <row r="18" spans="1:13" ht="12.2" customHeight="1" x14ac:dyDescent="0.2">
      <c r="A18" s="2407"/>
      <c r="B18" s="2408"/>
      <c r="C18" s="2408"/>
      <c r="D18" s="2408"/>
      <c r="E18" s="2408"/>
      <c r="F18" s="2409"/>
      <c r="G18" s="2417" t="str">
        <f>COVER!T21</f>
        <v>(217) 787-0563</v>
      </c>
      <c r="H18" s="2418"/>
      <c r="I18" s="2418"/>
      <c r="J18" s="2418"/>
      <c r="K18" s="2417" t="str">
        <f>COVER!X21</f>
        <v>(217) 787-9266</v>
      </c>
      <c r="L18" s="242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 xml:space="preserve">Greenview CUSD 200                </v>
      </c>
      <c r="B1" s="2416"/>
      <c r="C1" s="2416"/>
      <c r="D1" s="2416"/>
    </row>
    <row r="2" spans="1:11" s="1215" customFormat="1" ht="12.75" x14ac:dyDescent="0.2">
      <c r="A2" s="2440">
        <f>'Single Audit Cover'!E7</f>
        <v>51065200026</v>
      </c>
      <c r="B2" s="2441"/>
      <c r="C2" s="2441"/>
      <c r="D2" s="2441"/>
    </row>
    <row r="3" spans="1:11" s="1215" customFormat="1" ht="12.75" x14ac:dyDescent="0.2">
      <c r="A3" s="2439" t="s">
        <v>1593</v>
      </c>
      <c r="B3" s="2416"/>
      <c r="C3" s="2416"/>
      <c r="D3" s="241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 xml:space="preserve">Greenview CUSD 200                </v>
      </c>
      <c r="B1" s="2443"/>
      <c r="C1" s="2443"/>
      <c r="D1" s="2443"/>
      <c r="E1" s="2443"/>
    </row>
    <row r="2" spans="1:5" x14ac:dyDescent="0.2">
      <c r="A2" s="2444">
        <f>'Single Audit Cover'!E7</f>
        <v>51065200026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60" t="s">
        <v>1305</v>
      </c>
    </row>
    <row r="10" spans="1:5" x14ac:dyDescent="0.2">
      <c r="A10" s="1261" t="s">
        <v>1304</v>
      </c>
      <c r="B10" s="1262" t="s">
        <v>1303</v>
      </c>
      <c r="C10" s="1262"/>
      <c r="D10" s="1263">
        <f>SUM('Acct Summary 7-8'!C7:K7)</f>
        <v>116485</v>
      </c>
    </row>
    <row r="11" spans="1:5" ht="18" customHeight="1" x14ac:dyDescent="0.2">
      <c r="A11" s="1261" t="s">
        <v>1302</v>
      </c>
      <c r="B11" s="1262"/>
      <c r="C11" s="1262"/>
    </row>
    <row r="12" spans="1:5" x14ac:dyDescent="0.2">
      <c r="A12" s="1261" t="s">
        <v>1301</v>
      </c>
      <c r="B12" s="1262" t="s">
        <v>1300</v>
      </c>
      <c r="C12" s="1262"/>
      <c r="D12" s="1264">
        <f>SUM('Revenues 9-14'!C112:D112,'Revenues 9-14'!F112:G112)</f>
        <v>44120</v>
      </c>
    </row>
    <row r="13" spans="1:5" x14ac:dyDescent="0.2">
      <c r="A13" s="1261" t="s">
        <v>1299</v>
      </c>
      <c r="B13" s="1262"/>
      <c r="C13" s="1262"/>
    </row>
    <row r="14" spans="1:5" x14ac:dyDescent="0.2">
      <c r="A14" s="1261" t="s">
        <v>1830</v>
      </c>
      <c r="B14" s="1262"/>
      <c r="C14" s="1262"/>
      <c r="D14" s="1264">
        <f>'ICR Computation 30'!E11</f>
        <v>8638</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-6062</v>
      </c>
    </row>
    <row r="19" spans="1:4" ht="13.5" thickBot="1" x14ac:dyDescent="0.25">
      <c r="A19" s="1265" t="s">
        <v>1297</v>
      </c>
      <c r="D19" s="1266">
        <f>SUM(D10:D17)</f>
        <v>163181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5"/>
      <c r="B24" s="2445"/>
      <c r="D24" s="1268"/>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1295</v>
      </c>
      <c r="D32" s="1263">
        <f>SUM(D19:D30)</f>
        <v>163181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2"/>
      <c r="B40" s="2442"/>
      <c r="D40" s="1268"/>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1289</v>
      </c>
      <c r="C47" s="1272"/>
      <c r="D47" s="1273">
        <f>SUM(D35:D45)</f>
        <v>0</v>
      </c>
    </row>
    <row r="49" spans="2:4" x14ac:dyDescent="0.2">
      <c r="B49" s="1272" t="s">
        <v>1288</v>
      </c>
      <c r="C49" s="1272"/>
      <c r="D49" s="1273">
        <f>D32-D47</f>
        <v>163181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 xml:space="preserve">Greenview CUSD 200                </v>
      </c>
      <c r="B1" s="2456"/>
      <c r="C1" s="2456"/>
      <c r="D1" s="2456"/>
      <c r="E1" s="2456"/>
      <c r="F1" s="2456"/>
    </row>
    <row r="2" spans="1:7" ht="13.5" customHeight="1" x14ac:dyDescent="0.2">
      <c r="A2" s="2457">
        <f>'Single Audit Cover'!E7</f>
        <v>51065200026</v>
      </c>
      <c r="B2" s="2457"/>
      <c r="C2" s="2457"/>
      <c r="D2" s="2457"/>
      <c r="E2" s="2457"/>
      <c r="F2" s="2457"/>
      <c r="G2" s="1275"/>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6" t="s">
        <v>1831</v>
      </c>
      <c r="C6" s="317"/>
      <c r="D6" s="317"/>
    </row>
    <row r="7" spans="1:7" ht="60.95" customHeight="1" x14ac:dyDescent="0.2">
      <c r="A7" s="2455" t="s">
        <v>1832</v>
      </c>
      <c r="B7" s="2455"/>
      <c r="C7" s="2455"/>
      <c r="D7" s="2455"/>
      <c r="E7" s="2455"/>
      <c r="F7" s="2455"/>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5" t="s">
        <v>1834</v>
      </c>
      <c r="B13" s="2455"/>
      <c r="C13" s="2455"/>
      <c r="D13" s="2455"/>
      <c r="E13" s="2455"/>
      <c r="F13" s="2455"/>
    </row>
    <row r="14" spans="1:7" ht="9.75" customHeight="1" x14ac:dyDescent="0.2">
      <c r="C14" s="1260"/>
      <c r="D14" s="1260"/>
    </row>
    <row r="15" spans="1:7" ht="13.5" customHeight="1" x14ac:dyDescent="0.2">
      <c r="C15" s="1869" t="s">
        <v>1332</v>
      </c>
      <c r="D15" s="2453" t="s">
        <v>1331</v>
      </c>
      <c r="E15" s="2453"/>
      <c r="F15" s="2453"/>
    </row>
    <row r="16" spans="1:7" ht="13.5" customHeight="1" x14ac:dyDescent="0.2">
      <c r="A16" s="1282"/>
      <c r="B16" s="1276" t="s">
        <v>1330</v>
      </c>
      <c r="C16" s="1869" t="s">
        <v>1329</v>
      </c>
      <c r="D16" s="2454" t="s">
        <v>1670</v>
      </c>
      <c r="E16" s="2454"/>
      <c r="F16" s="2454"/>
    </row>
    <row r="17" spans="1:6" ht="20.45" customHeight="1" x14ac:dyDescent="0.2">
      <c r="A17" s="1283"/>
      <c r="B17" s="1284"/>
      <c r="C17" s="1285"/>
      <c r="D17" s="2448"/>
      <c r="E17" s="2448"/>
      <c r="F17" s="2448"/>
    </row>
    <row r="18" spans="1:6" ht="20.65" customHeight="1" x14ac:dyDescent="0.2">
      <c r="A18" s="1283"/>
      <c r="B18" s="1284"/>
      <c r="C18" s="1285"/>
      <c r="D18" s="2448"/>
      <c r="E18" s="2448"/>
      <c r="F18" s="2448"/>
    </row>
    <row r="19" spans="1:6" ht="20.65" customHeight="1" x14ac:dyDescent="0.2">
      <c r="A19" s="1283"/>
      <c r="B19" s="1284"/>
      <c r="C19" s="1285"/>
      <c r="D19" s="2448"/>
      <c r="E19" s="2448"/>
      <c r="F19" s="2448"/>
    </row>
    <row r="20" spans="1:6" ht="20.65" customHeight="1" x14ac:dyDescent="0.2">
      <c r="A20" s="1283"/>
      <c r="B20" s="1284"/>
      <c r="C20" s="1285"/>
      <c r="D20" s="2448"/>
      <c r="E20" s="2448"/>
      <c r="F20" s="2448"/>
    </row>
    <row r="21" spans="1:6" ht="20.65" customHeight="1" x14ac:dyDescent="0.2">
      <c r="A21" s="1283"/>
      <c r="B21" s="1284"/>
      <c r="C21" s="1285"/>
      <c r="D21" s="2448"/>
      <c r="E21" s="2448"/>
      <c r="F21" s="2448"/>
    </row>
    <row r="22" spans="1:6" ht="20.65" customHeight="1" x14ac:dyDescent="0.2">
      <c r="A22" s="1283"/>
      <c r="B22" s="1284"/>
      <c r="C22" s="1285"/>
      <c r="D22" s="2448"/>
      <c r="E22" s="2448"/>
      <c r="F22" s="2448"/>
    </row>
    <row r="23" spans="1:6" ht="20.65" customHeight="1" x14ac:dyDescent="0.2">
      <c r="A23" s="1283"/>
      <c r="B23" s="1284"/>
      <c r="C23" s="1285"/>
      <c r="D23" s="2448"/>
      <c r="E23" s="2448"/>
      <c r="F23" s="2448"/>
    </row>
    <row r="24" spans="1:6" ht="20.65" customHeight="1" x14ac:dyDescent="0.2">
      <c r="A24" s="1283"/>
      <c r="B24" s="1284"/>
      <c r="C24" s="1285"/>
      <c r="D24" s="2448"/>
      <c r="E24" s="2448"/>
      <c r="F24" s="2448"/>
    </row>
    <row r="25" spans="1:6" ht="20.65" customHeight="1" x14ac:dyDescent="0.2">
      <c r="A25" s="1283"/>
      <c r="B25" s="1284"/>
      <c r="C25" s="1285"/>
      <c r="D25" s="2448"/>
      <c r="E25" s="2448"/>
      <c r="F25" s="2448"/>
    </row>
    <row r="26" spans="1:6" ht="20.65" customHeight="1" x14ac:dyDescent="0.2">
      <c r="A26" s="1283"/>
      <c r="B26" s="1284"/>
      <c r="C26" s="1285"/>
      <c r="D26" s="2448"/>
      <c r="E26" s="2448"/>
      <c r="F26" s="2448"/>
    </row>
    <row r="27" spans="1:6" ht="20.65" customHeight="1" x14ac:dyDescent="0.2">
      <c r="A27" s="1283"/>
      <c r="B27" s="1284"/>
      <c r="C27" s="1285"/>
      <c r="D27" s="2448"/>
      <c r="E27" s="2448"/>
      <c r="F27" s="2448"/>
    </row>
    <row r="28" spans="1:6" ht="20.65" customHeight="1" x14ac:dyDescent="0.2">
      <c r="A28" s="1283"/>
      <c r="B28" s="1284"/>
      <c r="C28" s="1285"/>
      <c r="D28" s="2448"/>
      <c r="E28" s="2448"/>
      <c r="F28" s="2448"/>
    </row>
    <row r="29" spans="1:6" ht="20.65" customHeight="1" x14ac:dyDescent="0.2">
      <c r="A29" s="1283"/>
      <c r="B29" s="1284"/>
      <c r="C29" s="1285"/>
      <c r="D29" s="2448"/>
      <c r="E29" s="2448"/>
      <c r="F29" s="2448"/>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49" t="s">
        <v>1835</v>
      </c>
      <c r="B32" s="2449"/>
      <c r="C32" s="2449"/>
      <c r="D32" s="2449"/>
      <c r="E32" s="2449"/>
      <c r="F32" s="2449"/>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0">
        <f>+C33+C34</f>
        <v>0</v>
      </c>
      <c r="F34" s="2451"/>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2" t="s">
        <v>1672</v>
      </c>
      <c r="C49" s="2452"/>
      <c r="D49" s="2452"/>
      <c r="E49" s="1399"/>
    </row>
    <row r="50" spans="1:5" s="1300" customFormat="1" ht="3.75" customHeight="1" x14ac:dyDescent="0.2">
      <c r="A50" s="1299"/>
      <c r="B50" s="1868"/>
      <c r="C50" s="1868"/>
      <c r="D50" s="1868"/>
      <c r="E50" s="1399"/>
    </row>
    <row r="51" spans="1:5" s="1300" customFormat="1" ht="20.25" customHeight="1" x14ac:dyDescent="0.2">
      <c r="A51" s="1301">
        <v>6</v>
      </c>
      <c r="B51" s="2447" t="s">
        <v>1632</v>
      </c>
      <c r="C51" s="2447"/>
      <c r="D51" s="2447"/>
    </row>
    <row r="52" spans="1:5" ht="14.25" customHeight="1" x14ac:dyDescent="0.2">
      <c r="A52" s="1301"/>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6" t="str">
        <f>'Single Audit Cover'!A7</f>
        <v xml:space="preserve">Greenview CUSD 200                </v>
      </c>
      <c r="C1" s="2460"/>
      <c r="D1" s="2460"/>
      <c r="E1" s="2460"/>
      <c r="F1" s="2460"/>
      <c r="G1" s="2460"/>
      <c r="H1" s="2460"/>
      <c r="I1" s="2460"/>
      <c r="J1" s="2460"/>
      <c r="K1" s="2460"/>
      <c r="L1" s="2460"/>
      <c r="M1" s="2460"/>
    </row>
    <row r="2" spans="2:14" ht="15" x14ac:dyDescent="0.2">
      <c r="B2" s="2457">
        <f>'Single Audit Cover'!E7</f>
        <v>51065200026</v>
      </c>
      <c r="C2" s="2457"/>
      <c r="D2" s="2457"/>
      <c r="E2" s="2457"/>
      <c r="F2" s="2457"/>
      <c r="G2" s="2457"/>
      <c r="H2" s="2457"/>
      <c r="I2" s="2457"/>
      <c r="J2" s="2457"/>
      <c r="K2" s="2457"/>
      <c r="L2" s="2457"/>
      <c r="M2" s="2457"/>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 xml:space="preserve">Greenview CUSD 200                </v>
      </c>
      <c r="C1" s="2475"/>
      <c r="D1" s="2475"/>
      <c r="E1" s="2475"/>
      <c r="F1" s="2475"/>
      <c r="G1" s="2475"/>
      <c r="H1" s="2475"/>
      <c r="I1" s="2475"/>
      <c r="J1" s="1422"/>
    </row>
    <row r="2" spans="2:10" s="317" customFormat="1" ht="12.75" customHeight="1" x14ac:dyDescent="0.2">
      <c r="B2" s="2476">
        <f>'Single Audit Cover'!E7</f>
        <v>51065200026</v>
      </c>
      <c r="C2" s="2477"/>
      <c r="D2" s="2477"/>
      <c r="E2" s="2477"/>
      <c r="F2" s="2477"/>
      <c r="G2" s="2477"/>
      <c r="H2" s="2477"/>
      <c r="I2" s="2477"/>
      <c r="J2" s="1422"/>
    </row>
    <row r="3" spans="2:10" s="317" customFormat="1" ht="12.75" customHeight="1" x14ac:dyDescent="0.2">
      <c r="B3" s="2478" t="s">
        <v>1347</v>
      </c>
      <c r="C3" s="2479"/>
      <c r="D3" s="2479"/>
      <c r="E3" s="2479"/>
      <c r="F3" s="2479"/>
      <c r="G3" s="2479"/>
      <c r="H3" s="2479"/>
      <c r="I3" s="2479"/>
      <c r="J3" s="1423"/>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8" t="s">
        <v>1346</v>
      </c>
      <c r="C7" s="2479"/>
      <c r="D7" s="2479"/>
      <c r="E7" s="2479"/>
      <c r="F7" s="2479"/>
      <c r="G7" s="2479"/>
      <c r="H7" s="2479"/>
      <c r="I7" s="247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0"/>
      <c r="D11" s="2480"/>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1"/>
      <c r="E29" s="2481"/>
      <c r="F29" s="2481"/>
      <c r="G29" s="2481"/>
      <c r="H29" s="2481"/>
      <c r="I29" s="248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2" t="s">
        <v>1854</v>
      </c>
      <c r="D37" s="2483"/>
      <c r="E37" s="2483"/>
      <c r="F37" s="2484"/>
      <c r="G37" s="2482" t="s">
        <v>1674</v>
      </c>
      <c r="H37" s="2483"/>
      <c r="I37" s="2484"/>
    </row>
    <row r="38" spans="2:9" ht="16.5" customHeight="1" x14ac:dyDescent="0.2">
      <c r="B38" s="1444"/>
      <c r="C38" s="2470"/>
      <c r="D38" s="2471"/>
      <c r="E38" s="2471"/>
      <c r="F38" s="2472"/>
      <c r="G38" s="2485"/>
      <c r="H38" s="2486"/>
      <c r="I38" s="2487"/>
    </row>
    <row r="39" spans="2:9" ht="16.5" customHeight="1" x14ac:dyDescent="0.2">
      <c r="B39" s="1444"/>
      <c r="C39" s="2470"/>
      <c r="D39" s="2471"/>
      <c r="E39" s="2471"/>
      <c r="F39" s="2472"/>
      <c r="G39" s="2473"/>
      <c r="H39" s="2473"/>
      <c r="I39" s="2473"/>
    </row>
    <row r="40" spans="2:9" ht="16.5" customHeight="1" x14ac:dyDescent="0.2">
      <c r="B40" s="1444"/>
      <c r="C40" s="2470"/>
      <c r="D40" s="2471"/>
      <c r="E40" s="2471"/>
      <c r="F40" s="2472"/>
      <c r="G40" s="2473"/>
      <c r="H40" s="2473"/>
      <c r="I40" s="2473"/>
    </row>
    <row r="41" spans="2:9" ht="16.5" customHeight="1" x14ac:dyDescent="0.2">
      <c r="B41" s="1444"/>
      <c r="C41" s="2470"/>
      <c r="D41" s="2471"/>
      <c r="E41" s="2471"/>
      <c r="F41" s="2472"/>
      <c r="G41" s="2473"/>
      <c r="H41" s="2473"/>
      <c r="I41" s="2473"/>
    </row>
    <row r="42" spans="2:9" ht="16.5" customHeight="1" x14ac:dyDescent="0.2">
      <c r="B42" s="1444"/>
      <c r="C42" s="2470"/>
      <c r="D42" s="2471"/>
      <c r="E42" s="2471"/>
      <c r="F42" s="2472"/>
      <c r="G42" s="2473"/>
      <c r="H42" s="2473"/>
      <c r="I42" s="2473"/>
    </row>
    <row r="43" spans="2:9" ht="16.5" customHeight="1" x14ac:dyDescent="0.2">
      <c r="B43" s="1444"/>
      <c r="C43" s="2463" t="s">
        <v>1675</v>
      </c>
      <c r="D43" s="2464"/>
      <c r="E43" s="2464"/>
      <c r="F43" s="2465"/>
      <c r="G43" s="2466">
        <f>SUM(G38:I42)</f>
        <v>0</v>
      </c>
      <c r="H43" s="2466"/>
      <c r="I43" s="2466"/>
    </row>
    <row r="44" spans="2:9" ht="12.75" customHeight="1" x14ac:dyDescent="0.2"/>
    <row r="45" spans="2:9" ht="12.75" customHeight="1" x14ac:dyDescent="0.2">
      <c r="B45" s="1435" t="s">
        <v>1952</v>
      </c>
      <c r="D45" s="2467">
        <v>0</v>
      </c>
      <c r="E45" s="246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69"/>
      <c r="F49" s="2469"/>
      <c r="G49" s="246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 xml:space="preserve">Greenview CUSD 200                </v>
      </c>
      <c r="C1" s="2474"/>
      <c r="D1" s="2474"/>
      <c r="E1" s="2474"/>
      <c r="F1" s="2474"/>
      <c r="G1" s="2474"/>
      <c r="H1" s="2474"/>
      <c r="I1" s="2474"/>
      <c r="J1" s="2474"/>
      <c r="K1" s="2474"/>
      <c r="L1" s="1374"/>
      <c r="M1" s="1374"/>
    </row>
    <row r="2" spans="1:13" ht="12" customHeight="1" x14ac:dyDescent="0.2">
      <c r="B2" s="2476">
        <f>'Single Audit Cover'!E7</f>
        <v>51065200026</v>
      </c>
      <c r="C2" s="2476"/>
      <c r="D2" s="2476"/>
      <c r="E2" s="2476"/>
      <c r="F2" s="2476"/>
      <c r="G2" s="2476"/>
      <c r="H2" s="2476"/>
      <c r="I2" s="2476"/>
      <c r="J2" s="2476"/>
      <c r="K2" s="2476"/>
      <c r="L2" s="1375"/>
      <c r="M2" s="1376"/>
    </row>
    <row r="3" spans="1:13" ht="10.35" customHeight="1" x14ac:dyDescent="0.2">
      <c r="B3" s="2490" t="s">
        <v>1347</v>
      </c>
      <c r="C3" s="2490"/>
      <c r="D3" s="2490"/>
      <c r="E3" s="2490"/>
      <c r="F3" s="2490"/>
      <c r="G3" s="2490"/>
      <c r="H3" s="2490"/>
      <c r="I3" s="2490"/>
      <c r="J3" s="2490"/>
      <c r="K3" s="2490"/>
      <c r="L3" s="1377"/>
      <c r="M3" s="1377"/>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1" t="s">
        <v>1363</v>
      </c>
      <c r="C7" s="2491"/>
      <c r="D7" s="2492"/>
      <c r="E7" s="2492"/>
      <c r="F7" s="2492"/>
      <c r="G7" s="2492"/>
      <c r="H7" s="2492"/>
      <c r="I7" s="2492"/>
      <c r="J7" s="2492"/>
      <c r="K7" s="249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9"/>
      <c r="C14" s="2489"/>
      <c r="D14" s="2489"/>
      <c r="E14" s="2489"/>
      <c r="F14" s="2489"/>
      <c r="G14" s="2489"/>
      <c r="H14" s="2489"/>
      <c r="I14" s="2489"/>
      <c r="J14" s="2489"/>
      <c r="K14" s="248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9"/>
      <c r="C17" s="2489"/>
      <c r="D17" s="2489"/>
      <c r="E17" s="2489"/>
      <c r="F17" s="2489"/>
      <c r="G17" s="2489"/>
      <c r="H17" s="2489"/>
      <c r="I17" s="2489"/>
      <c r="J17" s="2489"/>
      <c r="K17" s="248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3"/>
      <c r="C20" s="2493"/>
      <c r="D20" s="2489"/>
      <c r="E20" s="2489"/>
      <c r="F20" s="2489"/>
      <c r="G20" s="2489"/>
      <c r="H20" s="2489"/>
      <c r="I20" s="2489"/>
      <c r="J20" s="2489"/>
      <c r="K20" s="248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9"/>
      <c r="C23" s="2489"/>
      <c r="D23" s="2489"/>
      <c r="E23" s="2489"/>
      <c r="F23" s="2489"/>
      <c r="G23" s="2489"/>
      <c r="H23" s="2489"/>
      <c r="I23" s="2489"/>
      <c r="J23" s="2489"/>
      <c r="K23" s="248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9"/>
      <c r="C26" s="2489"/>
      <c r="D26" s="2489"/>
      <c r="E26" s="2489"/>
      <c r="F26" s="2489"/>
      <c r="G26" s="2489"/>
      <c r="H26" s="2489"/>
      <c r="I26" s="2489"/>
      <c r="J26" s="2489"/>
      <c r="K26" s="248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8"/>
      <c r="C29" s="2488"/>
      <c r="D29" s="2489"/>
      <c r="E29" s="2489"/>
      <c r="F29" s="2489"/>
      <c r="G29" s="2489"/>
      <c r="H29" s="2489"/>
      <c r="I29" s="2489"/>
      <c r="J29" s="2489"/>
      <c r="K29" s="248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8"/>
      <c r="C32" s="2488"/>
      <c r="D32" s="2489"/>
      <c r="E32" s="2489"/>
      <c r="F32" s="2489"/>
      <c r="G32" s="2489"/>
      <c r="H32" s="2489"/>
      <c r="I32" s="2489"/>
      <c r="J32" s="2489"/>
      <c r="K32" s="248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 xml:space="preserve">Greenview CUSD 200                </v>
      </c>
      <c r="C1" s="2497"/>
      <c r="D1" s="2497"/>
      <c r="E1" s="2497"/>
      <c r="F1" s="2497"/>
      <c r="G1" s="2497"/>
      <c r="H1" s="2497"/>
      <c r="I1" s="2497"/>
      <c r="J1" s="2497"/>
      <c r="K1" s="2497"/>
      <c r="L1" s="1465"/>
    </row>
    <row r="2" spans="1:12" ht="12.75" customHeight="1" x14ac:dyDescent="0.2">
      <c r="B2" s="2498">
        <f>'Single Audit Cover'!E7</f>
        <v>51065200026</v>
      </c>
      <c r="C2" s="2498"/>
      <c r="D2" s="2498"/>
      <c r="E2" s="2498"/>
      <c r="F2" s="2498"/>
      <c r="G2" s="2498"/>
      <c r="H2" s="2498"/>
      <c r="I2" s="2498"/>
      <c r="J2" s="2498"/>
      <c r="K2" s="2498"/>
      <c r="L2" s="1466"/>
    </row>
    <row r="3" spans="1:12" ht="12.75" customHeight="1" x14ac:dyDescent="0.2">
      <c r="B3" s="2490" t="s">
        <v>1347</v>
      </c>
      <c r="C3" s="2490"/>
      <c r="D3" s="2490"/>
      <c r="E3" s="2490"/>
      <c r="F3" s="2490"/>
      <c r="G3" s="2490"/>
      <c r="H3" s="2490"/>
      <c r="I3" s="2490"/>
      <c r="J3" s="2490"/>
      <c r="K3" s="2490"/>
      <c r="L3" s="1377"/>
    </row>
    <row r="4" spans="1:12" ht="12.75" customHeight="1" x14ac:dyDescent="0.2">
      <c r="B4" s="2490" t="str">
        <f>'Single Audit Cover'!A4</f>
        <v>Year Ending June 30, 2018</v>
      </c>
      <c r="C4" s="2490"/>
      <c r="D4" s="2490"/>
      <c r="E4" s="2490"/>
      <c r="F4" s="2490"/>
      <c r="G4" s="2490"/>
      <c r="H4" s="2490"/>
      <c r="I4" s="2490"/>
      <c r="J4" s="2490"/>
      <c r="K4" s="2490"/>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1"/>
      <c r="G12" s="2481"/>
      <c r="H12" s="2481"/>
      <c r="I12" s="2481"/>
      <c r="J12" s="2481"/>
      <c r="K12" s="248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4"/>
      <c r="E14" s="2494"/>
      <c r="F14" s="2494"/>
      <c r="H14" s="1475" t="s">
        <v>1370</v>
      </c>
      <c r="I14" s="2495"/>
      <c r="J14" s="2495"/>
      <c r="K14" s="249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5"/>
      <c r="E16" s="2495"/>
      <c r="F16" s="2495"/>
      <c r="G16" s="2495"/>
      <c r="H16" s="2495"/>
      <c r="I16" s="2495"/>
      <c r="J16" s="2495"/>
      <c r="K16" s="2495"/>
      <c r="L16" s="322"/>
    </row>
    <row r="17" spans="2:12" ht="13.5" customHeight="1" x14ac:dyDescent="0.2">
      <c r="B17" s="1387" t="s">
        <v>1368</v>
      </c>
      <c r="C17" s="1387"/>
      <c r="D17" s="2496"/>
      <c r="E17" s="2496"/>
      <c r="F17" s="2496"/>
      <c r="G17" s="2496"/>
      <c r="H17" s="2496"/>
      <c r="I17" s="2496"/>
      <c r="J17" s="2496"/>
      <c r="K17" s="249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9"/>
      <c r="C20" s="2489"/>
      <c r="D20" s="2489"/>
      <c r="E20" s="2489"/>
      <c r="F20" s="2489"/>
      <c r="G20" s="2489"/>
      <c r="H20" s="2489"/>
      <c r="I20" s="2489"/>
      <c r="J20" s="2489"/>
      <c r="K20" s="248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4" t="str">
        <f>'Single Audit Cover'!A7</f>
        <v xml:space="preserve">Greenview CUSD 200                </v>
      </c>
      <c r="C1" s="2474"/>
      <c r="D1" s="2474"/>
      <c r="E1" s="1491"/>
    </row>
    <row r="2" spans="2:5" s="1282" customFormat="1" ht="12.75" customHeight="1" x14ac:dyDescent="0.2">
      <c r="B2" s="2476">
        <f>'Single Audit Cover'!E7</f>
        <v>51065200026</v>
      </c>
      <c r="C2" s="2476"/>
      <c r="D2" s="2476"/>
      <c r="E2" s="1492"/>
    </row>
    <row r="3" spans="2:5" ht="12.75" customHeight="1" x14ac:dyDescent="0.2">
      <c r="B3" s="2490" t="s">
        <v>1869</v>
      </c>
      <c r="C3" s="2490"/>
      <c r="D3" s="2490"/>
      <c r="E3" s="1274"/>
    </row>
    <row r="4" spans="2:5" s="1282" customFormat="1" ht="12.75" customHeight="1" x14ac:dyDescent="0.2">
      <c r="B4" s="2500" t="str">
        <f>'Single Audit Cover'!A4</f>
        <v>Year Ending June 30, 2018</v>
      </c>
      <c r="C4" s="2500"/>
      <c r="D4" s="250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infopath/2007/PartnerControls"/>
    <ds:schemaRef ds:uri="4d435f69-8686-490b-bd6d-b153bf22ab50"/>
    <ds:schemaRef ds:uri="http://purl.org/dc/elements/1.1/"/>
    <ds:schemaRef ds:uri="d21dc803-237d-4c68-8692-8d731fd29118"/>
    <ds:schemaRef ds:uri="http://purl.org/dc/dcmitype/"/>
    <ds:schemaRef ds:uri="http://schemas.microsoft.com/sharepoint/v3"/>
    <ds:schemaRef ds:uri="http://schemas.microsoft.com/office/2006/metadata/properties"/>
    <ds:schemaRef ds:uri="http://www.w3.org/XML/1998/namespace"/>
    <ds:schemaRef ds:uri="http://schemas.openxmlformats.org/package/2006/metadata/core-properties"/>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2018-11-12T15:45:40Z</cp:lastPrinted>
  <dcterms:created xsi:type="dcterms:W3CDTF">2003-10-29T19:06:34Z</dcterms:created>
  <dcterms:modified xsi:type="dcterms:W3CDTF">2018-11-15T18:53:57Z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