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1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2)" sheetId="183" r:id="rId29"/>
    <sheet name=" SEFA (3)" sheetId="184" r:id="rId30"/>
    <sheet name=" SEFA" sheetId="179" r:id="rId31"/>
    <sheet name="SF&amp;QC Sec-1" sheetId="174" r:id="rId32"/>
    <sheet name="SF&amp;QC Sec-2 (3)" sheetId="186" r:id="rId33"/>
    <sheet name="SF&amp;QC Sec-2 (2)" sheetId="185" r:id="rId34"/>
    <sheet name="SF&amp;QC Sec-2" sheetId="175" r:id="rId35"/>
    <sheet name="SF&amp;QC Sec-3 (2)" sheetId="187" r:id="rId36"/>
    <sheet name="SF&amp;QC Sec-3 (3)" sheetId="188" r:id="rId37"/>
    <sheet name="SF&amp;QC Sec-3" sheetId="176" r:id="rId38"/>
    <sheet name="SSPAF" sheetId="177" r:id="rId39"/>
  </sheets>
  <definedNames>
    <definedName name="_xlnm.Print_Area" localSheetId="30">' SEFA'!$B$1:$M$46</definedName>
    <definedName name="_xlnm.Print_Area" localSheetId="28">' SEFA (2)'!$B$1:$M$46</definedName>
    <definedName name="_xlnm.Print_Area" localSheetId="29">'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7">'SF&amp;QC Sec-3'!$A$1:$K$52</definedName>
    <definedName name="_xlnm.Print_Area" localSheetId="35">'SF&amp;QC Sec-3 (2)'!$A$1:$K$52</definedName>
    <definedName name="_xlnm.Print_Area" localSheetId="36">'SF&amp;QC Sec-3 (3)'!$A$1:$K$52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0">#REF!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4">#REF!</definedName>
    <definedName name="SCHADDRS" localSheetId="33">#REF!</definedName>
    <definedName name="SCHADDRS" localSheetId="32">#REF!</definedName>
    <definedName name="SCHADDRS" localSheetId="37">#REF!</definedName>
    <definedName name="SCHADDRS" localSheetId="35">#REF!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30">#REF!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4">#REF!</definedName>
    <definedName name="SCHCTY" localSheetId="33">#REF!</definedName>
    <definedName name="SCHCTY" localSheetId="32">#REF!</definedName>
    <definedName name="SCHCTY" localSheetId="37">#REF!</definedName>
    <definedName name="SCHCTY" localSheetId="35">#REF!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30">#REF!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4">#REF!</definedName>
    <definedName name="SCHNMBR" localSheetId="33">#REF!</definedName>
    <definedName name="SCHNMBR" localSheetId="32">#REF!</definedName>
    <definedName name="SCHNMBR" localSheetId="37">#REF!</definedName>
    <definedName name="SCHNMBR" localSheetId="35">#REF!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30">#REF!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4">#REF!</definedName>
    <definedName name="SCHNME" localSheetId="33">#REF!</definedName>
    <definedName name="SCHNME" localSheetId="32">#REF!</definedName>
    <definedName name="SCHNME" localSheetId="37">#REF!</definedName>
    <definedName name="SCHNME" localSheetId="35">#REF!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30">#REF!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4">#REF!</definedName>
    <definedName name="SUPT" localSheetId="33">#REF!</definedName>
    <definedName name="SUPT" localSheetId="32">#REF!</definedName>
    <definedName name="SUPT" localSheetId="37">#REF!</definedName>
    <definedName name="SUPT" localSheetId="35">#REF!</definedName>
    <definedName name="SUPT" localSheetId="36">#REF!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8" i="29" l="1"/>
  <c r="E38" i="29"/>
  <c r="B4" i="188" l="1"/>
  <c r="B2" i="188"/>
  <c r="B1" i="188"/>
  <c r="C16" i="7"/>
  <c r="E16" i="7"/>
  <c r="B4" i="187" l="1"/>
  <c r="B2" i="187"/>
  <c r="B1" i="187"/>
  <c r="B4" i="186"/>
  <c r="B2" i="186"/>
  <c r="B1" i="186"/>
  <c r="B4" i="185"/>
  <c r="B2" i="185"/>
  <c r="B1" i="185"/>
  <c r="I19" i="179"/>
  <c r="F19" i="179"/>
  <c r="I23" i="179"/>
  <c r="F23" i="179"/>
  <c r="I14" i="179"/>
  <c r="F14" i="179"/>
  <c r="G23" i="184"/>
  <c r="F23" i="184"/>
  <c r="E23" i="184"/>
  <c r="I21" i="184"/>
  <c r="G21" i="184"/>
  <c r="F21" i="184"/>
  <c r="E21" i="184"/>
  <c r="I17" i="184"/>
  <c r="I23" i="184" s="1"/>
  <c r="G17" i="184"/>
  <c r="F17" i="184"/>
  <c r="E17" i="184"/>
  <c r="I26" i="183"/>
  <c r="G26" i="183"/>
  <c r="F26" i="183"/>
  <c r="E26" i="183"/>
  <c r="I21" i="183"/>
  <c r="G21" i="183"/>
  <c r="F21" i="183"/>
  <c r="E21" i="183"/>
  <c r="J31" i="8"/>
  <c r="E27" i="8"/>
  <c r="L16" i="184"/>
  <c r="L26" i="184" l="1"/>
  <c r="L23" i="184"/>
  <c r="L21" i="184"/>
  <c r="L20" i="184"/>
  <c r="L19" i="184"/>
  <c r="L15" i="184"/>
  <c r="L14" i="184"/>
  <c r="L13" i="184"/>
  <c r="L12" i="184"/>
  <c r="B4" i="184"/>
  <c r="B2" i="184"/>
  <c r="B1" i="184"/>
  <c r="L25" i="183"/>
  <c r="L24" i="183"/>
  <c r="L20" i="183"/>
  <c r="L19" i="183"/>
  <c r="I16" i="183"/>
  <c r="G16" i="183"/>
  <c r="F16" i="183"/>
  <c r="E16" i="183"/>
  <c r="L15" i="183"/>
  <c r="L14" i="183"/>
  <c r="L13" i="183"/>
  <c r="L12" i="183"/>
  <c r="B4" i="183"/>
  <c r="B2" i="183"/>
  <c r="B1" i="183"/>
  <c r="L16" i="183" l="1"/>
  <c r="F45" i="29"/>
  <c r="E36" i="29"/>
  <c r="E71" i="29"/>
  <c r="E52" i="29"/>
  <c r="C50" i="29"/>
  <c r="C41" i="29"/>
  <c r="E37" i="29"/>
  <c r="C13" i="29"/>
  <c r="E10" i="29"/>
  <c r="D10" i="29"/>
  <c r="C10" i="29"/>
  <c r="F8" i="29"/>
  <c r="D8" i="29"/>
  <c r="C8" i="29"/>
  <c r="F5" i="29"/>
  <c r="E5" i="29"/>
  <c r="D5" i="29"/>
  <c r="C5" i="29"/>
  <c r="H5" i="29"/>
  <c r="C107" i="5"/>
  <c r="C79" i="5"/>
  <c r="C4" i="3"/>
  <c r="D5" i="5" l="1"/>
  <c r="E5" i="5"/>
  <c r="F5" i="5"/>
  <c r="G5" i="5"/>
  <c r="J5" i="5"/>
  <c r="K5" i="5"/>
  <c r="F124" i="29" l="1"/>
  <c r="E124" i="29"/>
  <c r="D124" i="29"/>
  <c r="C124" i="29"/>
  <c r="H171" i="29"/>
  <c r="D246" i="29"/>
  <c r="D245" i="29"/>
  <c r="D222" i="29"/>
  <c r="D217" i="29"/>
  <c r="D21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19" i="179"/>
  <c r="L17" i="179"/>
  <c r="L14" i="179"/>
  <c r="L12"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D7761" i="106" s="1"/>
  <c r="L127" i="29"/>
  <c r="L129" i="29" s="1"/>
  <c r="L139" i="29"/>
  <c r="L149" i="29"/>
  <c r="I7" i="145"/>
  <c r="I6" i="145"/>
  <c r="D82" i="36"/>
  <c r="D78" i="36"/>
  <c r="K75" i="29"/>
  <c r="C14" i="4" s="1"/>
  <c r="B2558" i="106" s="1"/>
  <c r="D2558" i="106" s="1"/>
  <c r="K130" i="29"/>
  <c r="K185" i="29"/>
  <c r="K122" i="29"/>
  <c r="F15" i="145" s="1"/>
  <c r="F19" i="145" s="1"/>
  <c r="K67" i="29"/>
  <c r="K64" i="29"/>
  <c r="F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G34" i="108" s="1"/>
  <c r="K69" i="29"/>
  <c r="K70" i="29"/>
  <c r="B1137" i="106" s="1"/>
  <c r="D1137" i="106" s="1"/>
  <c r="D1138" i="106"/>
  <c r="K71" i="29"/>
  <c r="B1139" i="106" s="1"/>
  <c r="D1139" i="106" s="1"/>
  <c r="D1140" i="106"/>
  <c r="K73" i="29"/>
  <c r="G38" i="108" s="1"/>
  <c r="K78" i="29"/>
  <c r="K79" i="29"/>
  <c r="K80" i="29"/>
  <c r="K81" i="29"/>
  <c r="B2976" i="106" s="1"/>
  <c r="D2976" i="106" s="1"/>
  <c r="K82" i="29"/>
  <c r="K83" i="29"/>
  <c r="K93" i="29"/>
  <c r="B6997" i="106" s="1"/>
  <c r="D6997" i="106" s="1"/>
  <c r="K94" i="29"/>
  <c r="B6999" i="106" s="1"/>
  <c r="D6999" i="106" s="1"/>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c r="B6307" i="106"/>
  <c r="D6307" i="106"/>
  <c r="B6308" i="106"/>
  <c r="D6308" i="106" s="1"/>
  <c r="B6309" i="106"/>
  <c r="D6309" i="106"/>
  <c r="B6310" i="106"/>
  <c r="D6310" i="106"/>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c r="B6324" i="106"/>
  <c r="D6324" i="106"/>
  <c r="B6325" i="106"/>
  <c r="D6325" i="106" s="1"/>
  <c r="B6326" i="106"/>
  <c r="D6326" i="106"/>
  <c r="B6327" i="106"/>
  <c r="D6327" i="106"/>
  <c r="B6328" i="106"/>
  <c r="D6328" i="106"/>
  <c r="B6329" i="106"/>
  <c r="D6329" i="106" s="1"/>
  <c r="B6330" i="106"/>
  <c r="D6330" i="106"/>
  <c r="B6331" i="106"/>
  <c r="D6331" i="106" s="1"/>
  <c r="B6332" i="106"/>
  <c r="D6332" i="106"/>
  <c r="B6333" i="106"/>
  <c r="D6333" i="106" s="1"/>
  <c r="B6334" i="106"/>
  <c r="D6334" i="106"/>
  <c r="B6335" i="106"/>
  <c r="D6335" i="106" s="1"/>
  <c r="B6336" i="106"/>
  <c r="D6336" i="106" s="1"/>
  <c r="B6337" i="106"/>
  <c r="D6337" i="106" s="1"/>
  <c r="B6338" i="106"/>
  <c r="D6338" i="106"/>
  <c r="B6339" i="106"/>
  <c r="D6339" i="106"/>
  <c r="B6340" i="106"/>
  <c r="D6340" i="106"/>
  <c r="B6341" i="106"/>
  <c r="D6341" i="106" s="1"/>
  <c r="B6342" i="106"/>
  <c r="D6342" i="106"/>
  <c r="B6343" i="106"/>
  <c r="D6343" i="106"/>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c r="B6359" i="106"/>
  <c r="D6359" i="106"/>
  <c r="B6360" i="106"/>
  <c r="D6360" i="106" s="1"/>
  <c r="B6361" i="106"/>
  <c r="D6361" i="106"/>
  <c r="B6362" i="106"/>
  <c r="D6362" i="106"/>
  <c r="B6363" i="106"/>
  <c r="D6363" i="106"/>
  <c r="B6364" i="106"/>
  <c r="D6364" i="106" s="1"/>
  <c r="B6365" i="106"/>
  <c r="D6365" i="106"/>
  <c r="B6366" i="106"/>
  <c r="D6366" i="106"/>
  <c r="B6367" i="106"/>
  <c r="D6367" i="106"/>
  <c r="B6368" i="106"/>
  <c r="D6368" i="106" s="1"/>
  <c r="B6369" i="106"/>
  <c r="D6369" i="106"/>
  <c r="B6370" i="106"/>
  <c r="D6370" i="106" s="1"/>
  <c r="B6371" i="106"/>
  <c r="D6371" i="106"/>
  <c r="B6372" i="106"/>
  <c r="D6372" i="106" s="1"/>
  <c r="B6373" i="106"/>
  <c r="D6373" i="106"/>
  <c r="B6374" i="106"/>
  <c r="D6374" i="106"/>
  <c r="B6375" i="106"/>
  <c r="D6375" i="106"/>
  <c r="B6376" i="106"/>
  <c r="D6376" i="106" s="1"/>
  <c r="B6377" i="106"/>
  <c r="D6377" i="106"/>
  <c r="B6378" i="106"/>
  <c r="D6378" i="106"/>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c r="B6391" i="106"/>
  <c r="D6391" i="106"/>
  <c r="B6392" i="106"/>
  <c r="D6392" i="106" s="1"/>
  <c r="B6393" i="106"/>
  <c r="D6393" i="106"/>
  <c r="B6394" i="106"/>
  <c r="D6394" i="106"/>
  <c r="B6395" i="106"/>
  <c r="D6395" i="106"/>
  <c r="B6398" i="106"/>
  <c r="D6398" i="106" s="1"/>
  <c r="B6399" i="106"/>
  <c r="D6399" i="106"/>
  <c r="B6401" i="106"/>
  <c r="D6401" i="106"/>
  <c r="B6402" i="106"/>
  <c r="D6402" i="106"/>
  <c r="B6403" i="106"/>
  <c r="D6403" i="106" s="1"/>
  <c r="B6404" i="106"/>
  <c r="D6404" i="106"/>
  <c r="B6405" i="106"/>
  <c r="D6405" i="106" s="1"/>
  <c r="B6406" i="106"/>
  <c r="D6406" i="106"/>
  <c r="B6407" i="106"/>
  <c r="D6407" i="106" s="1"/>
  <c r="B6408" i="106"/>
  <c r="D6408" i="106"/>
  <c r="B6410" i="106"/>
  <c r="D6410" i="106"/>
  <c r="B6411" i="106"/>
  <c r="D6411" i="106"/>
  <c r="B6412" i="106"/>
  <c r="D6412" i="106" s="1"/>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c r="B6626" i="106"/>
  <c r="D6626" i="106"/>
  <c r="B6627" i="106"/>
  <c r="D6627" i="106" s="1"/>
  <c r="B6628" i="106"/>
  <c r="D6628" i="106"/>
  <c r="B6629" i="106"/>
  <c r="D6629" i="106"/>
  <c r="B6630" i="106"/>
  <c r="D6630" i="106"/>
  <c r="B6631" i="106"/>
  <c r="D6631" i="106" s="1"/>
  <c r="B6632" i="106"/>
  <c r="D6632" i="106"/>
  <c r="B6633" i="106"/>
  <c r="D6633" i="106"/>
  <c r="B6634" i="106"/>
  <c r="D6634" i="106"/>
  <c r="B6635" i="106"/>
  <c r="D6635" i="106" s="1"/>
  <c r="B6636" i="106"/>
  <c r="D6636" i="106"/>
  <c r="B6637" i="106"/>
  <c r="D6637" i="106" s="1"/>
  <c r="B6638" i="106"/>
  <c r="D6638" i="106"/>
  <c r="B6639" i="106"/>
  <c r="D6639" i="106" s="1"/>
  <c r="B6640" i="106"/>
  <c r="D6640" i="106"/>
  <c r="B6641" i="106"/>
  <c r="D6641" i="106"/>
  <c r="B6642" i="106"/>
  <c r="D6642" i="106"/>
  <c r="B6643" i="106"/>
  <c r="D6643" i="106" s="1"/>
  <c r="B6644" i="106"/>
  <c r="D6644" i="106"/>
  <c r="B6645" i="106"/>
  <c r="D6645" i="106"/>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c r="B6658" i="106"/>
  <c r="D6658" i="106"/>
  <c r="B6659" i="106"/>
  <c r="D6659" i="106" s="1"/>
  <c r="B6660" i="106"/>
  <c r="D6660" i="106"/>
  <c r="B6661" i="106"/>
  <c r="D6661" i="106"/>
  <c r="B6662" i="106"/>
  <c r="D6662" i="106"/>
  <c r="B6663" i="106"/>
  <c r="D6663" i="106" s="1"/>
  <c r="B6664" i="106"/>
  <c r="D6664" i="106"/>
  <c r="B6665" i="106"/>
  <c r="D6665" i="106"/>
  <c r="B6666" i="106"/>
  <c r="D6666" i="106"/>
  <c r="B6667" i="106"/>
  <c r="D6667" i="106" s="1"/>
  <c r="B6668" i="106"/>
  <c r="D6668" i="106"/>
  <c r="B6669" i="106"/>
  <c r="D6669" i="106" s="1"/>
  <c r="B6670" i="106"/>
  <c r="D6670" i="106"/>
  <c r="B6671" i="106"/>
  <c r="D6671" i="106" s="1"/>
  <c r="B6672" i="106"/>
  <c r="D6672" i="106"/>
  <c r="B6673" i="106"/>
  <c r="D6673" i="106"/>
  <c r="B6674" i="106"/>
  <c r="D6674" i="106"/>
  <c r="B6675" i="106"/>
  <c r="D6675" i="106" s="1"/>
  <c r="B6676" i="106"/>
  <c r="D6676" i="106"/>
  <c r="B6677" i="106"/>
  <c r="D6677" i="106"/>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c r="B6690" i="106"/>
  <c r="D6690" i="106"/>
  <c r="B6691" i="106"/>
  <c r="D6691" i="106" s="1"/>
  <c r="B6692" i="106"/>
  <c r="D6692" i="106"/>
  <c r="B6693" i="106"/>
  <c r="D6693" i="106"/>
  <c r="B6694" i="106"/>
  <c r="D6694" i="106"/>
  <c r="B6695" i="106"/>
  <c r="D6695" i="106" s="1"/>
  <c r="B6696" i="106"/>
  <c r="D6696" i="106"/>
  <c r="B6697" i="106"/>
  <c r="D6697" i="106"/>
  <c r="B6698" i="106"/>
  <c r="D6698" i="106"/>
  <c r="B6699" i="106"/>
  <c r="D6699" i="106" s="1"/>
  <c r="B6700" i="106"/>
  <c r="D6700" i="106"/>
  <c r="B6701" i="106"/>
  <c r="D6701" i="106" s="1"/>
  <c r="B6702" i="106"/>
  <c r="D6702" i="106"/>
  <c r="B6703" i="106"/>
  <c r="D6703" i="106" s="1"/>
  <c r="B6704" i="106"/>
  <c r="D6704" i="106"/>
  <c r="B6705" i="106"/>
  <c r="D6705" i="106"/>
  <c r="B6706" i="106"/>
  <c r="D6706" i="106"/>
  <c r="B6707" i="106"/>
  <c r="D6707" i="106" s="1"/>
  <c r="B6708" i="106"/>
  <c r="D6708" i="106"/>
  <c r="B6709" i="106"/>
  <c r="D6709" i="106"/>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c r="B6722" i="106"/>
  <c r="D6722" i="106"/>
  <c r="B6723" i="106"/>
  <c r="D6723" i="106" s="1"/>
  <c r="B6724" i="106"/>
  <c r="D6724" i="106"/>
  <c r="B6725" i="106"/>
  <c r="D6725" i="106"/>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s="1"/>
  <c r="B6819" i="106"/>
  <c r="D6819" i="106" s="1"/>
  <c r="B6820" i="106"/>
  <c r="D6820" i="106"/>
  <c r="B6821" i="106"/>
  <c r="D6821" i="106" s="1"/>
  <c r="B6822" i="106"/>
  <c r="D6822" i="106"/>
  <c r="B6823" i="106"/>
  <c r="D6823" i="106" s="1"/>
  <c r="B6824" i="106"/>
  <c r="D6824" i="106" s="1"/>
  <c r="B6825" i="106"/>
  <c r="D6825" i="106" s="1"/>
  <c r="B6826" i="106"/>
  <c r="D6826" i="106"/>
  <c r="B6827" i="106"/>
  <c r="D6827" i="106" s="1"/>
  <c r="B6828" i="106"/>
  <c r="D6828" i="106"/>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J367" i="29" s="1"/>
  <c r="B7245" i="106" s="1"/>
  <c r="B7231" i="106"/>
  <c r="D7231" i="106" s="1"/>
  <c r="B7232" i="106"/>
  <c r="D7232" i="106" s="1"/>
  <c r="B7233" i="106"/>
  <c r="D7233"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28" i="108"/>
  <c r="F37" i="108"/>
  <c r="G28" i="108"/>
  <c r="E29" i="108"/>
  <c r="D37" i="108"/>
  <c r="E31" i="108"/>
  <c r="G31" i="108"/>
  <c r="E33" i="108"/>
  <c r="G33" i="108"/>
  <c r="E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C184" i="5"/>
  <c r="B5232" i="106"/>
  <c r="D5232" i="106" s="1"/>
  <c r="D184" i="5"/>
  <c r="F184" i="5"/>
  <c r="B5658" i="106"/>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F131" i="34" s="1"/>
  <c r="B4413" i="106"/>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33" i="118"/>
  <c r="D22" i="37"/>
  <c r="D4" i="7"/>
  <c r="B1760" i="106" s="1"/>
  <c r="D1760" i="106" s="1"/>
  <c r="D9" i="7"/>
  <c r="B1767" i="106" s="1"/>
  <c r="D1767" i="106" s="1"/>
  <c r="B5752" i="106"/>
  <c r="D5752" i="106" s="1"/>
  <c r="B1746" i="106"/>
  <c r="D1746" i="106" s="1"/>
  <c r="D17" i="7"/>
  <c r="B4104" i="106" s="1"/>
  <c r="D4104" i="106" s="1"/>
  <c r="D24" i="37" l="1"/>
  <c r="B4270" i="106" s="1"/>
  <c r="D4270" i="106" s="1"/>
  <c r="F52" i="34"/>
  <c r="F27" i="108"/>
  <c r="F34" i="34"/>
  <c r="F94" i="34"/>
  <c r="D13" i="7"/>
  <c r="B3726" i="106" s="1"/>
  <c r="D3726" i="106" s="1"/>
  <c r="I173" i="5"/>
  <c r="B4216" i="106" s="1"/>
  <c r="D4216" i="106" s="1"/>
  <c r="G109" i="5"/>
  <c r="B6024" i="106" s="1"/>
  <c r="D6024" i="106" s="1"/>
  <c r="D31" i="108"/>
  <c r="I210" i="29"/>
  <c r="B7071" i="106" s="1"/>
  <c r="D7071" i="106" s="1"/>
  <c r="L22" i="37"/>
  <c r="B2734" i="106"/>
  <c r="D2734" i="106" s="1"/>
  <c r="F106" i="34"/>
  <c r="L5" i="11"/>
  <c r="B2056" i="106" s="1"/>
  <c r="D2056" i="106" s="1"/>
  <c r="L367" i="29"/>
  <c r="F19" i="7"/>
  <c r="B1807" i="106" s="1"/>
  <c r="D1807" i="106" s="1"/>
  <c r="H109" i="5"/>
  <c r="F68" i="34"/>
  <c r="H173" i="5"/>
  <c r="J22" i="37"/>
  <c r="I129" i="29"/>
  <c r="B7037" i="106" s="1"/>
  <c r="D7037" i="106" s="1"/>
  <c r="F77" i="4"/>
  <c r="B3255" i="106" s="1"/>
  <c r="D3255" i="106" s="1"/>
  <c r="B1126" i="106"/>
  <c r="D1126" i="106" s="1"/>
  <c r="D12" i="7"/>
  <c r="B1769" i="106" s="1"/>
  <c r="D1769" i="106" s="1"/>
  <c r="G14" i="4"/>
  <c r="B2609" i="106" s="1"/>
  <c r="D2609" i="106" s="1"/>
  <c r="B7034" i="106"/>
  <c r="D7034" i="106" s="1"/>
  <c r="J129" i="29"/>
  <c r="B7038" i="106" s="1"/>
  <c r="D7038" i="106" s="1"/>
  <c r="B6191" i="106"/>
  <c r="D6191" i="106" s="1"/>
  <c r="J41" i="3"/>
  <c r="D51" i="36" s="1"/>
  <c r="B1136" i="106"/>
  <c r="D1136" i="106" s="1"/>
  <c r="G35" i="108"/>
  <c r="F26" i="108"/>
  <c r="D5" i="4"/>
  <c r="B3406" i="106" s="1"/>
  <c r="D3406" i="106" s="1"/>
  <c r="F72" i="34"/>
  <c r="L15" i="11"/>
  <c r="B3459" i="106" s="1"/>
  <c r="D3459" i="106" s="1"/>
  <c r="H28" i="118"/>
  <c r="E174" i="29"/>
  <c r="B1309" i="106" s="1"/>
  <c r="D1309" i="106" s="1"/>
  <c r="B6025" i="106"/>
  <c r="D6025" i="106" s="1"/>
  <c r="H4" i="4"/>
  <c r="B2655" i="106" s="1"/>
  <c r="D2655" i="106" s="1"/>
  <c r="B279" i="106"/>
  <c r="D279" i="106" s="1"/>
  <c r="D54" i="36"/>
  <c r="B1053" i="106"/>
  <c r="D1053" i="106" s="1"/>
  <c r="H112" i="29"/>
  <c r="B7018" i="106" s="1"/>
  <c r="D7018" i="106" s="1"/>
  <c r="F14" i="4"/>
  <c r="B2597" i="106" s="1"/>
  <c r="D2597" i="106" s="1"/>
  <c r="B2836" i="106"/>
  <c r="D2836" i="106" s="1"/>
  <c r="B5906" i="106"/>
  <c r="D5906" i="106" s="1"/>
  <c r="H6" i="4"/>
  <c r="B2656" i="106" s="1"/>
  <c r="D2656" i="106" s="1"/>
  <c r="F56" i="34"/>
  <c r="B2805" i="106"/>
  <c r="D2805" i="106" s="1"/>
  <c r="H29" i="118"/>
  <c r="K28" i="118" s="1"/>
  <c r="O27" i="118" s="1"/>
  <c r="O29" i="118" s="1"/>
  <c r="D11" i="37"/>
  <c r="D31" i="36"/>
  <c r="F49" i="34"/>
  <c r="F111" i="34"/>
  <c r="G172" i="5"/>
  <c r="B1756" i="106"/>
  <c r="D1756" i="106" s="1"/>
  <c r="D15" i="7"/>
  <c r="B1772" i="106" s="1"/>
  <c r="D1772" i="106" s="1"/>
  <c r="B1747" i="106"/>
  <c r="D1747" i="106" s="1"/>
  <c r="D7" i="7"/>
  <c r="B1763" i="106" s="1"/>
  <c r="D1763" i="106" s="1"/>
  <c r="F67" i="34"/>
  <c r="F62" i="34"/>
  <c r="J210" i="29"/>
  <c r="B7072" i="106" s="1"/>
  <c r="D7072" i="106" s="1"/>
  <c r="B3170" i="106"/>
  <c r="D3170" i="106" s="1"/>
  <c r="H76" i="4"/>
  <c r="B3298" i="106" s="1"/>
  <c r="D3298" i="106" s="1"/>
  <c r="F136" i="34"/>
  <c r="J274" i="5"/>
  <c r="B7054" i="106" s="1"/>
  <c r="D7054" i="106" s="1"/>
  <c r="B7041" i="106"/>
  <c r="D7041" i="106" s="1"/>
  <c r="B1130" i="106"/>
  <c r="D1130" i="106" s="1"/>
  <c r="G30" i="108"/>
  <c r="E30" i="108"/>
  <c r="B5518" i="106"/>
  <c r="D5518" i="106" s="1"/>
  <c r="E109" i="5"/>
  <c r="E4" i="4" s="1"/>
  <c r="B2630" i="106" s="1"/>
  <c r="D2630" i="106" s="1"/>
  <c r="B6858" i="106"/>
  <c r="D6858" i="106" s="1"/>
  <c r="F36" i="34"/>
  <c r="B6889" i="106"/>
  <c r="D6889" i="106" s="1"/>
  <c r="F45" i="34"/>
  <c r="G39" i="108"/>
  <c r="B5425" i="106"/>
  <c r="D5425" i="106" s="1"/>
  <c r="F127" i="34"/>
  <c r="B3621" i="106"/>
  <c r="D3621" i="106" s="1"/>
  <c r="C367" i="29"/>
  <c r="F128" i="34"/>
  <c r="D7245" i="106"/>
  <c r="K350" i="29"/>
  <c r="B1752" i="106"/>
  <c r="D1752" i="106" s="1"/>
  <c r="D11" i="7"/>
  <c r="B1768" i="106" s="1"/>
  <c r="D1768" i="106" s="1"/>
  <c r="B3565" i="106"/>
  <c r="D3565" i="106" s="1"/>
  <c r="K41" i="3"/>
  <c r="B1142" i="106"/>
  <c r="D1142" i="106" s="1"/>
  <c r="E38" i="108"/>
  <c r="B5147" i="106"/>
  <c r="D5147" i="106" s="1"/>
  <c r="C172" i="5"/>
  <c r="B1129" i="106"/>
  <c r="D1129" i="106" s="1"/>
  <c r="G29" i="108"/>
  <c r="B6881" i="106"/>
  <c r="D6881" i="106" s="1"/>
  <c r="F41" i="34"/>
  <c r="B4172" i="106"/>
  <c r="D4172" i="106" s="1"/>
  <c r="N22" i="3"/>
  <c r="B283" i="106" s="1"/>
  <c r="D283" i="106" s="1"/>
  <c r="B1377" i="106"/>
  <c r="D1377" i="106" s="1"/>
  <c r="K184" i="29"/>
  <c r="F13" i="4" s="1"/>
  <c r="B2596" i="106" s="1"/>
  <c r="D2596" i="106" s="1"/>
  <c r="E13" i="145"/>
  <c r="G13" i="145" s="1"/>
  <c r="B2724" i="106"/>
  <c r="D2724" i="106" s="1"/>
  <c r="I274" i="5"/>
  <c r="B4951" i="106"/>
  <c r="D4951" i="106" s="1"/>
  <c r="K274" i="5"/>
  <c r="K7" i="4" s="1"/>
  <c r="B3718" i="106" s="1"/>
  <c r="D3718" i="106" s="1"/>
  <c r="C109" i="5"/>
  <c r="B5121" i="106" s="1"/>
  <c r="D5121" i="106" s="1"/>
  <c r="F21" i="8"/>
  <c r="B3689" i="106"/>
  <c r="D3689" i="106" s="1"/>
  <c r="D109" i="5"/>
  <c r="D14" i="4"/>
  <c r="B2570" i="106" s="1"/>
  <c r="D2570" i="106" s="1"/>
  <c r="I342" i="29"/>
  <c r="B7222" i="106" s="1"/>
  <c r="D7222" i="106" s="1"/>
  <c r="H365" i="29"/>
  <c r="I24" i="12"/>
  <c r="D5" i="7"/>
  <c r="B1761" i="106" s="1"/>
  <c r="D1761" i="106" s="1"/>
  <c r="K173" i="5"/>
  <c r="K6" i="4" s="1"/>
  <c r="B3570" i="106" s="1"/>
  <c r="D3570" i="106" s="1"/>
  <c r="D36" i="108"/>
  <c r="F36" i="108"/>
  <c r="G352" i="29"/>
  <c r="K285" i="29"/>
  <c r="B3724" i="106" s="1"/>
  <c r="D3724" i="106" s="1"/>
  <c r="B1329" i="106"/>
  <c r="D1329" i="106" s="1"/>
  <c r="F61" i="34"/>
  <c r="E15" i="145"/>
  <c r="G15" i="145" s="1"/>
  <c r="G210" i="29"/>
  <c r="B1124" i="106"/>
  <c r="D1124" i="106" s="1"/>
  <c r="G5" i="4"/>
  <c r="B3409" i="106" s="1"/>
  <c r="D3409" i="106" s="1"/>
  <c r="F35" i="34"/>
  <c r="E28" i="108"/>
  <c r="H342" i="29"/>
  <c r="F130" i="34"/>
  <c r="B5304" i="106"/>
  <c r="D5304" i="106" s="1"/>
  <c r="K26" i="12"/>
  <c r="B7743" i="106" s="1"/>
  <c r="D7743" i="106" s="1"/>
  <c r="F172" i="5"/>
  <c r="B5644" i="106" s="1"/>
  <c r="D5644"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B3447" i="106"/>
  <c r="D3447" i="106" s="1"/>
  <c r="B7270" i="106"/>
  <c r="F41" i="108" l="1"/>
  <c r="G43" i="108" s="1"/>
  <c r="G4" i="4"/>
  <c r="B2603" i="106" s="1"/>
  <c r="D2603" i="106" s="1"/>
  <c r="K342" i="29"/>
  <c r="F13" i="34" s="1"/>
  <c r="L16" i="11"/>
  <c r="B2061" i="106" s="1"/>
  <c r="D2061" i="106" s="1"/>
  <c r="D274" i="5"/>
  <c r="B6216" i="106"/>
  <c r="D6216" i="106" s="1"/>
  <c r="F66" i="34"/>
  <c r="B1328" i="106"/>
  <c r="D1328" i="106" s="1"/>
  <c r="I151" i="29"/>
  <c r="F59" i="34" s="1"/>
  <c r="C4" i="4"/>
  <c r="B2551" i="106" s="1"/>
  <c r="D2551" i="106" s="1"/>
  <c r="B1317" i="106"/>
  <c r="D1317" i="106" s="1"/>
  <c r="B3628" i="106"/>
  <c r="D3628" i="106" s="1"/>
  <c r="D7250" i="106"/>
  <c r="B5527" i="106"/>
  <c r="D5527" i="106" s="1"/>
  <c r="D44" i="36"/>
  <c r="D7254" i="106"/>
  <c r="I26" i="12"/>
  <c r="B7741" i="106" s="1"/>
  <c r="D7741" i="106" s="1"/>
  <c r="B1996" i="106"/>
  <c r="D1996" i="106" s="1"/>
  <c r="K365" i="29"/>
  <c r="D7255" i="106"/>
  <c r="B7215" i="106"/>
  <c r="D7215" i="106" s="1"/>
  <c r="B6022" i="106"/>
  <c r="D6022" i="106" s="1"/>
  <c r="N23" i="3"/>
  <c r="B284" i="106" s="1"/>
  <c r="D284" i="106" s="1"/>
  <c r="F73" i="34"/>
  <c r="G15" i="4"/>
  <c r="B6032" i="106" s="1"/>
  <c r="D6032" i="106" s="1"/>
  <c r="H367" i="29"/>
  <c r="B3660" i="106" s="1"/>
  <c r="D3660" i="106" s="1"/>
  <c r="B7242" i="106"/>
  <c r="D7242" i="106" s="1"/>
  <c r="B3568" i="106"/>
  <c r="D3568" i="106" s="1"/>
  <c r="D52" i="36"/>
  <c r="B1879" i="106"/>
  <c r="D1879" i="106" s="1"/>
  <c r="H22" i="37"/>
  <c r="F173" i="5"/>
  <c r="D7256" i="106"/>
  <c r="D7251" i="106"/>
  <c r="C114" i="29"/>
  <c r="B757" i="106" s="1"/>
  <c r="D757" i="106" s="1"/>
  <c r="B3649" i="106"/>
  <c r="D3649" i="106" s="1"/>
  <c r="G367" i="29"/>
  <c r="B3650" i="106" s="1"/>
  <c r="D3650" i="106" s="1"/>
  <c r="F274" i="5"/>
  <c r="B5719" i="106" s="1"/>
  <c r="D5719" i="106" s="1"/>
  <c r="D19" i="7"/>
  <c r="B1775" i="106" s="1"/>
  <c r="D1775" i="106" s="1"/>
  <c r="J16" i="4"/>
  <c r="B6226" i="106" s="1"/>
  <c r="D6226" i="106" s="1"/>
  <c r="H8" i="4"/>
  <c r="B2658" i="106" s="1"/>
  <c r="D2658" i="106" s="1"/>
  <c r="D7253" i="106"/>
  <c r="B5356" i="106"/>
  <c r="D5356" i="106" s="1"/>
  <c r="D4" i="4"/>
  <c r="B2564" i="106" s="1"/>
  <c r="D2564" i="106" s="1"/>
  <c r="G173" i="5"/>
  <c r="B5770" i="106"/>
  <c r="D5770" i="106" s="1"/>
  <c r="D7252" i="106"/>
  <c r="L114" i="29"/>
  <c r="B6014" i="106"/>
  <c r="D6014" i="106" s="1"/>
  <c r="B1365" i="106"/>
  <c r="D1365" i="106" s="1"/>
  <c r="F65" i="34"/>
  <c r="B5214" i="106"/>
  <c r="D5214" i="106" s="1"/>
  <c r="C173" i="5"/>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1145" i="106" l="1"/>
  <c r="D1145" i="106" s="1"/>
  <c r="J17" i="4"/>
  <c r="H10" i="4"/>
  <c r="B4127" i="106" s="1"/>
  <c r="D4127" i="106" s="1"/>
  <c r="G41" i="108"/>
  <c r="G44" i="108" s="1"/>
  <c r="G45" i="108" s="1"/>
  <c r="B5778" i="106"/>
  <c r="D5778" i="106" s="1"/>
  <c r="G6" i="4"/>
  <c r="B2604" i="106" s="1"/>
  <c r="D2604" i="106" s="1"/>
  <c r="J8" i="4"/>
  <c r="B6223" i="106" s="1"/>
  <c r="D6223" i="106" s="1"/>
  <c r="E41" i="108"/>
  <c r="E44" i="108" s="1"/>
  <c r="E45" i="108" s="1"/>
  <c r="K367" i="29"/>
  <c r="B3678" i="106" s="1"/>
  <c r="D3678" i="106" s="1"/>
  <c r="K13" i="4"/>
  <c r="B3572" i="106" s="1"/>
  <c r="D3572" i="106" s="1"/>
  <c r="B3672" i="106"/>
  <c r="D3672" i="106" s="1"/>
  <c r="B5223" i="106"/>
  <c r="D5223" i="106" s="1"/>
  <c r="C6" i="4"/>
  <c r="B2553" i="106" s="1"/>
  <c r="D2553" i="106" s="1"/>
  <c r="F24" i="37"/>
  <c r="F275" i="5"/>
  <c r="B5720" i="106" s="1"/>
  <c r="D5720" i="106" s="1"/>
  <c r="B5653" i="106"/>
  <c r="D5653" i="106" s="1"/>
  <c r="F6"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J10" i="4" l="1"/>
  <c r="B6225" i="106" s="1"/>
  <c r="D6225" i="106" s="1"/>
  <c r="K368" i="29"/>
  <c r="B3681" i="106" s="1"/>
  <c r="D3681" i="106" s="1"/>
  <c r="F76" i="34"/>
  <c r="B2593" i="106"/>
  <c r="D2593" i="106" s="1"/>
  <c r="F8" i="4"/>
  <c r="D10" i="171"/>
  <c r="D19" i="171" s="1"/>
  <c r="D32" i="171" s="1"/>
  <c r="D49" i="171" s="1"/>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<sst xmlns="http://schemas.openxmlformats.org/spreadsheetml/2006/main" count="5437" uniqueCount="2237">
  <si>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</si>
  <si>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</si>
  <si>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</si>
  <si>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</si>
  <si>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</si>
  <si>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</si>
  <si>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</si>
  <si>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</si>
  <si>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</si>
  <si>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</si>
  <si>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</si>
  <si>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</si>
  <si>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</si>
  <si>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</si>
  <si>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</si>
  <si>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</si>
  <si>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</si>
  <si>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</si>
  <si>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</si>
  <si>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</si>
  <si>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</si>
  <si>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</si>
  <si>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</si>
  <si>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</si>
  <si>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</si>
  <si>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</si>
  <si>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</si>
  <si>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</si>
  <si>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</si>
  <si>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</si>
  <si>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</si>
  <si>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</si>
  <si>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</si>
  <si>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</si>
  <si>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</si>
  <si>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</si>
  <si>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</si>
  <si>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</si>
  <si>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</si>
  <si>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</si>
  <si>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</si>
  <si>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</si>
  <si>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</si>
  <si>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</si>
  <si>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</si>
  <si>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</si>
  <si>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</si>
  <si>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</si>
  <si>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</si>
  <si>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</si>
  <si>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</si>
  <si>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</si>
  <si>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</si>
  <si>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</si>
  <si>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</si>
  <si>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</si>
  <si>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</si>
  <si>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</si>
  <si>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</si>
  <si>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</si>
  <si>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</si>
  <si>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</si>
  <si>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</si>
  <si>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</si>
  <si>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</si>
  <si>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</si>
  <si>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</si>
  <si>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</si>
  <si>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</si>
  <si>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</si>
  <si>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</si>
  <si>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</si>
  <si>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</si>
  <si>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</si>
  <si>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</si>
  <si>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</si>
  <si>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</si>
  <si>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</si>
  <si>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</si>
  <si>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</si>
  <si>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</si>
  <si>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</si>
  <si>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</si>
  <si>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</si>
  <si>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</si>
  <si>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</si>
  <si>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</si>
  <si>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</si>
  <si>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</si>
  <si>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</si>
  <si>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</si>
  <si>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</si>
  <si>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</si>
  <si>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</si>
  <si>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</si>
  <si>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</si>
  <si>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</si>
  <si>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</si>
  <si>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</si>
  <si>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</si>
  <si>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</si>
  <si>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</si>
  <si>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</si>
  <si>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</si>
  <si>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</si>
  <si>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</si>
  <si>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</si>
  <si>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</si>
  <si>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</si>
  <si>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</si>
  <si>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</si>
  <si>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</si>
  <si>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</si>
  <si>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</si>
  <si>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</si>
  <si>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</si>
  <si>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</si>
  <si>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</si>
  <si>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</si>
  <si>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</si>
  <si>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</si>
  <si>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</si>
  <si>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</si>
  <si>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</si>
  <si>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</si>
  <si>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</si>
  <si>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</si>
  <si>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</si>
  <si>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</si>
  <si>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</si>
  <si>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</si>
  <si>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</si>
  <si>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</si>
  <si>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</si>
  <si>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</si>
  <si>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</si>
  <si>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</si>
  <si>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</si>
  <si>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</si>
  <si>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</si>
  <si>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</si>
  <si>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</si>
  <si>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</si>
  <si>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</si>
  <si>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</si>
  <si>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</si>
  <si>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</si>
  <si>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</si>
  <si>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</si>
  <si>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</si>
  <si>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</si>
  <si>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</si>
  <si>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</si>
  <si>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</si>
  <si>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</si>
  <si>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</si>
  <si>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</si>
  <si>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</si>
  <si>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</si>
  <si>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</si>
  <si>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</si>
  <si>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</si>
  <si>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</si>
  <si>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</si>
  <si>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</si>
  <si>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</si>
  <si>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</si>
  <si>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</si>
  <si>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</si>
  <si>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</si>
  <si>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</si>
  <si>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</si>
  <si>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</si>
  <si>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</si>
  <si>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</si>
  <si>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</si>
  <si>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</si>
  <si>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</si>
  <si>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</si>
  <si>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</si>
  <si>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</si>
  <si>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</si>
  <si>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</si>
  <si>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</si>
  <si>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</si>
  <si>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</si>
  <si>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</si>
  <si>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</si>
  <si>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</si>
  <si>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</si>
  <si>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</si>
  <si>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</si>
  <si>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</si>
  <si>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</si>
  <si>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</si>
  <si>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</si>
  <si>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</si>
  <si>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</si>
  <si>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</si>
  <si>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</si>
  <si>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</si>
  <si>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</si>
  <si>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</si>
  <si>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</si>
  <si>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</si>
  <si>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</si>
  <si>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</si>
  <si>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</si>
  <si>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</si>
  <si>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</si>
  <si>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</si>
  <si>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</si>
  <si>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</si>
  <si>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</si>
  <si>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</si>
  <si>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</si>
  <si>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</si>
  <si>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</si>
  <si>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</si>
  <si>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</si>
  <si>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</si>
  <si>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</si>
  <si>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</si>
  <si>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</si>
  <si>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</si>
  <si>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</si>
  <si>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</si>
  <si>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</si>
  <si>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</si>
  <si>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</si>
  <si>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</si>
  <si>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</si>
  <si>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</si>
  <si>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</si>
  <si>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</si>
  <si>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</si>
  <si>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</si>
  <si>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</si>
  <si>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</si>
  <si>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</si>
  <si>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</si>
  <si>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</si>
  <si>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</si>
  <si>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</si>
  <si>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</si>
  <si>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</si>
  <si>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</si>
  <si>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</si>
  <si>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</si>
  <si>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</si>
  <si>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</si>
  <si>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</si>
  <si>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</si>
  <si>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</si>
  <si>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</si>
  <si>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</si>
  <si>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</si>
  <si>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</si>
  <si>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</si>
  <si>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</si>
  <si>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</si>
  <si>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</si>
  <si>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</si>
  <si>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</si>
  <si>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</si>
  <si>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</si>
  <si>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</si>
  <si>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</si>
  <si>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</si>
  <si>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</si>
  <si>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</si>
  <si>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</si>
  <si>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</si>
  <si>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</si>
  <si>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</si>
  <si>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</si>
  <si>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</si>
  <si>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</si>
  <si>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</si>
  <si>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</si>
  <si>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</si>
  <si>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</si>
  <si>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</si>
  <si>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</si>
  <si>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</si>
  <si>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</si>
  <si>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</si>
  <si>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</si>
  <si>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</si>
  <si>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</si>
  <si>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</si>
  <si>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</si>
  <si>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</si>
  <si>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</si>
  <si>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</si>
  <si>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</si>
  <si>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</si>
  <si>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</si>
  <si>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</si>
  <si>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</si>
  <si>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</si>
  <si>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</si>
  <si>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</si>
  <si>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</si>
  <si>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</si>
  <si>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</si>
  <si>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</si>
  <si>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</si>
  <si>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</si>
  <si>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</si>
  <si>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</si>
  <si>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</si>
  <si>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</si>
  <si>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</si>
  <si>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</si>
  <si>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</si>
  <si>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</si>
  <si>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</si>
  <si>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</si>
  <si>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</si>
  <si>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</si>
  <si>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</si>
  <si>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</si>
  <si>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</si>
  <si>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</si>
  <si>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</si>
  <si>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</si>
  <si>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</si>
  <si>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</si>
  <si>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</si>
  <si>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</si>
  <si>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</si>
  <si>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</si>
  <si>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</si>
  <si>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</si>
  <si>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</si>
  <si>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</si>
  <si>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</si>
  <si>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</si>
  <si>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</si>
  <si>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</si>
  <si>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</si>
  <si>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</si>
  <si>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</si>
  <si>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</si>
  <si>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</si>
  <si>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</si>
  <si>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</si>
  <si>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</si>
  <si>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</si>
  <si>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</si>
  <si>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</si>
  <si>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</si>
  <si>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</si>
  <si>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</si>
  <si>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</si>
  <si>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</si>
  <si>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</si>
  <si>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</si>
  <si>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</si>
  <si>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</si>
  <si>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</si>
  <si>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</si>
  <si>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</si>
  <si>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</si>
  <si>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</si>
  <si>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</si>
  <si>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</si>
  <si>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</si>
  <si>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</si>
  <si>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</si>
  <si>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</si>
  <si>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</si>
  <si>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</si>
  <si>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</si>
  <si>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</si>
  <si>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</si>
  <si>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</si>
  <si>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</si>
  <si>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</si>
  <si>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</si>
  <si>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</si>
  <si>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</si>
  <si>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</si>
  <si>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</si>
  <si>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</si>
  <si>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</si>
  <si>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</si>
  <si>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</si>
  <si>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</si>
  <si>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</si>
  <si>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</si>
  <si>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</si>
  <si>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</si>
  <si>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</si>
  <si>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</si>
  <si>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</si>
  <si>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</si>
  <si>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</si>
  <si>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</si>
  <si>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</si>
  <si>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</si>
  <si>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</si>
  <si>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</si>
  <si>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</si>
  <si>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</si>
  <si>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</si>
  <si>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</si>
  <si>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</si>
  <si>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</si>
  <si>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</si>
  <si>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</si>
  <si>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</si>
  <si>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</si>
  <si>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</si>
  <si>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</si>
  <si>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</si>
  <si>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</si>
  <si>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</si>
  <si>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</si>
  <si>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</si>
  <si>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</si>
  <si>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</si>
  <si>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</si>
  <si>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</si>
  <si>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</si>
  <si>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</si>
  <si>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</si>
  <si>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</si>
  <si>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</si>
  <si>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</si>
  <si>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</si>
  <si>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</si>
  <si>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</si>
  <si>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</si>
  <si>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</si>
  <si>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</si>
  <si>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</si>
  <si>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</si>
  <si>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</si>
  <si>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</si>
  <si>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</si>
  <si>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</si>
  <si>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</si>
  <si>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</si>
  <si>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</si>
  <si>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</si>
  <si>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</si>
  <si>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</si>
  <si>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</si>
  <si>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</si>
  <si>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</si>
  <si>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</si>
  <si>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</si>
  <si>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</si>
  <si>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</si>
  <si>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</si>
  <si>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</si>
  <si>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</si>
  <si>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</si>
  <si>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</si>
  <si>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</si>
  <si>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</si>
  <si>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</si>
  <si>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</si>
  <si>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</si>
  <si>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</si>
  <si>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</si>
  <si>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</si>
  <si>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</si>
  <si>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</si>
  <si>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</si>
  <si>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</si>
  <si>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</si>
  <si>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</si>
  <si>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</si>
  <si>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</si>
  <si>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</si>
  <si>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</si>
  <si>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</si>
  <si>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</si>
  <si>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</si>
  <si>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</si>
  <si>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</si>
  <si>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</si>
  <si>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</si>
  <si>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</si>
  <si>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</si>
  <si>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</si>
  <si>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</si>
  <si>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</si>
  <si>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</si>
  <si>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</si>
  <si>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</si>
  <si>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</si>
  <si>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</si>
  <si>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</si>
  <si>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</si>
  <si>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</si>
  <si>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</si>
  <si>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</si>
  <si>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</si>
  <si>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</si>
  <si>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</si>
  <si>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</si>
  <si>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</si>
  <si>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</si>
  <si>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</si>
  <si>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</si>
  <si>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</si>
  <si>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</si>
  <si>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</si>
  <si>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</si>
  <si>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</si>
  <si>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</si>
  <si>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</si>
  <si>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</si>
  <si>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</si>
  <si>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</si>
  <si>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</si>
  <si>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</si>
  <si>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</si>
  <si>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</si>
  <si>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</si>
  <si>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</si>
  <si>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</si>
  <si>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</si>
  <si>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</si>
  <si>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</si>
  <si>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</si>
  <si>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</si>
  <si>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</si>
  <si>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</si>
  <si>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</si>
  <si>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</si>
  <si>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</si>
  <si>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</si>
  <si>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</si>
  <si>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</si>
  <si>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</si>
  <si>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</si>
  <si>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</si>
  <si>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</si>
  <si>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</si>
  <si>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</si>
  <si>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</si>
  <si>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</si>
  <si>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</si>
  <si>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</si>
  <si>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</si>
  <si>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</si>
  <si>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</si>
  <si>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</si>
  <si>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</si>
  <si>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</si>
  <si>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</si>
  <si>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</si>
  <si>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</si>
  <si>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</si>
  <si>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</si>
  <si>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</si>
  <si>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</si>
  <si>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</si>
  <si>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</si>
  <si>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</si>
  <si>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</si>
  <si>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</si>
  <si>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</si>
  <si>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</si>
  <si>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</si>
  <si>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</si>
  <si>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</si>
  <si>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</si>
  <si>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</si>
  <si>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</si>
  <si>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</si>
  <si>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</si>
  <si>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</si>
  <si>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</si>
  <si>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</si>
  <si>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</si>
  <si>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</si>
  <si>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</si>
  <si>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</si>
  <si>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</si>
  <si>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</si>
  <si>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</si>
  <si>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</si>
  <si>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</si>
  <si>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</si>
  <si>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</si>
  <si>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</si>
  <si>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</si>
  <si>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</si>
  <si>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</si>
  <si>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</si>
  <si>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</si>
  <si>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</si>
  <si>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</si>
  <si>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</si>
  <si>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</si>
  <si>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</si>
  <si>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</si>
  <si>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</si>
  <si>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</si>
  <si>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</si>
  <si>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</si>
  <si>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</si>
  <si>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</si>
  <si>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</si>
  <si>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</si>
  <si>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</si>
  <si>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</si>
  <si>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</si>
  <si>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</si>
  <si>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</si>
  <si>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</si>
  <si>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</si>
  <si>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</si>
  <si>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</si>
  <si>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</si>
  <si>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</si>
  <si>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</si>
  <si>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</si>
  <si>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</si>
  <si>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</si>
  <si>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</si>
  <si>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</si>
  <si>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</si>
  <si>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</si>
  <si>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</si>
  <si>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</si>
  <si>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</si>
  <si>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</si>
  <si>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</si>
  <si>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</si>
  <si>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</si>
  <si>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</si>
  <si>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</si>
  <si>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</si>
  <si>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</si>
  <si>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</si>
  <si>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</si>
  <si>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</si>
  <si>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</si>
  <si>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</si>
  <si>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</si>
  <si>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</si>
  <si>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</si>
  <si>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</si>
  <si>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</si>
  <si>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</si>
  <si>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</si>
  <si>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</si>
  <si>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</si>
  <si>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</si>
  <si>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</si>
  <si>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</si>
  <si>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</si>
  <si>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</si>
  <si>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</si>
  <si>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</si>
  <si>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</si>
  <si>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</si>
  <si>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</si>
  <si>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</si>
  <si>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</si>
  <si>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</si>
  <si>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</si>
  <si>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</si>
  <si>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</si>
  <si>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</si>
  <si>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</si>
  <si>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</si>
  <si>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</si>
  <si>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</si>
  <si>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</si>
  <si>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</si>
  <si>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</si>
  <si>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</si>
  <si>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</si>
  <si>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</si>
  <si>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</si>
  <si>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</si>
  <si>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</si>
  <si>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</si>
  <si>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</si>
  <si>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</si>
  <si>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</si>
  <si>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</si>
  <si>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</si>
  <si>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</si>
  <si>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</si>
  <si>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</si>
  <si>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</si>
  <si>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</si>
  <si>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</si>
  <si>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</si>
  <si>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</si>
  <si>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</si>
  <si>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</si>
  <si>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</si>
  <si>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</si>
  <si>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</si>
  <si>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</si>
  <si>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</si>
  <si>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</si>
  <si>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</si>
  <si>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</si>
  <si>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</si>
  <si>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</si>
  <si>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</si>
  <si>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</si>
  <si>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</si>
  <si>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</si>
  <si>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</si>
  <si>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</si>
  <si>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</si>
  <si>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</si>
  <si>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</si>
  <si>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</si>
  <si>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</si>
  <si>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</si>
  <si>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</si>
  <si>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</si>
  <si>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</si>
  <si>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</si>
  <si>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</si>
  <si>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</si>
  <si>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</si>
  <si>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</si>
  <si>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</si>
  <si>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</si>
  <si>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</si>
  <si>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</si>
  <si>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</si>
  <si>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</si>
  <si>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</si>
  <si>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</si>
  <si>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</si>
  <si>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</si>
  <si>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</si>
  <si>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</si>
  <si>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</si>
  <si>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</si>
  <si>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</si>
  <si>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</si>
  <si>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</si>
  <si>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</si>
  <si>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</si>
  <si>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</si>
  <si>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</si>
  <si>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</si>
  <si>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</si>
  <si>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</si>
  <si>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</si>
  <si>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</si>
  <si>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</si>
  <si>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</si>
  <si>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</si>
  <si>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</si>
  <si>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</si>
  <si>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</si>
  <si>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</si>
  <si>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</si>
  <si>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</si>
  <si>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</si>
  <si>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</si>
  <si>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</si>
  <si>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</si>
  <si>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</si>
  <si>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</si>
  <si>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</si>
  <si>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</si>
  <si>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</si>
  <si>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</si>
  <si>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</si>
  <si>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</si>
  <si>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</si>
  <si>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</si>
  <si>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</si>
  <si>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</si>
  <si>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</si>
  <si>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</si>
  <si>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</si>
  <si>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</si>
  <si>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</si>
  <si>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</si>
  <si>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</si>
  <si>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</si>
  <si>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</si>
  <si>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</si>
  <si>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</si>
  <si>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</si>
  <si>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</si>
  <si>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</si>
  <si>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</si>
  <si>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</si>
  <si>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</si>
  <si>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</si>
  <si>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</si>
  <si>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</si>
  <si>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</si>
  <si>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</si>
  <si>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</si>
  <si>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</si>
  <si>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</si>
  <si>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</si>
  <si>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</si>
  <si>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</si>
  <si>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</si>
  <si>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</si>
  <si>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</si>
  <si>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</si>
  <si>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</si>
  <si>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</si>
  <si>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</si>
  <si>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</si>
  <si>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</si>
  <si>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</si>
  <si>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</si>
  <si>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</si>
  <si>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</si>
  <si>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</si>
  <si>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</si>
  <si>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</si>
  <si>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</si>
  <si>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</si>
  <si>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</si>
  <si>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</si>
  <si>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</si>
  <si>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</si>
  <si>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</si>
  <si>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</si>
  <si>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</si>
  <si>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</si>
  <si>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</si>
  <si>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</si>
  <si>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</si>
  <si>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</si>
  <si>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</si>
  <si>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</si>
  <si>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</si>
  <si>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</si>
  <si>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</si>
  <si>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</si>
  <si>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</si>
  <si>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</si>
  <si>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</si>
  <si>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</si>
  <si>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</si>
  <si>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</si>
  <si>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</si>
  <si>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</si>
  <si>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</si>
  <si>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</si>
  <si>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</si>
  <si>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</si>
  <si>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</si>
  <si>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</si>
  <si>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</si>
  <si>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</si>
  <si>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</si>
  <si>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</si>
  <si>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</si>
  <si>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</si>
  <si>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</si>
  <si>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</si>
  <si>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</si>
  <si>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</si>
  <si>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</si>
  <si>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</si>
  <si>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</si>
  <si>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</si>
  <si>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</si>
  <si>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</si>
  <si>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</si>
  <si>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</si>
  <si>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</si>
  <si>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</si>
  <si>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</si>
  <si>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</si>
  <si>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</si>
  <si>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</si>
  <si>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</si>
  <si>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</si>
  <si>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</si>
  <si>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</si>
  <si>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</si>
  <si>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</si>
  <si>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</si>
  <si>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</si>
  <si>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</si>
  <si>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</si>
  <si>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</si>
  <si>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</si>
  <si>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</si>
  <si>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</si>
  <si>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</si>
  <si>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</si>
  <si>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</si>
  <si>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</si>
  <si>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</si>
  <si>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</si>
  <si>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</si>
  <si>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</si>
  <si>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</si>
  <si>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</si>
  <si>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</si>
  <si>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</si>
  <si>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</si>
  <si>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</si>
  <si>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</si>
  <si>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</si>
  <si>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</si>
  <si>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</si>
  <si>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</si>
  <si>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</si>
  <si>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</si>
  <si>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</si>
  <si>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</si>
  <si>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</si>
  <si>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</si>
  <si>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</si>
  <si>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</si>
  <si>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</si>
  <si>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</si>
  <si>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</si>
  <si>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</si>
  <si>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</si>
  <si>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</si>
  <si>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</si>
  <si>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</si>
  <si>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</si>
  <si>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</si>
  <si>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</si>
  <si>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</si>
  <si>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</si>
  <si>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</si>
  <si>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</si>
  <si>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</si>
  <si>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</si>
  <si>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</si>
  <si>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</si>
  <si>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</si>
  <si>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</si>
  <si>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</si>
  <si>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</si>
  <si>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</si>
  <si>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</si>
  <si>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</si>
  <si>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</si>
  <si>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</si>
  <si>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</si>
  <si>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</si>
  <si>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</si>
  <si>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</si>
  <si>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</si>
  <si>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</si>
  <si>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</si>
  <si>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</si>
  <si>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</si>
  <si>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</si>
  <si>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</si>
  <si>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</si>
  <si>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</si>
  <si>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</si>
  <si>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</si>
  <si>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</si>
  <si>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</si>
  <si>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</si>
  <si>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</si>
  <si>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</si>
  <si>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</si>
  <si>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</si>
  <si>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</si>
  <si>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</si>
  <si>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</si>
  <si>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</si>
  <si>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</si>
  <si>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</si>
  <si>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</si>
  <si>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</si>
  <si>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</si>
  <si>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</si>
  <si>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</si>
  <si>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</si>
  <si>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</si>
  <si>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</si>
  <si>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</si>
  <si>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</si>
  <si>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</si>
  <si>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</si>
  <si>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</si>
  <si>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</si>
  <si>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</si>
  <si>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</si>
  <si>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</si>
  <si>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</si>
  <si>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</si>
  <si>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</si>
  <si>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</si>
  <si>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</si>
  <si>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</si>
  <si>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</si>
  <si>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</si>
  <si>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</si>
  <si>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</si>
  <si>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</si>
  <si>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</si>
  <si>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</si>
  <si>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</si>
  <si>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</si>
  <si>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</si>
  <si>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</si>
  <si>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</si>
  <si>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</si>
  <si>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</si>
  <si>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</si>
  <si>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</si>
  <si>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</si>
  <si>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</si>
  <si>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</si>
  <si>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</si>
  <si>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</si>
  <si>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</si>
  <si>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</si>
  <si>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</si>
  <si>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</si>
  <si>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</si>
  <si>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</si>
  <si>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</si>
  <si>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</si>
  <si>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</si>
  <si>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</si>
  <si>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</si>
  <si>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</si>
  <si>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</si>
  <si>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</si>
  <si>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</si>
  <si>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</si>
  <si>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</si>
  <si>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</si>
  <si>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</si>
  <si>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</si>
  <si>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</si>
  <si>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</si>
  <si>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</si>
  <si>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</si>
  <si>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</si>
  <si>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</si>
  <si>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</si>
  <si>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</si>
  <si>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</si>
  <si>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</si>
  <si>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</si>
  <si>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</si>
  <si>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</si>
  <si>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</si>
  <si>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</si>
  <si>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</si>
  <si>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</si>
  <si>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</si>
  <si>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</si>
  <si>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</si>
  <si>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</si>
  <si>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</si>
  <si>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</si>
  <si>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</si>
  <si>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</si>
  <si>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</si>
  <si>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</si>
  <si>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</si>
  <si>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</si>
  <si>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</si>
  <si>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</si>
  <si>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</si>
  <si>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</si>
  <si>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</si>
  <si>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</si>
  <si>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</si>
  <si>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</si>
  <si>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</si>
  <si>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</si>
  <si>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</si>
  <si>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</si>
  <si>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</si>
  <si>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</si>
  <si>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</si>
  <si>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</si>
  <si>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</si>
  <si>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</si>
  <si>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</si>
  <si>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</si>
  <si>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</si>
  <si>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</si>
  <si>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</si>
  <si>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</si>
  <si>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</si>
  <si>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</si>
  <si>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</si>
  <si>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</si>
  <si>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</si>
  <si>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</si>
  <si>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</si>
  <si>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</si>
  <si>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</si>
  <si>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</si>
  <si>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</si>
  <si>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</si>
  <si>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</si>
  <si>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</si>
  <si>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</si>
  <si>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</si>
  <si>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</si>
  <si>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</si>
  <si>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</si>
  <si>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</si>
  <si>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</si>
  <si>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</si>
  <si>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</si>
  <si>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</si>
  <si>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</si>
  <si>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</si>
  <si>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</si>
  <si>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</si>
  <si>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</si>
  <si>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</si>
  <si>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</si>
  <si>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</si>
  <si>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</si>
  <si>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</si>
  <si>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</si>
  <si>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</si>
  <si>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</si>
  <si>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</si>
  <si>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</si>
  <si>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</si>
  <si>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</si>
  <si>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</si>
  <si>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</si>
  <si>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</si>
  <si>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</si>
  <si>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</si>
  <si>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</si>
  <si>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</si>
  <si>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</si>
  <si>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</si>
  <si>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</si>
  <si>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</si>
  <si>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</si>
  <si>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</si>
  <si>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</si>
  <si>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</si>
  <si>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</si>
  <si>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</si>
  <si>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</si>
  <si>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</si>
  <si>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</si>
  <si>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</si>
  <si>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</si>
  <si>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</si>
  <si>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</si>
  <si>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</si>
  <si>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</si>
  <si>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</si>
  <si>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</si>
  <si>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</si>
  <si>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</si>
  <si>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</si>
  <si>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</si>
  <si>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</si>
  <si>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</si>
  <si>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</si>
  <si>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</si>
  <si>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</si>
  <si>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</si>
  <si>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</si>
  <si>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</si>
  <si>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</si>
  <si>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</si>
  <si>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</si>
  <si>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</si>
  <si>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</si>
  <si>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</si>
  <si>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</si>
  <si>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</si>
  <si>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</si>
  <si>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</si>
  <si>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</si>
  <si>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</si>
  <si>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</si>
  <si>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</si>
  <si>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</si>
  <si>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</si>
  <si>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</si>
  <si>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</si>
  <si>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</si>
  <si>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</si>
  <si>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</si>
  <si>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</si>
  <si>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</si>
  <si>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</si>
  <si>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</si>
  <si>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</si>
  <si>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</si>
  <si>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</si>
  <si>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</si>
  <si>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</si>
  <si>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</si>
  <si>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</si>
  <si>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</si>
  <si>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</si>
  <si>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</si>
  <si>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</si>
  <si>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</si>
  <si>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</si>
  <si>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</si>
  <si>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</si>
  <si>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</si>
  <si>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</si>
  <si>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</si>
  <si>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</si>
  <si>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</si>
  <si>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</si>
  <si>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</si>
  <si>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</si>
  <si>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</si>
  <si>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</si>
  <si>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</si>
  <si>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</si>
  <si>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</si>
  <si>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</si>
  <si>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</si>
  <si>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</si>
  <si>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</si>
  <si>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</si>
  <si>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</si>
  <si>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</si>
  <si>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</si>
  <si>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</si>
  <si>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</si>
  <si>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</si>
  <si>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</si>
  <si>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</si>
  <si>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</si>
  <si>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</si>
  <si>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</si>
  <si>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</si>
  <si>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</si>
  <si>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</si>
  <si>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</si>
  <si>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</si>
  <si>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</si>
  <si>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</si>
  <si>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</si>
  <si>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</si>
  <si>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</si>
  <si>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</si>
  <si>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</si>
  <si>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</si>
  <si>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</si>
  <si>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</si>
  <si>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</si>
  <si>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</si>
  <si>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</si>
  <si>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</si>
  <si>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</si>
  <si>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</si>
  <si>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</si>
  <si>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</si>
  <si>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</si>
  <si>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</si>
  <si>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</si>
  <si>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</si>
  <si>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</si>
  <si>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</si>
  <si>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</si>
  <si>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</si>
  <si>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</si>
  <si>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</si>
  <si>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</si>
  <si>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</si>
  <si>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</si>
  <si>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</si>
  <si>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</si>
  <si>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</si>
  <si>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</si>
  <si>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</si>
  <si>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</si>
  <si>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</si>
  <si>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</si>
  <si>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</si>
  <si>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</si>
  <si>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</si>
  <si>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</si>
  <si>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</si>
  <si>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</si>
  <si>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</si>
  <si>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</si>
  <si>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</si>
  <si>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</si>
  <si>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</si>
  <si>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</si>
  <si>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</si>
  <si>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</si>
  <si>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</si>
  <si>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</si>
  <si>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</si>
  <si>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</si>
  <si>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</si>
  <si>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</si>
  <si>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</si>
  <si>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</si>
  <si>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</si>
  <si>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</si>
  <si>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</si>
  <si>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</si>
  <si>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</si>
  <si>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</si>
  <si>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</si>
  <si>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</si>
  <si>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</si>
  <si>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</si>
  <si>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</si>
  <si>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</si>
  <si>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</si>
  <si>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</si>
  <si>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</si>
  <si>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</si>
  <si>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</si>
  <si>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</si>
  <si>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</si>
  <si>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</si>
  <si>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</si>
  <si>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</si>
  <si>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</si>
  <si>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</si>
  <si>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</si>
  <si>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</si>
  <si>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</si>
  <si>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</si>
  <si>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</si>
  <si>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</si>
  <si>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</si>
  <si>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</si>
  <si>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</si>
  <si>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</si>
  <si>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</si>
  <si>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</si>
  <si>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</si>
  <si>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</si>
  <si>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</si>
  <si>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</si>
  <si>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</si>
  <si>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</si>
  <si>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</si>
  <si>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</si>
  <si>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</si>
  <si>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</si>
  <si>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</si>
  <si>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</si>
  <si>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</si>
  <si>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</si>
  <si>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</si>
  <si>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</si>
  <si>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</si>
  <si>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</si>
  <si>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</si>
  <si>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</si>
  <si>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</si>
  <si>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</si>
  <si>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</si>
  <si>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</si>
  <si>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</si>
  <si>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</si>
  <si>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</si>
  <si>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</si>
  <si>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</si>
  <si>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</si>
  <si>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</si>
  <si>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</si>
  <si>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</si>
  <si>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</si>
  <si>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</si>
  <si>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</si>
  <si>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</si>
  <si>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</si>
  <si>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</si>
  <si>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</si>
  <si>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</si>
  <si>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</si>
  <si>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</si>
  <si>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</si>
  <si>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</si>
  <si>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</si>
  <si>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</si>
  <si>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</si>
  <si>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</si>
  <si>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</si>
  <si>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</si>
  <si>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</si>
  <si>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</si>
  <si>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</si>
  <si>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</si>
  <si>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</si>
  <si>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</si>
  <si>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</si>
  <si>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</si>
  <si>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</si>
  <si>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</si>
  <si>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</si>
  <si>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</si>
  <si>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</si>
  <si>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</si>
  <si>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</si>
  <si>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</si>
  <si>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</si>
  <si>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</si>
  <si>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</si>
  <si>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</si>
  <si>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</si>
  <si>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</si>
  <si>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</si>
  <si>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</si>
  <si>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</si>
  <si>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</si>
  <si>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</si>
  <si>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</si>
  <si>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</si>
  <si>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</si>
  <si>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</si>
  <si>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</si>
  <si>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</si>
  <si>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</si>
  <si>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</si>
  <si>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</si>
  <si>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</si>
  <si>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</si>
  <si>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</si>
  <si>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</si>
  <si>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</si>
  <si>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</si>
  <si>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</si>
  <si>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</si>
  <si>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</si>
  <si>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</si>
  <si>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</si>
  <si>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</si>
  <si>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</si>
  <si>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</si>
  <si>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</si>
  <si>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</si>
  <si>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</si>
  <si>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</si>
  <si>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</si>
  <si>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</si>
  <si>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</si>
  <si>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</si>
  <si>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</si>
  <si>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</si>
  <si>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</si>
  <si>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</si>
  <si>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</si>
  <si>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</si>
  <si>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</si>
  <si>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</si>
  <si>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</si>
  <si>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</si>
  <si>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</si>
  <si>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</si>
  <si>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</si>
  <si>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</si>
  <si>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</si>
  <si>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</si>
  <si>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</si>
  <si>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</si>
  <si>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</si>
  <si>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</si>
  <si>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</si>
  <si>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</si>
  <si>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</si>
  <si>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</si>
  <si>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</si>
  <si>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</si>
  <si>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</si>
  <si>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</si>
  <si>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</si>
  <si>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</si>
  <si>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</si>
  <si>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</si>
  <si>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</si>
  <si>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</si>
  <si>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</si>
  <si>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</si>
  <si>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</si>
  <si>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</si>
  <si>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</si>
  <si>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</si>
  <si>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</si>
  <si>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</si>
  <si>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</si>
  <si>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</si>
  <si>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</si>
  <si>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</si>
  <si>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</si>
  <si>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</si>
  <si>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</si>
  <si>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</si>
  <si>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</si>
  <si>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</si>
  <si>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</si>
  <si>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</si>
  <si>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</si>
  <si>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</si>
  <si>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</si>
  <si>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</si>
  <si>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</si>
  <si>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</si>
  <si>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</si>
  <si>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</si>
  <si>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</si>
  <si>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</si>
  <si>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</si>
  <si>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</si>
  <si>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</si>
  <si>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</si>
  <si>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</si>
  <si>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</si>
  <si>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</si>
  <si>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</si>
  <si>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</si>
  <si>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</si>
  <si>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</si>
  <si>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</si>
  <si>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</si>
  <si>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</si>
  <si>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</si>
  <si>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</si>
  <si>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</si>
  <si>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</si>
  <si>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</si>
  <si>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</si>
  <si>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</si>
  <si>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</si>
  <si>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</si>
  <si>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</si>
  <si>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</si>
  <si>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</si>
  <si>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</si>
  <si>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</si>
  <si>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</si>
  <si>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</si>
  <si>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</si>
  <si>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</si>
  <si>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</si>
  <si>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</si>
  <si>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</si>
  <si>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</si>
  <si>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</si>
  <si>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</si>
  <si>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</si>
  <si>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</si>
  <si>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</si>
  <si>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</si>
  <si>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</si>
  <si>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</si>
  <si>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</si>
  <si>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</si>
  <si>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</si>
  <si>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</si>
  <si>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</si>
  <si>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</si>
  <si>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</si>
  <si>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</si>
  <si>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</si>
  <si>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</si>
  <si>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</si>
  <si>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</si>
  <si>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</si>
  <si>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</si>
  <si>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</si>
  <si>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</si>
  <si>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</si>
  <si>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</si>
  <si>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</si>
  <si>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</si>
  <si>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</si>
  <si>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</si>
  <si>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</si>
  <si>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</si>
  <si>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</si>
  <si>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</si>
  <si>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</si>
  <si>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</si>
  <si>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</si>
  <si>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</si>
  <si>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</si>
  <si>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</si>
  <si>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</si>
  <si>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</si>
  <si>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</si>
  <si>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</si>
  <si>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</si>
  <si>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</si>
  <si>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</si>
  <si>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</si>
  <si>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</si>
  <si>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</si>
  <si>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</si>
  <si>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</si>
  <si>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</si>
  <si>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</si>
  <si>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</si>
  <si>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</si>
  <si>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</si>
  <si>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</si>
  <si>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</si>
  <si>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</si>
  <si>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</si>
  <si>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</si>
  <si>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</si>
  <si>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</si>
  <si>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</si>
  <si>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</si>
  <si>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</si>
  <si>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</si>
  <si>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</si>
  <si>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</si>
  <si>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</si>
  <si>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</si>
  <si>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</si>
  <si>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</si>
  <si>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</si>
  <si>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</si>
  <si>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</si>
  <si>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</si>
  <si>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</si>
  <si>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</si>
  <si>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</si>
  <si>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</si>
  <si>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</si>
  <si>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</si>
  <si>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</si>
  <si>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</si>
  <si>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</si>
  <si>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</si>
  <si>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</si>
  <si>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</si>
  <si>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</si>
  <si>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</si>
  <si>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</si>
  <si>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</si>
  <si>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</si>
  <si>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</si>
  <si>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</si>
  <si>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</si>
  <si>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</si>
  <si>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</si>
  <si>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</si>
  <si>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</si>
  <si>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</si>
  <si>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</si>
  <si>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</si>
  <si>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</si>
  <si>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</si>
  <si>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</si>
  <si>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</si>
  <si>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</si>
  <si>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</si>
  <si>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</si>
  <si>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</si>
  <si>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</si>
  <si>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</si>
  <si>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</si>
  <si>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</si>
  <si>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</si>
  <si>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</si>
  <si>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</si>
  <si>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</si>
  <si>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</si>
  <si>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</si>
  <si>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</si>
  <si>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</si>
  <si>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</si>
  <si>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</si>
  <si>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</si>
  <si>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</si>
  <si>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</si>
  <si>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</si>
  <si>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</si>
  <si>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</si>
  <si>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</si>
  <si>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</si>
  <si>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</si>
  <si>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</si>
  <si>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</si>
  <si>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</si>
  <si>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</si>
  <si>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</si>
  <si>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</si>
  <si>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</si>
  <si>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</si>
  <si>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</si>
  <si>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</si>
  <si>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</si>
  <si>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</si>
  <si>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</si>
  <si>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</si>
  <si>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</si>
  <si>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</si>
  <si>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</si>
  <si>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</si>
  <si>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</si>
  <si>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</si>
  <si>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</si>
  <si>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</si>
  <si>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</si>
  <si>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</si>
  <si>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</si>
  <si>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</si>
  <si>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</si>
  <si>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</si>
  <si>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</si>
  <si>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</si>
  <si>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</si>
  <si>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</si>
  <si>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</si>
  <si>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</si>
  <si>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</si>
  <si>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</si>
  <si>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</si>
  <si>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</si>
  <si>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</si>
  <si>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</si>
  <si>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</si>
  <si>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</si>
  <si>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</si>
  <si>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</si>
  <si>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</si>
  <si>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</si>
  <si>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</si>
  <si>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</si>
  <si>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</si>
  <si>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</si>
  <si>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</si>
  <si>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</si>
  <si>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</si>
  <si>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</si>
  <si>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</si>
  <si>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</si>
  <si>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</si>
  <si>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</si>
  <si>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</si>
  <si>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</si>
  <si>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</si>
  <si>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</si>
  <si>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</si>
  <si>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</si>
  <si>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</si>
  <si>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</si>
  <si>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</si>
  <si>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</si>
  <si>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</si>
  <si>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</si>
  <si>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</si>
  <si>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</si>
  <si>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</si>
  <si>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</si>
  <si>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</si>
  <si>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</si>
  <si>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</si>
  <si>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</si>
  <si>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</si>
  <si>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</si>
  <si>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</si>
  <si>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</si>
  <si>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</si>
  <si>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</si>
  <si>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</si>
  <si>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</si>
  <si>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</si>
  <si>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</si>
  <si>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</si>
  <si>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</si>
  <si>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</si>
  <si>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</si>
  <si>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</si>
  <si>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</si>
  <si>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</si>
  <si>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</si>
  <si>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</si>
  <si>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</si>
  <si>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</si>
  <si>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</si>
  <si>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</si>
  <si>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</si>
  <si>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</si>
  <si>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</si>
  <si>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</si>
  <si>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</si>
  <si>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</si>
  <si>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</si>
  <si>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</si>
  <si>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</si>
  <si>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</si>
  <si>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</si>
  <si>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</si>
  <si>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</si>
  <si>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</si>
  <si>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</si>
  <si>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</si>
  <si>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</si>
  <si>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</si>
  <si>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</si>
  <si>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</si>
  <si>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</si>
  <si>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</si>
  <si>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</si>
  <si>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</si>
  <si>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</si>
  <si>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</si>
  <si>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</si>
  <si>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</si>
  <si>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</si>
  <si>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</si>
  <si>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</si>
  <si>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</si>
  <si>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</si>
  <si>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</si>
  <si>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</si>
  <si>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</si>
  <si>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</si>
  <si>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</si>
  <si>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</si>
  <si>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</si>
  <si>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</si>
  <si>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</si>
  <si>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</si>
  <si>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</si>
  <si>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</si>
  <si>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</si>
  <si>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</si>
  <si>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</si>
  <si>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</si>
  <si>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</si>
  <si>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</si>
  <si>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</si>
  <si>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</si>
  <si>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</si>
  <si>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</si>
  <si>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</si>
  <si>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</si>
  <si>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</si>
  <si>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</si>
  <si>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</si>
  <si>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</si>
  <si>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</si>
  <si>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</si>
  <si>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</si>
  <si>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</si>
  <si>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</si>
  <si>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</si>
  <si>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</si>
  <si>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</si>
  <si>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</si>
  <si>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</si>
  <si>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</si>
  <si>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</si>
  <si>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</si>
  <si>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</si>
  <si>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</si>
  <si>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</si>
  <si>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</si>
  <si>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</si>
  <si>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</si>
  <si>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</si>
  <si>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</si>
  <si>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</si>
  <si>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</si>
  <si>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</si>
  <si>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</si>
  <si>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</si>
  <si>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</si>
  <si>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</si>
  <si>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</si>
  <si>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</si>
  <si>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</si>
  <si>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</si>
  <si>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</si>
  <si>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</si>
  <si>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</si>
  <si>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</si>
  <si>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</si>
  <si>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</si>
  <si>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</si>
  <si>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</si>
  <si>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</si>
  <si>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</si>
  <si>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</si>
  <si>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</si>
  <si>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</si>
  <si>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</si>
  <si>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</si>
  <si>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</si>
  <si>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</si>
  <si>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</si>
  <si>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</si>
  <si>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</si>
  <si>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</si>
  <si>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</si>
  <si>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</si>
  <si>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</si>
  <si>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</si>
  <si>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</si>
  <si>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</si>
  <si>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</si>
  <si>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</si>
  <si>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</si>
  <si>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</si>
  <si>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</si>
  <si>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</si>
  <si>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</si>
  <si>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</si>
  <si>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</si>
  <si>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</si>
  <si>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</si>
  <si>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</si>
  <si>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</si>
  <si>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</si>
  <si>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</si>
  <si>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</si>
  <si>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</si>
  <si>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</si>
  <si>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</si>
  <si>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</si>
  <si>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</si>
  <si>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</si>
  <si>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</si>
  <si>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</si>
  <si>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</si>
  <si>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</si>
  <si>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</si>
  <si>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</si>
  <si>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</si>
  <si>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</si>
  <si>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</si>
  <si>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</si>
  <si>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</si>
  <si>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</si>
  <si>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</si>
  <si>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</si>
  <si>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</si>
  <si>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</si>
  <si>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</si>
  <si>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</si>
  <si>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</si>
  <si>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</si>
  <si>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</si>
  <si>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</si>
  <si>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</si>
  <si>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</si>
  <si>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</si>
  <si>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</si>
  <si>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</si>
  <si>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</si>
  <si>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</si>
  <si>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</si>
  <si>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</si>
  <si>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</si>
  <si>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</si>
  <si>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</si>
  <si>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</si>
  <si>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</si>
  <si>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</si>
  <si>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</si>
  <si>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</si>
  <si>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</si>
  <si>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</si>
  <si>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</si>
  <si>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</si>
  <si>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</si>
  <si>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</si>
  <si>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</si>
  <si>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</si>
  <si>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</si>
  <si>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</si>
  <si>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</si>
  <si>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</si>
  <si>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</si>
  <si>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</si>
  <si>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</si>
  <si>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</si>
  <si>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</si>
  <si>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</si>
  <si>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</si>
  <si>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</si>
  <si>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</si>
  <si>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</si>
  <si>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</si>
  <si>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</si>
  <si>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</si>
  <si>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</si>
  <si>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</si>
  <si>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</si>
  <si>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</si>
  <si>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</si>
  <si>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</si>
  <si>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</si>
  <si>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</si>
  <si>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</si>
  <si>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</si>
  <si>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</si>
  <si>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</si>
  <si>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</si>
  <si>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</si>
  <si>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</si>
  <si>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</si>
  <si>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</si>
  <si>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</si>
  <si>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</si>
  <si>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</si>
  <si>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</si>
  <si>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</si>
  <si>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</si>
  <si>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</si>
  <si>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</si>
  <si>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</si>
  <si>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</si>
  <si>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</si>
  <si>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</si>
  <si>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</si>
  <si>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</si>
  <si>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</si>
  <si>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</si>
  <si>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</si>
  <si>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</si>
  <si>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</si>
  <si>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</si>
  <si>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</si>
  <si>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</si>
  <si>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</si>
  <si>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</si>
  <si>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</si>
  <si>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</si>
  <si>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</si>
  <si>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</si>
  <si>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</si>
  <si>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</si>
  <si>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</si>
  <si>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</si>
  <si>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</si>
  <si>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</si>
  <si>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</si>
  <si>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</si>
  <si>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</si>
  <si>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</si>
  <si>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</si>
  <si>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</si>
  <si>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</si>
  <si>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</si>
  <si>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</si>
  <si>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</si>
  <si>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</si>
  <si>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</si>
  <si>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</si>
  <si>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</si>
  <si>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</si>
  <si>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</si>
  <si>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</si>
  <si>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</si>
  <si>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</si>
  <si>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</si>
  <si>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</si>
  <si>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</si>
  <si>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</si>
  <si>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50-082-1960-26</t>
  </si>
  <si>
    <t>St. Clair</t>
  </si>
  <si>
    <t>Dupo Community Unit School District No. 196</t>
  </si>
  <si>
    <t>600 Louisa</t>
  </si>
  <si>
    <t xml:space="preserve">Dupo  </t>
  </si>
  <si>
    <t>kcarpenter@dupo196.org</t>
  </si>
  <si>
    <t>Dr. Kelly Carpenter</t>
  </si>
  <si>
    <t>618-286-3812</t>
  </si>
  <si>
    <t>X</t>
  </si>
  <si>
    <t>Scheffel Boyle</t>
  </si>
  <si>
    <t>Henry Siekmann</t>
  </si>
  <si>
    <t>222 East Main St</t>
  </si>
  <si>
    <t>Belleville</t>
  </si>
  <si>
    <t>IL</t>
  </si>
  <si>
    <t>618-233-2641</t>
  </si>
  <si>
    <t>618-233-6334</t>
  </si>
  <si>
    <t>065-009532</t>
  </si>
  <si>
    <t>henry.siekmann@scheffelboyle.com</t>
  </si>
  <si>
    <t>(M) Federal Lunch Program FY 18</t>
  </si>
  <si>
    <t>(M) Federal Lunch Program FY 17</t>
  </si>
  <si>
    <t>(M) Federal Breakfast Program FY 18</t>
  </si>
  <si>
    <t>(M) Federal Breakfast Program FY 17</t>
  </si>
  <si>
    <t>18-4210-00</t>
  </si>
  <si>
    <t>17-4210-00</t>
  </si>
  <si>
    <t>18-4220-00</t>
  </si>
  <si>
    <t>17-4220-00</t>
  </si>
  <si>
    <t>Medicaid FY 18</t>
  </si>
  <si>
    <t>Medicaid FY 17</t>
  </si>
  <si>
    <t>18-4991-00</t>
  </si>
  <si>
    <t>17-4991-00</t>
  </si>
  <si>
    <t>18-4300-00</t>
  </si>
  <si>
    <t>17-4300-00</t>
  </si>
  <si>
    <t xml:space="preserve">                 Total Title I</t>
  </si>
  <si>
    <t>IDEA Preschool FY 18</t>
  </si>
  <si>
    <t>IDEA Preschool FY 17</t>
  </si>
  <si>
    <t>18-4600-00</t>
  </si>
  <si>
    <t>17-4600-00</t>
  </si>
  <si>
    <t>18-4620-00</t>
  </si>
  <si>
    <t>17-4620-00</t>
  </si>
  <si>
    <t>IDEA Room and Board FY 17</t>
  </si>
  <si>
    <t>17-4625-00</t>
  </si>
  <si>
    <t>Title II - Teacher Quality FY 18</t>
  </si>
  <si>
    <t>Title II - Teacher Quality FY 17</t>
  </si>
  <si>
    <t>18-4932-00</t>
  </si>
  <si>
    <t>17-4932-00</t>
  </si>
  <si>
    <t>N/A</t>
  </si>
  <si>
    <t>Refunding Bonds - Series 2008</t>
  </si>
  <si>
    <t>Fire Prevention and Life Safety and Refunding Bonds</t>
  </si>
  <si>
    <t>General Obligation Refunding School Bonds - 2013B</t>
  </si>
  <si>
    <t>General Obligation School Bonds - 2017A</t>
  </si>
  <si>
    <t>General Obligation Refunding School Bonds - 2017B</t>
  </si>
  <si>
    <t>4 , 3</t>
  </si>
  <si>
    <t xml:space="preserve">                    Total IDEA Cluster</t>
  </si>
  <si>
    <t xml:space="preserve">                   Total Title II - Teacher Quality</t>
  </si>
  <si>
    <t>Area V Science Connections</t>
  </si>
  <si>
    <t>18-4936-00</t>
  </si>
  <si>
    <t>TOTAL FEDERAL FINANCIAL ASSISTANCE - CASH</t>
  </si>
  <si>
    <t>NONCASH FEDERAL ASSISTANCE</t>
  </si>
  <si>
    <t>(M) Commodities at Market Value</t>
  </si>
  <si>
    <t>TOTAL FEDERAL FINANCIAL ASSISTANCE  - CASH AND NONCASH</t>
  </si>
  <si>
    <t>TOTAL CHILD NUTRITION CLUSTER</t>
  </si>
  <si>
    <t>(M) Title I - Low Income FY 18</t>
  </si>
  <si>
    <t>(M) Title I - Low Income FY 17</t>
  </si>
  <si>
    <t>Unmodified</t>
  </si>
  <si>
    <t>10.555/10.553</t>
  </si>
  <si>
    <t>Child Nutrition Cluster</t>
  </si>
  <si>
    <r>
      <t xml:space="preserve">The accompanying Schedule of Expenditures of Federal Awards includes the federal grant activity of </t>
    </r>
    <r>
      <rPr>
        <b/>
        <sz val="9"/>
        <rFont val="Calibri"/>
        <family val="2"/>
        <scheme val="minor"/>
      </rPr>
      <t>Dupo Community Unit School District No 196</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</si>
  <si>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Dupo CUSD 196 provided federal awards to subrecipients as follows:</t>
  </si>
  <si>
    <t>None</t>
  </si>
  <si>
    <t>Whether the School District had the resources to prepare their financial statements and disclosures in accordance with accounting principles generally accepted in the United States of America or an other comprehensive basis of accounting for the year ended June 30, 2018.</t>
  </si>
  <si>
    <t>We noted that the School District was unable to prepare their financial statements and disclosures in accordance with accounting principles generally accepted in the United States of America or an other comprehensive basis of accounting for the year ended June 30, 2018.</t>
  </si>
  <si>
    <t>The School District does not have sufficient internal controls over their financial reporting.</t>
  </si>
  <si>
    <t>The School District lacks the resources to research, study and apply all the new accounting statements, standards, revisions, and regulations needed to prepare their financial statements and disclosures including formatting notes and exhibits in accordance with accounting principles generally accepted in the United States of America or an other comprehensive basis of accounting.</t>
  </si>
  <si>
    <t>The School District is unable to prepare their financial statements and disclosures in accordance with accounting principles generally accepted in the United States of America or an other comprehensive basis of accounting for the year ended June 30, 2018.</t>
  </si>
  <si>
    <t>To study the cost versus benefit of providing the necessary education and training to staff or hiring a qualified vendor to prepare or review the School District's year end financial statements and disclosures in accordance with accounting principles generally accepted in the United States of America or an other comprehensive basis of accounting.</t>
  </si>
  <si>
    <t>Management plans to study the cost versus benefit of providing the necessary education and training to staff or hiring a qualified vendor to prepare or review the School District's year end financial statements and disclosures in accordance with accounting principles generally accepted in the United States of America or an other comprehensive basis of accounting.</t>
  </si>
  <si>
    <t>The School District personnel do not have the necessary training or resources available to ensure that all transactions recorded are in accordance with accounting principles generally accepted in the United States of America or an other comprehensive basis of accounting.</t>
  </si>
  <si>
    <t>To provide the necessary training and resources for accounting personnel to properly record all transactions in accordance with accounting principles generally accepted in the United States of America or an other comprehensive basis of accounting.</t>
  </si>
  <si>
    <t>Management plans to study the cost versus benefit of providing the necessary education, training and resources to staff or hiring a qualified vendor to ensure that the School District's transactions are properly recorded in accordance with accounting principles generally accepted in the United States of America or an other comprehensive basis of accounting.</t>
  </si>
  <si>
    <t>Examined whether the School District's procedures ensured that transactions are properly recorded in accordance with accounting principles generally accepted in the United States of America or an other comprehensive basis of accounting for the year ended June 30, 2018.</t>
  </si>
  <si>
    <t>We noted that the School District did not properly record all transactions for the year ended June 30, 2018 in accordance with accounting principles generally accepted in the United States of America or an other comprehensive basis of accounting.</t>
  </si>
  <si>
    <t>The effects of the auditor recommended journal entries for the year ended June 30, 2018 amounts to reclassifying revenue items that were misposted, reclassifying principal and interest on debt payments and reclassifying noncapital items.</t>
  </si>
  <si>
    <t>The School District did not properly record all transactions for the year ended June 30, 2018 in accordance with accounting principles generally accepted in the United States of America or an other comprehensive basis of accounting.</t>
  </si>
  <si>
    <t>2017-001</t>
  </si>
  <si>
    <t>Preparing the financial statements</t>
  </si>
  <si>
    <t>Management reviewed the costs versus benefit of</t>
  </si>
  <si>
    <t xml:space="preserve">providing the necessary education and training to </t>
  </si>
  <si>
    <t>staff or hiring a qualified vendor to prepare the</t>
  </si>
  <si>
    <t>financial statements and disclosures and decided</t>
  </si>
  <si>
    <t>to not change methods from the prior year.</t>
  </si>
  <si>
    <t>2017-002</t>
  </si>
  <si>
    <t>Journal entries made during the audit</t>
  </si>
  <si>
    <t>Management reviewed their trial balance before</t>
  </si>
  <si>
    <t>year end and made some journal entries, however,</t>
  </si>
  <si>
    <t xml:space="preserve">a few journal entries were still needed during the </t>
  </si>
  <si>
    <t>audit.</t>
  </si>
  <si>
    <t>2017-003</t>
  </si>
  <si>
    <t>Timely expenditure reports</t>
  </si>
  <si>
    <t>In the prior year, the District did not file an expenditure</t>
  </si>
  <si>
    <t>report in the required time frame.  During the current</t>
  </si>
  <si>
    <t>year, all grant expenditure reports were filed timely.</t>
  </si>
  <si>
    <t>2017-004</t>
  </si>
  <si>
    <t>and 005</t>
  </si>
  <si>
    <t>Accurate expenditure reports</t>
  </si>
  <si>
    <t>In the prior year, the District did not submit accurate</t>
  </si>
  <si>
    <t xml:space="preserve">expenditure reports in the IDEA Preschool, IDEA Flow </t>
  </si>
  <si>
    <t>Through and Title II grants.  During the current year,</t>
  </si>
  <si>
    <t>the District did not submit accurate expenditure reports</t>
  </si>
  <si>
    <t>in Title I and Title II.</t>
  </si>
  <si>
    <t>Illinois State Board of Education</t>
  </si>
  <si>
    <t>US Department of Education</t>
  </si>
  <si>
    <t>Per the Uniform Guidance, the School District is required to submit accurate periodic expenditure reports. The School District did not submit accurate periodic expenditure reports for June 30, 2018.</t>
  </si>
  <si>
    <t>The School District is required to spend within its legal budgetary authority.</t>
  </si>
  <si>
    <t>After completing the audit, it was noted that the School District had overexpended its approved budget in the Operations and Maintenance Fund by $13,636.</t>
  </si>
  <si>
    <t>Out of the eight funds of the School District, one fund had expenditures over budget.</t>
  </si>
  <si>
    <t>The District was not in compliance by overexpending its budget for the year.</t>
  </si>
  <si>
    <t>The School District's final salaries, benefits and supplies all came in a little overbudget.</t>
  </si>
  <si>
    <t>To adopt a reasonable budget and monitor spending.</t>
  </si>
  <si>
    <t>Management plans to adopt a reasonable budget and to monitor spending during the year.</t>
  </si>
  <si>
    <t>The amount claimed on the June 30, 2018 expenditure report included an unallowable expense.  The District included a FY 17 expense on the FY 18 expenditure report.  This was determined by comparing the expenses claimed on the final FY 17 expenditure report to the FY 18 expenditure report.</t>
  </si>
  <si>
    <t xml:space="preserve">$354 out of account 2210-400. </t>
  </si>
  <si>
    <t>The District claimed the same expense on the FY 18 expenditure report and on the FY 17 final expenditure report.</t>
  </si>
  <si>
    <t>The District claimed the same expense twice and therefore was reimbursed for the same expense twice.</t>
  </si>
  <si>
    <t>To review the expenditure reports to determine that all expenses are eligible.  Also to review the first expense report of the year to determine that expenses were not claimed on the prior year grant.</t>
  </si>
  <si>
    <t>Management will review expenditure reports to determine that only allowable expenses are claimed and that expenses are not claimed in two different grant years.</t>
  </si>
  <si>
    <t>$148 out of account 1000-200 and $589 out of account 2210-300.</t>
  </si>
  <si>
    <t>Child Nutrition Cluster 2018</t>
  </si>
  <si>
    <t>Title II - Teacher Quality 2018</t>
  </si>
  <si>
    <t>Title I - Low Income 2018</t>
  </si>
  <si>
    <t>18-4210-00 and 18-4220-00</t>
  </si>
  <si>
    <t>10.555 and 10.553</t>
  </si>
  <si>
    <t>84.010</t>
  </si>
  <si>
    <t>Reviewed the verification process for eligibility to receive free and reduced-price meals under the National School Lunch and School Breakfast Programs.</t>
  </si>
  <si>
    <t>There are no questioned costs.  The initial determination on the original application was correct and the verification process correctly resulted in changes to benefits due to income verification.</t>
  </si>
  <si>
    <t>On three verified applications, there was not a signature of a Confirming Official.</t>
  </si>
  <si>
    <t>Incorrect status could be granted if the proper verification process is not followed.</t>
  </si>
  <si>
    <t>The District incorrectly filled out the Confirmation Review and Verification Tracking Form and the proper verification process was not followed.</t>
  </si>
  <si>
    <t>The District should review the Verification Guidelines section of ISBE's School Nutrition Programs Administrative Handbook to ensure the proper verification process is being followed.</t>
  </si>
  <si>
    <t>Management will review the Verification section of ISBE's School Nutrition Programs Administrative Handbook and make changes to their procedures as necessary.</t>
  </si>
  <si>
    <t>US DEPARTMENT OF AGRICULTURE - PASS- THROUGH ILLINOIS STATE BOARD OF EDUCATION</t>
  </si>
  <si>
    <t>TOTAL US DEPARTMENT OF AGRICULTURE - PASS- THROUGH ILLINOIS STATE BOARD OF EDUCATION</t>
  </si>
  <si>
    <t>US DEPARTMENT OF EDUCATION - PASS-THROUGH ILLINOIS STATE BOARD OF EDUCATION</t>
  </si>
  <si>
    <t>Arthur J Gallagher</t>
  </si>
  <si>
    <t>G&amp;B Busing</t>
  </si>
  <si>
    <t>US DEPARTMENT OF EDUCATION - PASS-THROUGH ILLINOIS STATE BOARD OF EDUCATION (CONT'D)</t>
  </si>
  <si>
    <t>IDEA Flow-Through FY 18</t>
  </si>
  <si>
    <t>IDEA Flow-Through FY 17</t>
  </si>
  <si>
    <t xml:space="preserve">TOTAL US DEPARTMENT OF EDUCATION - PASS- THROUGH ILLINOIS STATE BOARD OF EDUCATION </t>
  </si>
  <si>
    <t>US DEPARTMENT OF EDUCATION - PASS-THROUGH MONROE and RANDOLPH COUNTIES ROE</t>
  </si>
  <si>
    <t>Transportation-Business Services-Purchased Services</t>
  </si>
  <si>
    <t>40-2550-300</t>
  </si>
  <si>
    <t>Aramark</t>
  </si>
  <si>
    <t>Operations and Maintenance-Business Services-Purchased Services</t>
  </si>
  <si>
    <t>20-2540-300</t>
  </si>
  <si>
    <t>ED-General Administration-Purchased Services</t>
  </si>
  <si>
    <t>10-2300-600</t>
  </si>
  <si>
    <t>US DEPARTMENT OF HEALTH AND HUMAN SERVICES PASS-THROUGH IL DEPT OF HEALTHCARE AND HUMAN SERVICES</t>
  </si>
  <si>
    <t>TOTAL US DEPARTMENT OF HEALTH AND HUMAN SERVICES PASS-THROUGH IL DEPT OF HEALTHCARE AND HUMAN SERVICES</t>
  </si>
  <si>
    <t>US DEPARTMENT OF EDUCATION - PASS-THROUGH   ST. CLAIR COUNTY ROE</t>
  </si>
  <si>
    <t>The District requested more revenue than they were entitled to receive.</t>
  </si>
  <si>
    <t>After reviewing the three applications verified by the District, it was noted that the application's Confirmation Review and Verification Tracking Form was incorrectly filled out and the proper verification process was not followed.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</si>
</sst>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 fillId="0" borderId="0"/>
  </cellStyleXfs>
  <cellXfs count="252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1" fillId="0" borderId="0" xfId="3" applyFont="1" applyAlignment="1" applyProtection="1">
      <alignment horizontal="center" vertical="center"/>
    </xf>
    <xf numFmtId="164" fontId="8" fillId="0" borderId="2" xfId="9" applyNumberFormat="1" applyFont="1" applyFill="1" applyBorder="1" applyAlignment="1" applyProtection="1">
      <alignment horizontal="left" vertical="center"/>
      <protection locked="0"/>
    </xf>
    <xf numFmtId="38" fontId="13" fillId="0" borderId="2" xfId="0" applyNumberFormat="1" applyFont="1" applyFill="1" applyBorder="1" applyAlignment="1" applyProtection="1">
      <alignment horizontal="right"/>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vertical="center"/>
      <protection locked="0"/>
    </xf>
    <xf numFmtId="3" fontId="13" fillId="0" borderId="2" xfId="9" applyNumberFormat="1" applyFont="1" applyFill="1" applyBorder="1" applyAlignment="1" applyProtection="1">
      <alignment horizontal="right" vertical="center"/>
      <protection locked="0"/>
    </xf>
    <xf numFmtId="0" fontId="13" fillId="0" borderId="2" xfId="0" applyFont="1" applyFill="1" applyBorder="1" applyAlignment="1" applyProtection="1">
      <alignment horizontal="right"/>
      <protection locked="0"/>
    </xf>
    <xf numFmtId="0" fontId="7" fillId="0" borderId="0" xfId="3" applyProtection="1">
      <protection locked="0"/>
    </xf>
    <xf numFmtId="0" fontId="7" fillId="0" borderId="0" xfId="3" applyProtection="1">
      <protection locked="0"/>
    </xf>
    <xf numFmtId="0" fontId="7" fillId="0" borderId="0" xfId="3" applyProtection="1">
      <protection locked="0"/>
    </xf>
    <xf numFmtId="0" fontId="7" fillId="0" borderId="0" xfId="3" applyProtection="1">
      <protection locked="0"/>
    </xf>
    <xf numFmtId="0" fontId="51" fillId="0" borderId="0" xfId="3" applyFont="1" applyAlignment="1" applyProtection="1">
      <alignment horizontal="center"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quotePrefix="1" applyFont="1" applyBorder="1" applyAlignment="1" applyProtection="1">
      <alignment horizont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1264227</xdr:colOff>
          <xdr:row>5</xdr:row>
          <xdr:rowOff>69273</xdr:rowOff>
        </xdr:from>
        <xdr:to>
          <xdr:col>1</xdr:col>
          <xdr:colOff>2178627</xdr:colOff>
          <xdr:row>10</xdr:row>
          <xdr:rowOff>28576</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2580409</xdr:colOff>
          <xdr:row>5</xdr:row>
          <xdr:rowOff>60613</xdr:rowOff>
        </xdr:from>
        <xdr:to>
          <xdr:col>1</xdr:col>
          <xdr:colOff>3494809</xdr:colOff>
          <xdr:row>10</xdr:row>
          <xdr:rowOff>19916</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8720017-19F6-44A7-8029-AE4A9046F5BC}"/>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7F119C8-46C9-45F6-8461-63D86E3A3A1E}"/>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CB3AF3C-BAB2-4D25-A741-9F5951B00843}"/>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D6F76E2-2F18-429D-9735-C4F4701D2E7D}"/>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301124C1-6D0C-402C-BA47-06F306BF787F}"/>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AA3CA179-D4DA-4138-AD68-BC869FFCFB1A}"/>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2060EF80-9FB9-4338-A7CF-52B6DD8BE8B8}"/>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8BB39A95-49CA-4529-9803-A0E5A5E33DEE}"/>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4" t="s">
        <v>425</v>
      </c>
      <c r="J1" s="2015"/>
      <c r="K1" s="2015"/>
      <c r="L1" s="2015"/>
      <c r="M1" s="2015"/>
      <c r="N1" s="2015"/>
      <c r="O1" s="2015"/>
      <c r="P1" s="2015"/>
      <c r="Q1" s="2015"/>
      <c r="R1" s="2015"/>
      <c r="S1" s="2015"/>
    </row>
    <row r="2" spans="1:28" ht="12" customHeight="1" x14ac:dyDescent="0.2">
      <c r="A2" s="47" t="s">
        <v>1684</v>
      </c>
      <c r="D2" s="48"/>
      <c r="I2" s="2016" t="s">
        <v>1036</v>
      </c>
      <c r="J2" s="2015"/>
      <c r="K2" s="2015"/>
      <c r="L2" s="2015"/>
      <c r="M2" s="2015"/>
      <c r="N2" s="2015"/>
      <c r="O2" s="2015"/>
      <c r="P2" s="2015"/>
      <c r="Q2" s="2015"/>
      <c r="R2" s="2015"/>
      <c r="S2" s="2015"/>
    </row>
    <row r="3" spans="1:28" ht="12" customHeight="1" x14ac:dyDescent="0.2">
      <c r="A3" s="155" t="s">
        <v>1685</v>
      </c>
      <c r="B3" s="156"/>
      <c r="C3" s="156"/>
      <c r="D3" s="157"/>
      <c r="I3" s="2016" t="s">
        <v>54</v>
      </c>
      <c r="J3" s="2015"/>
      <c r="K3" s="2015"/>
      <c r="L3" s="2015"/>
      <c r="M3" s="2015"/>
      <c r="N3" s="2015"/>
      <c r="O3" s="2015"/>
      <c r="P3" s="2015"/>
      <c r="Q3" s="2015"/>
      <c r="R3" s="2015"/>
      <c r="S3" s="2015"/>
    </row>
    <row r="4" spans="1:28" ht="12" customHeight="1" x14ac:dyDescent="0.2">
      <c r="A4" s="37"/>
      <c r="I4" s="2016" t="s">
        <v>545</v>
      </c>
      <c r="J4" s="2015"/>
      <c r="K4" s="2015"/>
      <c r="L4" s="2015"/>
      <c r="M4" s="2015"/>
      <c r="N4" s="2015"/>
      <c r="O4" s="2015"/>
      <c r="P4" s="2015"/>
      <c r="Q4" s="2015"/>
      <c r="R4" s="2015"/>
      <c r="S4" s="2015"/>
    </row>
    <row r="5" spans="1:28" ht="14.1" customHeight="1" x14ac:dyDescent="0.2">
      <c r="B5" s="104" t="s">
        <v>2075</v>
      </c>
      <c r="C5" s="26" t="s">
        <v>966</v>
      </c>
      <c r="D5" s="84"/>
      <c r="E5" s="84"/>
      <c r="H5" s="38"/>
      <c r="I5" s="2024" t="s">
        <v>701</v>
      </c>
      <c r="J5" s="2023"/>
      <c r="K5" s="2023"/>
      <c r="L5" s="2023"/>
      <c r="M5" s="2023"/>
      <c r="N5" s="2023"/>
      <c r="O5" s="2023"/>
      <c r="P5" s="2023"/>
      <c r="Q5" s="2023"/>
      <c r="R5" s="2023"/>
      <c r="S5" s="2023"/>
    </row>
    <row r="6" spans="1:28" ht="14.1" customHeight="1" x14ac:dyDescent="0.2">
      <c r="B6" s="104"/>
      <c r="C6" s="26" t="s">
        <v>967</v>
      </c>
      <c r="D6" s="84"/>
      <c r="E6" s="84"/>
      <c r="I6" s="2022" t="s">
        <v>938</v>
      </c>
      <c r="J6" s="2023"/>
      <c r="K6" s="2023"/>
      <c r="L6" s="2023"/>
      <c r="M6" s="2023"/>
      <c r="N6" s="2023"/>
      <c r="O6" s="2023"/>
      <c r="P6" s="2023"/>
      <c r="Q6" s="2023"/>
      <c r="R6" s="2023"/>
      <c r="S6" s="2023"/>
    </row>
    <row r="7" spans="1:28" ht="12.2" customHeight="1" x14ac:dyDescent="0.2">
      <c r="I7" s="2017">
        <v>43281</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695</v>
      </c>
      <c r="J9" s="2020"/>
      <c r="K9" s="2020"/>
      <c r="L9" s="2020"/>
      <c r="M9" s="2020"/>
      <c r="N9" s="2020"/>
      <c r="O9" s="2020"/>
      <c r="P9" s="2020"/>
      <c r="Q9" s="2020"/>
      <c r="R9" s="2020"/>
      <c r="S9" s="2021"/>
      <c r="T9" s="2035" t="s">
        <v>554</v>
      </c>
      <c r="U9" s="2036"/>
      <c r="V9" s="2036"/>
      <c r="W9" s="2036"/>
      <c r="X9" s="2036"/>
      <c r="Y9" s="2036"/>
      <c r="Z9" s="2036"/>
      <c r="AA9" s="2037"/>
    </row>
    <row r="10" spans="1:28" ht="13.5" customHeight="1" x14ac:dyDescent="0.2">
      <c r="A10" s="2042" t="s">
        <v>696</v>
      </c>
      <c r="B10" s="2043"/>
      <c r="C10" s="2043"/>
      <c r="D10" s="2043"/>
      <c r="E10" s="2043"/>
      <c r="F10" s="2043"/>
      <c r="G10" s="2043"/>
      <c r="H10" s="2044"/>
      <c r="I10" s="29"/>
      <c r="J10" s="30"/>
      <c r="K10" s="28"/>
      <c r="R10" s="30"/>
      <c r="S10" s="30"/>
      <c r="T10" s="2038"/>
      <c r="U10" s="2023"/>
      <c r="V10" s="2023"/>
      <c r="W10" s="2023"/>
      <c r="X10" s="2023"/>
      <c r="Y10" s="2023"/>
      <c r="Z10" s="2023"/>
      <c r="AA10" s="2029"/>
    </row>
    <row r="11" spans="1:28" ht="14.25" customHeight="1" x14ac:dyDescent="0.2">
      <c r="A11" s="2045" t="s">
        <v>1012</v>
      </c>
      <c r="B11" s="2046"/>
      <c r="C11" s="2046"/>
      <c r="D11" s="2046"/>
      <c r="E11" s="2046"/>
      <c r="F11" s="2046"/>
      <c r="G11" s="2046"/>
      <c r="H11" s="2047"/>
      <c r="I11" s="27"/>
      <c r="J11" s="74"/>
      <c r="K11" s="27"/>
      <c r="O11" s="148" t="s">
        <v>2075</v>
      </c>
      <c r="P11" s="100" t="s">
        <v>210</v>
      </c>
      <c r="Q11" s="30"/>
      <c r="R11" s="28"/>
      <c r="S11" s="27"/>
      <c r="T11" s="2039"/>
      <c r="U11" s="2040"/>
      <c r="V11" s="2040"/>
      <c r="W11" s="2040"/>
      <c r="X11" s="2040"/>
      <c r="Y11" s="2040"/>
      <c r="Z11" s="2040"/>
      <c r="AA11" s="204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9" t="s">
        <v>2076</v>
      </c>
      <c r="B13" s="2050"/>
      <c r="C13" s="2050"/>
      <c r="D13" s="2050"/>
      <c r="E13" s="2050"/>
      <c r="F13" s="2050"/>
      <c r="G13" s="2050"/>
      <c r="H13" s="2051"/>
      <c r="I13" s="31"/>
      <c r="J13" s="30"/>
      <c r="K13" s="28"/>
      <c r="L13" s="30"/>
      <c r="M13" s="30"/>
      <c r="N13" s="30"/>
      <c r="O13" s="30"/>
      <c r="P13" s="30"/>
      <c r="Q13" s="30"/>
      <c r="R13" s="30"/>
      <c r="S13" s="30"/>
      <c r="T13" s="2054" t="s">
        <v>2085</v>
      </c>
      <c r="U13" s="2055"/>
      <c r="V13" s="2055"/>
      <c r="W13" s="2055"/>
      <c r="X13" s="2055"/>
      <c r="Y13" s="2056"/>
      <c r="Z13" s="2056"/>
      <c r="AA13" s="205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8" t="s">
        <v>2077</v>
      </c>
      <c r="B15" s="2052"/>
      <c r="C15" s="2052"/>
      <c r="D15" s="2052"/>
      <c r="E15" s="2052"/>
      <c r="F15" s="2052"/>
      <c r="G15" s="2052"/>
      <c r="H15" s="2053"/>
      <c r="T15" s="2058" t="s">
        <v>2086</v>
      </c>
      <c r="U15" s="2002"/>
      <c r="V15" s="2002"/>
      <c r="W15" s="2002"/>
      <c r="X15" s="2002"/>
      <c r="Y15" s="2059"/>
      <c r="Z15" s="2059"/>
      <c r="AA15" s="206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8" t="s">
        <v>2078</v>
      </c>
      <c r="B17" s="2009"/>
      <c r="C17" s="2009"/>
      <c r="D17" s="2009"/>
      <c r="E17" s="2009"/>
      <c r="F17" s="2009"/>
      <c r="G17" s="2009"/>
      <c r="H17" s="2034"/>
      <c r="T17" s="2065" t="s">
        <v>2087</v>
      </c>
      <c r="U17" s="2066"/>
      <c r="V17" s="2066"/>
      <c r="W17" s="2066"/>
      <c r="X17" s="2066"/>
      <c r="Y17" s="2066"/>
      <c r="Z17" s="2066"/>
      <c r="AA17" s="2067"/>
    </row>
    <row r="18" spans="1:27" ht="13.5" customHeight="1" x14ac:dyDescent="0.2">
      <c r="A18" s="85" t="s">
        <v>551</v>
      </c>
      <c r="B18" s="76"/>
      <c r="C18" s="72"/>
      <c r="D18" s="76"/>
      <c r="E18" s="76"/>
      <c r="F18" s="76"/>
      <c r="G18" s="76"/>
      <c r="H18" s="56"/>
      <c r="I18" s="2033" t="s">
        <v>697</v>
      </c>
      <c r="J18" s="1984"/>
      <c r="K18" s="1984"/>
      <c r="L18" s="1984"/>
      <c r="M18" s="1984"/>
      <c r="N18" s="1984"/>
      <c r="O18" s="1984"/>
      <c r="P18" s="1984"/>
      <c r="Q18" s="1984"/>
      <c r="R18" s="1984"/>
      <c r="S18" s="1985"/>
      <c r="T18" s="85" t="s">
        <v>735</v>
      </c>
      <c r="U18" s="51"/>
      <c r="V18" s="72"/>
      <c r="W18" s="50"/>
      <c r="X18" s="85" t="s">
        <v>284</v>
      </c>
      <c r="Y18" s="81"/>
      <c r="Z18" s="159" t="s">
        <v>698</v>
      </c>
      <c r="AA18" s="46"/>
    </row>
    <row r="19" spans="1:27" ht="13.5" customHeight="1" x14ac:dyDescent="0.2">
      <c r="A19" s="2048" t="s">
        <v>2079</v>
      </c>
      <c r="B19" s="1994"/>
      <c r="C19" s="1994"/>
      <c r="D19" s="1994"/>
      <c r="E19" s="1994"/>
      <c r="F19" s="1994"/>
      <c r="G19" s="1994"/>
      <c r="H19" s="1974"/>
      <c r="I19" s="30"/>
      <c r="J19" s="99"/>
      <c r="K19" s="40"/>
      <c r="L19" s="38"/>
      <c r="M19" s="112" t="s">
        <v>333</v>
      </c>
      <c r="P19" s="27"/>
      <c r="Q19" s="27"/>
      <c r="R19" s="27"/>
      <c r="S19" s="31"/>
      <c r="T19" s="2048" t="s">
        <v>2088</v>
      </c>
      <c r="U19" s="1973"/>
      <c r="V19" s="1973"/>
      <c r="W19" s="1974"/>
      <c r="X19" s="2063" t="s">
        <v>2089</v>
      </c>
      <c r="Y19" s="2064"/>
      <c r="Z19" s="2061">
        <v>62220</v>
      </c>
      <c r="AA19" s="206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2" t="s">
        <v>2080</v>
      </c>
      <c r="B21" s="1973"/>
      <c r="C21" s="1973"/>
      <c r="D21" s="1973"/>
      <c r="E21" s="1973"/>
      <c r="F21" s="1973"/>
      <c r="G21" s="1973"/>
      <c r="H21" s="1974"/>
      <c r="I21" s="2028" t="s">
        <v>699</v>
      </c>
      <c r="J21" s="2023"/>
      <c r="K21" s="2023"/>
      <c r="L21" s="2023"/>
      <c r="M21" s="2023"/>
      <c r="N21" s="2023"/>
      <c r="O21" s="2023"/>
      <c r="P21" s="2023"/>
      <c r="Q21" s="2023"/>
      <c r="R21" s="2023"/>
      <c r="S21" s="2029"/>
      <c r="T21" s="2072" t="s">
        <v>2090</v>
      </c>
      <c r="U21" s="2073"/>
      <c r="V21" s="2073"/>
      <c r="W21" s="2073"/>
      <c r="X21" s="2078" t="s">
        <v>2091</v>
      </c>
      <c r="Y21" s="2079"/>
      <c r="Z21" s="2079"/>
      <c r="AA21" s="2080"/>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5" t="s">
        <v>2081</v>
      </c>
      <c r="B23" s="2026"/>
      <c r="C23" s="2026"/>
      <c r="D23" s="2026"/>
      <c r="E23" s="2026"/>
      <c r="F23" s="2026"/>
      <c r="G23" s="2026"/>
      <c r="H23" s="2027"/>
      <c r="T23" s="2008" t="s">
        <v>2092</v>
      </c>
      <c r="U23" s="2071"/>
      <c r="V23" s="2071"/>
      <c r="W23" s="2071"/>
      <c r="X23" s="2075">
        <v>44469</v>
      </c>
      <c r="Y23" s="2076"/>
      <c r="Z23" s="2076"/>
      <c r="AA23" s="2077"/>
    </row>
    <row r="24" spans="1:27" ht="14.1" customHeight="1" x14ac:dyDescent="0.2">
      <c r="A24" s="88" t="s">
        <v>698</v>
      </c>
      <c r="B24" s="49"/>
      <c r="C24" s="49"/>
      <c r="D24" s="49"/>
      <c r="E24" s="49"/>
      <c r="F24" s="49"/>
      <c r="G24" s="49"/>
      <c r="H24" s="61"/>
      <c r="J24" s="1995">
        <f>IF(B5="x",IF(AUDITCHECK!D29="AFR form Incomplete.","",IF(AUDITCHECK!D29="Deficit reduction plan is required.","School District must complete a deficit reduction plan in the 2018-2019 Budget",)),"")</f>
        <v>0</v>
      </c>
      <c r="K24" s="1995"/>
      <c r="L24" s="1995"/>
      <c r="M24" s="1995"/>
      <c r="N24" s="1995"/>
      <c r="O24" s="1995"/>
      <c r="P24" s="1995"/>
      <c r="Q24" s="1995"/>
      <c r="R24" s="1995"/>
      <c r="S24" s="1996"/>
      <c r="T24" s="105" t="s">
        <v>552</v>
      </c>
      <c r="U24" s="106"/>
      <c r="V24" s="106"/>
      <c r="W24" s="106"/>
      <c r="X24" s="107"/>
      <c r="Y24" s="107"/>
      <c r="Z24" s="107"/>
      <c r="AA24" s="108"/>
    </row>
    <row r="25" spans="1:27" ht="14.1" customHeight="1" x14ac:dyDescent="0.2">
      <c r="A25" s="1972">
        <v>62239</v>
      </c>
      <c r="B25" s="1973"/>
      <c r="C25" s="1973"/>
      <c r="D25" s="1973"/>
      <c r="E25" s="1973"/>
      <c r="F25" s="1973"/>
      <c r="G25" s="1973"/>
      <c r="H25" s="1974"/>
      <c r="I25" s="113"/>
      <c r="J25" s="1997"/>
      <c r="K25" s="1997"/>
      <c r="L25" s="1997"/>
      <c r="M25" s="1997"/>
      <c r="N25" s="1997"/>
      <c r="O25" s="1997"/>
      <c r="P25" s="1997"/>
      <c r="Q25" s="1997"/>
      <c r="R25" s="1997"/>
      <c r="S25" s="1998"/>
      <c r="T25" s="2068" t="s">
        <v>2093</v>
      </c>
      <c r="U25" s="2069"/>
      <c r="V25" s="2069"/>
      <c r="W25" s="2069"/>
      <c r="X25" s="2069"/>
      <c r="Y25" s="2069"/>
      <c r="Z25" s="2069"/>
      <c r="AA25" s="20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3" t="s">
        <v>1591</v>
      </c>
      <c r="J27" s="1984"/>
      <c r="K27" s="1984"/>
      <c r="L27" s="1984"/>
      <c r="M27" s="1984"/>
      <c r="N27" s="1984"/>
      <c r="O27" s="1984"/>
      <c r="P27" s="1984"/>
      <c r="Q27" s="1984"/>
      <c r="R27" s="1984"/>
      <c r="S27" s="198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2075</v>
      </c>
      <c r="F29" s="141" t="s">
        <v>1383</v>
      </c>
      <c r="G29" s="114"/>
      <c r="I29" s="54"/>
      <c r="J29" s="148" t="s">
        <v>2084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4"/>
      <c r="Q35" s="1973"/>
      <c r="R35" s="197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8" t="s">
        <v>2082</v>
      </c>
      <c r="B38" s="2009"/>
      <c r="C38" s="2009"/>
      <c r="D38" s="2009"/>
      <c r="E38" s="2009"/>
      <c r="F38" s="1973"/>
      <c r="G38" s="1973"/>
      <c r="H38" s="1974"/>
      <c r="I38" s="2001"/>
      <c r="J38" s="2002"/>
      <c r="K38" s="2002"/>
      <c r="L38" s="2002"/>
      <c r="M38" s="2002"/>
      <c r="N38" s="2002"/>
      <c r="O38" s="2002"/>
      <c r="P38" s="2003"/>
      <c r="Q38" s="2003"/>
      <c r="R38" s="2003"/>
      <c r="S38" s="2004"/>
      <c r="T38" s="2058"/>
      <c r="U38" s="2002"/>
      <c r="V38" s="2002"/>
      <c r="W38" s="2002"/>
      <c r="X38" s="2003"/>
      <c r="Y38" s="2003"/>
      <c r="Z38" s="2003"/>
      <c r="AA38" s="2004"/>
    </row>
    <row r="39" spans="1:27" ht="12" customHeight="1" x14ac:dyDescent="0.2">
      <c r="A39" s="1978" t="s">
        <v>552</v>
      </c>
      <c r="B39" s="1979"/>
      <c r="C39" s="72"/>
      <c r="D39" s="69"/>
      <c r="E39" s="69"/>
      <c r="F39" s="79"/>
      <c r="G39" s="69"/>
      <c r="H39" s="56"/>
      <c r="I39" s="1978" t="s">
        <v>552</v>
      </c>
      <c r="J39" s="1979"/>
      <c r="K39" s="1979"/>
      <c r="L39" s="1979"/>
      <c r="M39" s="1979"/>
      <c r="N39" s="67"/>
      <c r="O39" s="72"/>
      <c r="P39" s="72"/>
      <c r="Q39" s="78"/>
      <c r="R39" s="72"/>
      <c r="S39" s="56"/>
      <c r="T39" s="72" t="s">
        <v>552</v>
      </c>
      <c r="U39" s="51"/>
      <c r="V39" s="72"/>
      <c r="W39" s="50"/>
      <c r="X39" s="78"/>
      <c r="Y39" s="45"/>
      <c r="Z39" s="45"/>
      <c r="AA39" s="46"/>
    </row>
    <row r="40" spans="1:27" ht="13.5" customHeight="1" x14ac:dyDescent="0.2">
      <c r="A40" s="1986" t="s">
        <v>2081</v>
      </c>
      <c r="B40" s="1987"/>
      <c r="C40" s="1988"/>
      <c r="D40" s="1988"/>
      <c r="E40" s="1988"/>
      <c r="F40" s="1989"/>
      <c r="G40" s="1989"/>
      <c r="H40" s="1990"/>
      <c r="I40" s="2011"/>
      <c r="J40" s="2012"/>
      <c r="K40" s="2012"/>
      <c r="L40" s="2012"/>
      <c r="M40" s="2012"/>
      <c r="N40" s="2012"/>
      <c r="O40" s="2012"/>
      <c r="P40" s="2012"/>
      <c r="Q40" s="2012"/>
      <c r="R40" s="2012"/>
      <c r="S40" s="2013"/>
      <c r="T40" s="2011"/>
      <c r="U40" s="2074"/>
      <c r="V40" s="2012"/>
      <c r="W40" s="2012"/>
      <c r="X40" s="2012"/>
      <c r="Y40" s="2012"/>
      <c r="Z40" s="2012"/>
      <c r="AA40" s="201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0" t="s">
        <v>2083</v>
      </c>
      <c r="B42" s="1992"/>
      <c r="C42" s="1993"/>
      <c r="D42" s="1991"/>
      <c r="E42" s="1992"/>
      <c r="F42" s="1992"/>
      <c r="G42" s="1992"/>
      <c r="H42" s="1993"/>
      <c r="I42" s="1975"/>
      <c r="J42" s="1976"/>
      <c r="K42" s="1976"/>
      <c r="L42" s="1976"/>
      <c r="M42" s="1976"/>
      <c r="N42" s="1976"/>
      <c r="O42" s="1977"/>
      <c r="P42" s="2010"/>
      <c r="Q42" s="1976"/>
      <c r="R42" s="1976"/>
      <c r="S42" s="1977"/>
      <c r="T42" s="1975"/>
      <c r="U42" s="1976"/>
      <c r="V42" s="1976"/>
      <c r="W42" s="1977"/>
      <c r="X42" s="2010"/>
      <c r="Y42" s="1976"/>
      <c r="Z42" s="1976"/>
      <c r="AA42" s="197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5"/>
      <c r="B44" s="2006"/>
      <c r="C44" s="2006"/>
      <c r="D44" s="2006"/>
      <c r="E44" s="2006"/>
      <c r="F44" s="2006"/>
      <c r="G44" s="2006"/>
      <c r="H44" s="2007"/>
      <c r="I44" s="1980"/>
      <c r="J44" s="1981"/>
      <c r="K44" s="1981"/>
      <c r="L44" s="1981"/>
      <c r="M44" s="1981"/>
      <c r="N44" s="1981"/>
      <c r="O44" s="1981"/>
      <c r="P44" s="1981"/>
      <c r="Q44" s="1981"/>
      <c r="R44" s="1981"/>
      <c r="S44" s="1982"/>
      <c r="T44" s="1980"/>
      <c r="U44" s="1999"/>
      <c r="V44" s="1999"/>
      <c r="W44" s="1999"/>
      <c r="X44" s="1999"/>
      <c r="Y44" s="1999"/>
      <c r="Z44" s="1981"/>
      <c r="AA44" s="198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30" sqref="C3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4" t="s">
        <v>1903</v>
      </c>
      <c r="B2" s="1550" t="s">
        <v>2033</v>
      </c>
      <c r="C2" s="715" t="s">
        <v>1908</v>
      </c>
      <c r="D2" s="715" t="s">
        <v>1909</v>
      </c>
      <c r="E2" s="715" t="s">
        <v>1910</v>
      </c>
      <c r="F2" s="715" t="s">
        <v>1911</v>
      </c>
    </row>
    <row r="3" spans="1:6" ht="12" customHeight="1" x14ac:dyDescent="0.2">
      <c r="A3" s="2215"/>
      <c r="B3" s="1547"/>
      <c r="C3" s="1548"/>
      <c r="D3" s="1549" t="s">
        <v>274</v>
      </c>
      <c r="E3" s="1548"/>
      <c r="F3" s="1549" t="s">
        <v>275</v>
      </c>
    </row>
    <row r="4" spans="1:6" ht="13.7" customHeight="1" x14ac:dyDescent="0.2">
      <c r="A4" s="716" t="s">
        <v>1217</v>
      </c>
      <c r="B4" s="1771">
        <f>'Revenues 9-14'!C5</f>
        <v>1479490</v>
      </c>
      <c r="C4" s="1546">
        <v>352142</v>
      </c>
      <c r="D4" s="1774">
        <f>B4-C4</f>
        <v>1127348</v>
      </c>
      <c r="E4" s="1546">
        <v>1345366</v>
      </c>
      <c r="F4" s="1774">
        <f>E4-C4</f>
        <v>993224</v>
      </c>
    </row>
    <row r="5" spans="1:6" ht="13.7" customHeight="1" x14ac:dyDescent="0.2">
      <c r="A5" s="716" t="s">
        <v>925</v>
      </c>
      <c r="B5" s="1772">
        <f>'Revenues 9-14'!D5</f>
        <v>358037</v>
      </c>
      <c r="C5" s="585">
        <v>88036</v>
      </c>
      <c r="D5" s="1775">
        <f t="shared" ref="D5:D18" si="0">B5-C5</f>
        <v>270001</v>
      </c>
      <c r="E5" s="585">
        <v>336342</v>
      </c>
      <c r="F5" s="1775">
        <f>E5-C5</f>
        <v>248306</v>
      </c>
    </row>
    <row r="6" spans="1:6" ht="13.7" customHeight="1" x14ac:dyDescent="0.2">
      <c r="A6" s="716" t="s">
        <v>431</v>
      </c>
      <c r="B6" s="1772">
        <f>'Revenues 9-14'!E5</f>
        <v>859093</v>
      </c>
      <c r="C6" s="585">
        <v>194294</v>
      </c>
      <c r="D6" s="1775">
        <f t="shared" si="0"/>
        <v>664799</v>
      </c>
      <c r="E6" s="585">
        <v>742306</v>
      </c>
      <c r="F6" s="1775">
        <f t="shared" ref="F6:F18" si="1">E6-C6</f>
        <v>548012</v>
      </c>
    </row>
    <row r="7" spans="1:6" ht="13.7" customHeight="1" x14ac:dyDescent="0.2">
      <c r="A7" s="716" t="s">
        <v>157</v>
      </c>
      <c r="B7" s="1772">
        <f>'Revenues 9-14'!F5</f>
        <v>143215</v>
      </c>
      <c r="C7" s="585">
        <v>35214</v>
      </c>
      <c r="D7" s="1775">
        <f t="shared" si="0"/>
        <v>108001</v>
      </c>
      <c r="E7" s="585">
        <v>134537</v>
      </c>
      <c r="F7" s="1775">
        <f t="shared" si="1"/>
        <v>99323</v>
      </c>
    </row>
    <row r="8" spans="1:6" ht="13.7" customHeight="1" x14ac:dyDescent="0.2">
      <c r="A8" s="716" t="s">
        <v>1241</v>
      </c>
      <c r="B8" s="1772">
        <f>'Revenues 9-14'!G5</f>
        <v>233232</v>
      </c>
      <c r="C8" s="585">
        <v>35214</v>
      </c>
      <c r="D8" s="1775">
        <f t="shared" si="0"/>
        <v>198018</v>
      </c>
      <c r="E8" s="585">
        <v>134537</v>
      </c>
      <c r="F8" s="1775">
        <f t="shared" si="1"/>
        <v>99323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5282</v>
      </c>
      <c r="C10" s="585">
        <v>5282</v>
      </c>
      <c r="D10" s="1775">
        <f t="shared" si="0"/>
        <v>0</v>
      </c>
      <c r="E10" s="585">
        <v>20180</v>
      </c>
      <c r="F10" s="1775">
        <f t="shared" si="1"/>
        <v>14898</v>
      </c>
    </row>
    <row r="11" spans="1:6" x14ac:dyDescent="0.2">
      <c r="A11" s="716" t="s">
        <v>429</v>
      </c>
      <c r="B11" s="1772">
        <f>'Revenues 9-14'!J5</f>
        <v>490141</v>
      </c>
      <c r="C11" s="585">
        <v>167267</v>
      </c>
      <c r="D11" s="1775">
        <f t="shared" si="0"/>
        <v>322874</v>
      </c>
      <c r="E11" s="585">
        <v>639049</v>
      </c>
      <c r="F11" s="1775">
        <f t="shared" si="1"/>
        <v>471782</v>
      </c>
    </row>
    <row r="12" spans="1:6" ht="13.7" customHeight="1" x14ac:dyDescent="0.2">
      <c r="A12" s="716" t="s">
        <v>159</v>
      </c>
      <c r="B12" s="1772">
        <f>'Revenues 9-14'!K5</f>
        <v>35804</v>
      </c>
      <c r="C12" s="585">
        <v>8803</v>
      </c>
      <c r="D12" s="1775">
        <f t="shared" si="0"/>
        <v>27001</v>
      </c>
      <c r="E12" s="585">
        <v>33634</v>
      </c>
      <c r="F12" s="1775">
        <f t="shared" si="1"/>
        <v>24831</v>
      </c>
    </row>
    <row r="13" spans="1:6" ht="13.7" customHeight="1" x14ac:dyDescent="0.2">
      <c r="A13" s="716" t="s">
        <v>993</v>
      </c>
      <c r="B13" s="1772">
        <f>SUM('Revenues 9-14'!C6:D6)</f>
        <v>35804</v>
      </c>
      <c r="C13" s="585">
        <v>8803</v>
      </c>
      <c r="D13" s="1775">
        <f t="shared" si="0"/>
        <v>27001</v>
      </c>
      <c r="E13" s="585">
        <v>33634</v>
      </c>
      <c r="F13" s="1775">
        <f t="shared" si="1"/>
        <v>24831</v>
      </c>
    </row>
    <row r="14" spans="1:6" ht="13.7" customHeight="1" x14ac:dyDescent="0.2">
      <c r="A14" s="716" t="s">
        <v>430</v>
      </c>
      <c r="B14" s="1772">
        <f>SUM('Revenues 9-14'!C7:D7,'Revenues 9-14'!F7:H7)</f>
        <v>28687</v>
      </c>
      <c r="C14" s="585">
        <v>7043</v>
      </c>
      <c r="D14" s="1775">
        <f t="shared" si="0"/>
        <v>21644</v>
      </c>
      <c r="E14" s="585">
        <v>26907</v>
      </c>
      <c r="F14" s="1775">
        <f t="shared" si="1"/>
        <v>19864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261414</v>
      </c>
      <c r="C16" s="585">
        <f>21128+21128</f>
        <v>42256</v>
      </c>
      <c r="D16" s="1775">
        <f t="shared" si="0"/>
        <v>219158</v>
      </c>
      <c r="E16" s="585">
        <f>80722+80722</f>
        <v>161444</v>
      </c>
      <c r="F16" s="1775">
        <f t="shared" si="1"/>
        <v>119188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3930199</v>
      </c>
      <c r="C19" s="1773">
        <f>SUM(C4:C18)</f>
        <v>944354</v>
      </c>
      <c r="D19" s="1773">
        <f>SUM(D4:D18)</f>
        <v>2985845</v>
      </c>
      <c r="E19" s="1773">
        <f>SUM(E4:E18)</f>
        <v>3607936</v>
      </c>
      <c r="F19" s="1773">
        <f>SUM(F4:F18)</f>
        <v>2663582</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3" colorId="8" zoomScale="110" zoomScaleNormal="110" workbookViewId="0">
      <selection activeCell="C30" sqref="C3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650</v>
      </c>
      <c r="B1" s="2234"/>
      <c r="C1" s="722"/>
    </row>
    <row r="2" spans="1:7" ht="33.75" x14ac:dyDescent="0.2">
      <c r="A2" s="2241" t="s">
        <v>1903</v>
      </c>
      <c r="B2" s="2242"/>
      <c r="C2" s="1909" t="s">
        <v>2034</v>
      </c>
      <c r="D2" s="724" t="s">
        <v>2041</v>
      </c>
      <c r="E2" s="724" t="s">
        <v>2042</v>
      </c>
      <c r="F2" s="1909" t="s">
        <v>2035</v>
      </c>
    </row>
    <row r="3" spans="1:7" ht="15.75" customHeight="1" x14ac:dyDescent="0.2">
      <c r="A3" s="2243" t="s">
        <v>1176</v>
      </c>
      <c r="B3" s="2244"/>
      <c r="C3" s="2237"/>
      <c r="D3" s="2238"/>
      <c r="E3" s="2238"/>
      <c r="F3" s="2239"/>
    </row>
    <row r="4" spans="1:7" ht="12.75" customHeight="1" thickBot="1" x14ac:dyDescent="0.25">
      <c r="A4" s="2231" t="s">
        <v>651</v>
      </c>
      <c r="B4" s="2232"/>
      <c r="C4" s="581"/>
      <c r="D4" s="581"/>
      <c r="E4" s="581"/>
      <c r="F4" s="1777">
        <f>SUM(C4+D4)-E4</f>
        <v>0</v>
      </c>
    </row>
    <row r="5" spans="1:7" ht="15.75" customHeight="1" thickTop="1" x14ac:dyDescent="0.2">
      <c r="A5" s="2235" t="s">
        <v>1172</v>
      </c>
      <c r="B5" s="2230"/>
      <c r="C5" s="2224"/>
      <c r="D5" s="2225"/>
      <c r="E5" s="2225"/>
      <c r="F5" s="222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7" t="s">
        <v>652</v>
      </c>
      <c r="B15" s="2228"/>
      <c r="C15" s="1777">
        <f>SUM(C6:C14)</f>
        <v>0</v>
      </c>
      <c r="D15" s="1777">
        <f>SUM(D6:D14)</f>
        <v>0</v>
      </c>
      <c r="E15" s="1777">
        <f>SUM(E6:E14)</f>
        <v>0</v>
      </c>
      <c r="F15" s="1777">
        <f>SUM(F6:F14)</f>
        <v>0</v>
      </c>
      <c r="G15" s="552"/>
    </row>
    <row r="16" spans="1:7" s="202" customFormat="1" ht="15.75" customHeight="1" thickTop="1" x14ac:dyDescent="0.2">
      <c r="A16" s="2240" t="s">
        <v>1173</v>
      </c>
      <c r="B16" s="2230"/>
      <c r="C16" s="2224"/>
      <c r="D16" s="2225"/>
      <c r="E16" s="2225"/>
      <c r="F16" s="2226"/>
    </row>
    <row r="17" spans="1:11" ht="12.75" customHeight="1" thickBot="1" x14ac:dyDescent="0.25">
      <c r="A17" s="2222" t="s">
        <v>66</v>
      </c>
      <c r="B17" s="2223"/>
      <c r="C17" s="727"/>
      <c r="D17" s="585"/>
      <c r="E17" s="727"/>
      <c r="F17" s="1777">
        <f>SUM(C17+D17)-E17</f>
        <v>0</v>
      </c>
    </row>
    <row r="18" spans="1:11" ht="12.75" customHeight="1" thickTop="1" thickBot="1" x14ac:dyDescent="0.25">
      <c r="A18" s="2222" t="s">
        <v>6</v>
      </c>
      <c r="B18" s="2223"/>
      <c r="C18" s="727"/>
      <c r="D18" s="585"/>
      <c r="E18" s="727"/>
      <c r="F18" s="1777">
        <f>SUM(C18+D18)-E18</f>
        <v>0</v>
      </c>
    </row>
    <row r="19" spans="1:11" ht="12.75" customHeight="1" thickTop="1" thickBot="1" x14ac:dyDescent="0.25">
      <c r="A19" s="2222" t="s">
        <v>406</v>
      </c>
      <c r="B19" s="2223"/>
      <c r="C19" s="727"/>
      <c r="D19" s="585"/>
      <c r="E19" s="727"/>
      <c r="F19" s="1777">
        <f>SUM(C19+D19)-E19</f>
        <v>0</v>
      </c>
    </row>
    <row r="20" spans="1:11" ht="12.75" customHeight="1" thickTop="1" thickBot="1" x14ac:dyDescent="0.25">
      <c r="A20" s="2222" t="s">
        <v>468</v>
      </c>
      <c r="B20" s="2223"/>
      <c r="C20" s="727"/>
      <c r="D20" s="585"/>
      <c r="E20" s="727"/>
      <c r="F20" s="1777">
        <f>SUM(C20+D20)-E20</f>
        <v>0</v>
      </c>
    </row>
    <row r="21" spans="1:11" ht="14.25" thickTop="1" thickBot="1" x14ac:dyDescent="0.25">
      <c r="A21" s="2227" t="s">
        <v>653</v>
      </c>
      <c r="B21" s="2228"/>
      <c r="C21" s="1777">
        <f>SUM(C17:C20)</f>
        <v>0</v>
      </c>
      <c r="D21" s="1777">
        <f>SUM(D17:D20)</f>
        <v>0</v>
      </c>
      <c r="E21" s="1777">
        <f>SUM(E17:E20)</f>
        <v>0</v>
      </c>
      <c r="F21" s="1777">
        <f>SUM(F17:F20)</f>
        <v>0</v>
      </c>
      <c r="G21" s="552"/>
    </row>
    <row r="22" spans="1:11" ht="15.75" customHeight="1" thickTop="1" x14ac:dyDescent="0.2">
      <c r="A22" s="2229" t="s">
        <v>1174</v>
      </c>
      <c r="B22" s="2230"/>
      <c r="C22" s="2224"/>
      <c r="D22" s="2225"/>
      <c r="E22" s="2225"/>
      <c r="F22" s="2226"/>
    </row>
    <row r="23" spans="1:11" ht="13.5" thickBot="1" x14ac:dyDescent="0.25">
      <c r="A23" s="2231" t="s">
        <v>654</v>
      </c>
      <c r="B23" s="2232"/>
      <c r="C23" s="581"/>
      <c r="D23" s="581"/>
      <c r="E23" s="581"/>
      <c r="F23" s="1777">
        <f>SUM(C23+D23)-E23</f>
        <v>0</v>
      </c>
      <c r="G23" s="552"/>
    </row>
    <row r="24" spans="1:11" ht="15.75" customHeight="1" thickTop="1" x14ac:dyDescent="0.2">
      <c r="A24" s="2229" t="s">
        <v>1175</v>
      </c>
      <c r="B24" s="2230"/>
      <c r="C24" s="2224"/>
      <c r="D24" s="2225"/>
      <c r="E24" s="2225"/>
      <c r="F24" s="2226"/>
    </row>
    <row r="25" spans="1:11" ht="13.5" thickBot="1" x14ac:dyDescent="0.25">
      <c r="A25" s="2231" t="s">
        <v>655</v>
      </c>
      <c r="B25" s="2232"/>
      <c r="C25" s="581"/>
      <c r="D25" s="581"/>
      <c r="E25" s="581"/>
      <c r="F25" s="1777">
        <f>SUM(C25+D25)-E25</f>
        <v>0</v>
      </c>
      <c r="G25" s="552"/>
    </row>
    <row r="26" spans="1:11" ht="15.75" customHeight="1" thickTop="1" x14ac:dyDescent="0.2">
      <c r="A26" s="2235" t="s">
        <v>678</v>
      </c>
      <c r="B26" s="2230"/>
      <c r="C26" s="728"/>
      <c r="D26" s="728"/>
      <c r="E26" s="728"/>
      <c r="F26" s="729"/>
    </row>
    <row r="27" spans="1:11" ht="13.5" thickBot="1" x14ac:dyDescent="0.25">
      <c r="A27" s="2227" t="s">
        <v>1130</v>
      </c>
      <c r="B27" s="2228"/>
      <c r="C27" s="585">
        <v>68849</v>
      </c>
      <c r="D27" s="585"/>
      <c r="E27" s="585">
        <f>49705+6194</f>
        <v>55899</v>
      </c>
      <c r="F27" s="1777">
        <f>SUM(C27+D27)-E27</f>
        <v>12950</v>
      </c>
      <c r="G27" s="552"/>
    </row>
    <row r="28" spans="1:11" ht="7.5" customHeight="1" thickTop="1" x14ac:dyDescent="0.2">
      <c r="A28" s="594"/>
    </row>
    <row r="29" spans="1:11" ht="23.25" customHeight="1" x14ac:dyDescent="0.2">
      <c r="A29" s="2233" t="s">
        <v>603</v>
      </c>
      <c r="B29" s="2234"/>
      <c r="C29" s="730"/>
      <c r="D29" s="730"/>
      <c r="E29" s="730"/>
      <c r="F29" s="730"/>
      <c r="G29" s="730"/>
      <c r="H29" s="730"/>
      <c r="I29" s="730"/>
      <c r="J29" s="730"/>
    </row>
    <row r="30" spans="1:11" ht="33.75" x14ac:dyDescent="0.2">
      <c r="A30" s="1551" t="s">
        <v>1131</v>
      </c>
      <c r="B30" s="731" t="s">
        <v>1186</v>
      </c>
      <c r="C30" s="1910" t="s">
        <v>604</v>
      </c>
      <c r="D30" s="1910" t="s">
        <v>1772</v>
      </c>
      <c r="E30" s="1910" t="s">
        <v>2036</v>
      </c>
      <c r="F30" s="1910" t="s">
        <v>2037</v>
      </c>
      <c r="G30" s="1910" t="s">
        <v>2040</v>
      </c>
      <c r="H30" s="1910" t="s">
        <v>2038</v>
      </c>
      <c r="I30" s="1910" t="s">
        <v>2039</v>
      </c>
      <c r="J30" s="1911" t="s">
        <v>2</v>
      </c>
      <c r="K30" s="732"/>
    </row>
    <row r="31" spans="1:11" ht="12" customHeight="1" x14ac:dyDescent="0.2">
      <c r="A31" s="1958" t="s">
        <v>2122</v>
      </c>
      <c r="B31" s="1960">
        <v>39692</v>
      </c>
      <c r="C31" s="1961">
        <v>1955000</v>
      </c>
      <c r="D31" s="1963">
        <v>3</v>
      </c>
      <c r="E31" s="735">
        <v>1945000</v>
      </c>
      <c r="F31" s="735"/>
      <c r="G31" s="735"/>
      <c r="H31" s="735">
        <v>310000</v>
      </c>
      <c r="I31" s="1778">
        <f>((E31+F31)-H31)+G31</f>
        <v>1635000</v>
      </c>
      <c r="J31" s="735">
        <f>1635000-383349</f>
        <v>1251651</v>
      </c>
      <c r="K31" s="737"/>
    </row>
    <row r="32" spans="1:11" ht="12" customHeight="1" x14ac:dyDescent="0.2">
      <c r="A32" s="1958" t="s">
        <v>2123</v>
      </c>
      <c r="B32" s="1960">
        <v>40269</v>
      </c>
      <c r="C32" s="1961">
        <v>2520000</v>
      </c>
      <c r="D32" s="1963" t="s">
        <v>2127</v>
      </c>
      <c r="E32" s="735">
        <v>2520000</v>
      </c>
      <c r="F32" s="735"/>
      <c r="G32" s="735"/>
      <c r="H32" s="735"/>
      <c r="I32" s="1778">
        <f>((E32+F32)-H32)+G32</f>
        <v>2520000</v>
      </c>
      <c r="J32" s="735">
        <v>2520000</v>
      </c>
      <c r="K32" s="737"/>
    </row>
    <row r="33" spans="1:11" ht="12" customHeight="1" x14ac:dyDescent="0.2">
      <c r="A33" s="1958" t="s">
        <v>2124</v>
      </c>
      <c r="B33" s="1960">
        <v>41579</v>
      </c>
      <c r="C33" s="1962">
        <v>720000</v>
      </c>
      <c r="D33" s="1963">
        <v>3</v>
      </c>
      <c r="E33" s="735">
        <v>375000</v>
      </c>
      <c r="F33" s="735"/>
      <c r="G33" s="735"/>
      <c r="H33" s="735">
        <v>125000</v>
      </c>
      <c r="I33" s="1778">
        <f t="shared" ref="I33:I48" si="1">((E33+F33)-H33)+G33</f>
        <v>250000</v>
      </c>
      <c r="J33" s="735">
        <v>250000</v>
      </c>
      <c r="K33" s="737"/>
    </row>
    <row r="34" spans="1:11" ht="12" customHeight="1" x14ac:dyDescent="0.2">
      <c r="A34" s="1958" t="s">
        <v>2125</v>
      </c>
      <c r="B34" s="1960">
        <v>42838</v>
      </c>
      <c r="C34" s="1961"/>
      <c r="D34" s="1963">
        <v>1</v>
      </c>
      <c r="E34" s="735">
        <v>1365000</v>
      </c>
      <c r="F34" s="735"/>
      <c r="G34" s="735"/>
      <c r="H34" s="735"/>
      <c r="I34" s="1778">
        <f t="shared" si="1"/>
        <v>1365000</v>
      </c>
      <c r="J34" s="735">
        <v>1365000</v>
      </c>
      <c r="K34" s="738"/>
    </row>
    <row r="35" spans="1:11" ht="12" customHeight="1" x14ac:dyDescent="0.2">
      <c r="A35" s="1958" t="s">
        <v>2126</v>
      </c>
      <c r="B35" s="1960">
        <v>42838</v>
      </c>
      <c r="C35" s="1959"/>
      <c r="D35" s="1964">
        <v>3</v>
      </c>
      <c r="E35" s="739">
        <v>895000</v>
      </c>
      <c r="F35" s="739"/>
      <c r="G35" s="739"/>
      <c r="H35" s="739"/>
      <c r="I35" s="1778">
        <f t="shared" si="1"/>
        <v>895000</v>
      </c>
      <c r="J35" s="739">
        <v>895000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5195000</v>
      </c>
      <c r="D49" s="746"/>
      <c r="E49" s="1778">
        <f t="shared" ref="E49:J49" si="2">SUM(E31:E48)</f>
        <v>7100000</v>
      </c>
      <c r="F49" s="1778">
        <f t="shared" si="2"/>
        <v>0</v>
      </c>
      <c r="G49" s="1778">
        <f t="shared" si="2"/>
        <v>0</v>
      </c>
      <c r="H49" s="1778">
        <f t="shared" si="2"/>
        <v>435000</v>
      </c>
      <c r="I49" s="1778">
        <f t="shared" si="2"/>
        <v>6665000</v>
      </c>
      <c r="J49" s="1778">
        <f t="shared" si="2"/>
        <v>6281651</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16" t="s">
        <v>605</v>
      </c>
      <c r="C52" s="2217"/>
      <c r="D52" s="2217"/>
      <c r="E52" s="750" t="s">
        <v>900</v>
      </c>
      <c r="F52" s="2218"/>
      <c r="G52" s="2219"/>
      <c r="H52" s="737"/>
      <c r="I52" s="737"/>
      <c r="J52" s="747"/>
    </row>
    <row r="53" spans="1:11" ht="11.25" customHeight="1" x14ac:dyDescent="0.2">
      <c r="A53" s="751" t="s">
        <v>969</v>
      </c>
      <c r="B53" s="752" t="s">
        <v>1008</v>
      </c>
      <c r="C53" s="747"/>
      <c r="D53" s="738"/>
      <c r="E53" s="750" t="s">
        <v>518</v>
      </c>
      <c r="F53" s="2220"/>
      <c r="G53" s="2221"/>
      <c r="H53" s="737"/>
      <c r="I53" s="737"/>
      <c r="J53" s="747"/>
    </row>
    <row r="54" spans="1:11" ht="11.25" customHeight="1" x14ac:dyDescent="0.2">
      <c r="A54" s="753" t="s">
        <v>970</v>
      </c>
      <c r="B54" s="748" t="s">
        <v>1009</v>
      </c>
      <c r="C54" s="747"/>
      <c r="D54" s="738"/>
      <c r="E54" s="750" t="s">
        <v>519</v>
      </c>
      <c r="F54" s="2220"/>
      <c r="G54" s="222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C30" sqref="C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911</v>
      </c>
      <c r="B1" s="2246"/>
      <c r="C1" s="2246"/>
      <c r="D1" s="2246"/>
      <c r="E1" s="2246"/>
      <c r="F1" s="2246"/>
      <c r="G1" s="2247"/>
      <c r="H1" s="1552"/>
      <c r="I1" s="761"/>
      <c r="J1" s="433"/>
    </row>
    <row r="2" spans="1:11" ht="26.25" x14ac:dyDescent="0.2">
      <c r="A2" s="2264" t="s">
        <v>1776</v>
      </c>
      <c r="B2" s="2265"/>
      <c r="C2" s="2265"/>
      <c r="D2" s="2265"/>
      <c r="E2" s="2266"/>
      <c r="F2" s="762" t="s">
        <v>960</v>
      </c>
      <c r="G2" s="763" t="s">
        <v>1773</v>
      </c>
      <c r="H2" s="763" t="s">
        <v>430</v>
      </c>
      <c r="I2" s="763" t="s">
        <v>1220</v>
      </c>
      <c r="J2" s="763" t="s">
        <v>1917</v>
      </c>
      <c r="K2" s="763" t="s">
        <v>140</v>
      </c>
    </row>
    <row r="3" spans="1:11" x14ac:dyDescent="0.2">
      <c r="A3" s="2267" t="s">
        <v>1698</v>
      </c>
      <c r="B3" s="2268"/>
      <c r="C3" s="2268"/>
      <c r="D3" s="2268"/>
      <c r="E3" s="2269"/>
      <c r="F3" s="764"/>
      <c r="G3" s="765"/>
      <c r="H3" s="765"/>
      <c r="I3" s="765"/>
      <c r="J3" s="766"/>
      <c r="K3" s="766"/>
    </row>
    <row r="4" spans="1:11" x14ac:dyDescent="0.2">
      <c r="A4" s="2270" t="s">
        <v>387</v>
      </c>
      <c r="B4" s="2271"/>
      <c r="C4" s="2271"/>
      <c r="D4" s="2271"/>
      <c r="E4" s="2217"/>
      <c r="F4" s="767"/>
      <c r="G4" s="768"/>
      <c r="H4" s="769"/>
      <c r="I4" s="768"/>
      <c r="J4" s="770"/>
      <c r="K4" s="770"/>
    </row>
    <row r="5" spans="1:11" x14ac:dyDescent="0.2">
      <c r="A5" s="2248" t="s">
        <v>1129</v>
      </c>
      <c r="B5" s="2249"/>
      <c r="C5" s="2249"/>
      <c r="D5" s="2249"/>
      <c r="E5" s="2250"/>
      <c r="F5" s="771" t="s">
        <v>903</v>
      </c>
      <c r="G5" s="772"/>
      <c r="H5" s="765">
        <v>28687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5445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12420</v>
      </c>
    </row>
    <row r="10" spans="1:11" x14ac:dyDescent="0.2">
      <c r="A10" s="2248" t="s">
        <v>1918</v>
      </c>
      <c r="B10" s="2249"/>
      <c r="C10" s="2249"/>
      <c r="D10" s="2249"/>
      <c r="E10" s="2251"/>
      <c r="F10" s="784" t="s">
        <v>917</v>
      </c>
      <c r="G10" s="783"/>
      <c r="H10" s="785"/>
      <c r="I10" s="765"/>
      <c r="J10" s="766"/>
      <c r="K10" s="766"/>
    </row>
    <row r="11" spans="1:11" x14ac:dyDescent="0.2">
      <c r="A11" s="2248" t="s">
        <v>162</v>
      </c>
      <c r="B11" s="2249"/>
      <c r="C11" s="2249"/>
      <c r="D11" s="2249"/>
      <c r="E11" s="2250"/>
      <c r="F11" s="771" t="s">
        <v>907</v>
      </c>
      <c r="G11" s="772"/>
      <c r="H11" s="765"/>
      <c r="I11" s="765"/>
      <c r="J11" s="766"/>
      <c r="K11" s="774"/>
    </row>
    <row r="12" spans="1:11" ht="13.5" thickBot="1" x14ac:dyDescent="0.25">
      <c r="A12" s="2275" t="s">
        <v>961</v>
      </c>
      <c r="B12" s="2276"/>
      <c r="C12" s="2276"/>
      <c r="D12" s="2276"/>
      <c r="E12" s="2277"/>
      <c r="F12" s="1779"/>
      <c r="G12" s="1780">
        <f>SUM(G5:G11)</f>
        <v>0</v>
      </c>
      <c r="H12" s="1780">
        <f>SUM(H5:H11)</f>
        <v>28687</v>
      </c>
      <c r="I12" s="1780">
        <f>SUM(I5:I11)</f>
        <v>0</v>
      </c>
      <c r="J12" s="1780">
        <f>SUM(J5:J11)</f>
        <v>0</v>
      </c>
      <c r="K12" s="1780">
        <f>SUM(K5:K11)</f>
        <v>17865</v>
      </c>
    </row>
    <row r="13" spans="1:11" ht="13.5" thickTop="1" x14ac:dyDescent="0.2">
      <c r="A13" s="2272" t="s">
        <v>388</v>
      </c>
      <c r="B13" s="2273"/>
      <c r="C13" s="2273"/>
      <c r="D13" s="2273"/>
      <c r="E13" s="2274"/>
      <c r="F13" s="786"/>
      <c r="G13" s="787"/>
      <c r="H13" s="788"/>
      <c r="I13" s="789"/>
      <c r="J13" s="789"/>
      <c r="K13" s="789"/>
    </row>
    <row r="14" spans="1:11" x14ac:dyDescent="0.2">
      <c r="A14" s="2255" t="s">
        <v>476</v>
      </c>
      <c r="B14" s="2255"/>
      <c r="C14" s="2255"/>
      <c r="D14" s="2255"/>
      <c r="E14" s="2256"/>
      <c r="F14" s="790" t="s">
        <v>909</v>
      </c>
      <c r="G14" s="783"/>
      <c r="H14" s="765">
        <v>28687</v>
      </c>
      <c r="I14" s="772"/>
      <c r="J14" s="774"/>
      <c r="K14" s="766">
        <v>17865</v>
      </c>
    </row>
    <row r="15" spans="1:11" x14ac:dyDescent="0.2">
      <c r="A15" s="2249" t="s">
        <v>4</v>
      </c>
      <c r="B15" s="2249"/>
      <c r="C15" s="2249"/>
      <c r="D15" s="2249"/>
      <c r="E15" s="2250"/>
      <c r="F15" s="790" t="s">
        <v>910</v>
      </c>
      <c r="G15" s="772"/>
      <c r="H15" s="765"/>
      <c r="I15" s="765"/>
      <c r="J15" s="766"/>
      <c r="K15" s="766"/>
    </row>
    <row r="16" spans="1:11" x14ac:dyDescent="0.2">
      <c r="A16" s="2249" t="s">
        <v>316</v>
      </c>
      <c r="B16" s="2249"/>
      <c r="C16" s="2249"/>
      <c r="D16" s="2249"/>
      <c r="E16" s="2250"/>
      <c r="F16" s="790" t="s">
        <v>980</v>
      </c>
      <c r="G16" s="773"/>
      <c r="H16" s="768"/>
      <c r="I16" s="768"/>
      <c r="J16" s="770"/>
      <c r="K16" s="770"/>
    </row>
    <row r="17" spans="1:11" x14ac:dyDescent="0.2">
      <c r="A17" s="2280" t="s">
        <v>992</v>
      </c>
      <c r="B17" s="2280"/>
      <c r="C17" s="2280"/>
      <c r="D17" s="2280"/>
      <c r="E17" s="2281"/>
      <c r="F17" s="791"/>
      <c r="G17" s="792"/>
      <c r="H17" s="793"/>
      <c r="I17" s="793"/>
      <c r="J17" s="794"/>
      <c r="K17" s="795"/>
    </row>
    <row r="18" spans="1:11" x14ac:dyDescent="0.2">
      <c r="A18" s="2259" t="s">
        <v>386</v>
      </c>
      <c r="B18" s="2260"/>
      <c r="C18" s="2260"/>
      <c r="D18" s="2260"/>
      <c r="E18" s="2261"/>
      <c r="F18" s="790" t="s">
        <v>989</v>
      </c>
      <c r="G18" s="783"/>
      <c r="H18" s="783"/>
      <c r="I18" s="783"/>
      <c r="J18" s="766"/>
      <c r="K18" s="796"/>
    </row>
    <row r="19" spans="1:11" ht="21.75" customHeight="1" x14ac:dyDescent="0.2">
      <c r="A19" s="2257" t="s">
        <v>1914</v>
      </c>
      <c r="B19" s="2257"/>
      <c r="C19" s="2257"/>
      <c r="D19" s="2257"/>
      <c r="E19" s="2258"/>
      <c r="F19" s="790" t="s">
        <v>990</v>
      </c>
      <c r="G19" s="783"/>
      <c r="H19" s="783"/>
      <c r="I19" s="783"/>
      <c r="J19" s="766"/>
      <c r="K19" s="796"/>
    </row>
    <row r="20" spans="1:11" x14ac:dyDescent="0.2">
      <c r="A20" s="2259" t="s">
        <v>1919</v>
      </c>
      <c r="B20" s="2260"/>
      <c r="C20" s="2260"/>
      <c r="D20" s="2260"/>
      <c r="E20" s="2261"/>
      <c r="F20" s="790" t="s">
        <v>991</v>
      </c>
      <c r="G20" s="783"/>
      <c r="H20" s="783"/>
      <c r="I20" s="783"/>
      <c r="J20" s="766"/>
      <c r="K20" s="796"/>
    </row>
    <row r="21" spans="1:11" ht="13.5" thickBot="1" x14ac:dyDescent="0.25">
      <c r="A21" s="2278" t="s">
        <v>659</v>
      </c>
      <c r="B21" s="2278"/>
      <c r="C21" s="2278"/>
      <c r="D21" s="2278"/>
      <c r="E21" s="2278"/>
      <c r="F21" s="1781"/>
      <c r="G21" s="793"/>
      <c r="H21" s="797"/>
      <c r="I21" s="797"/>
      <c r="J21" s="1782">
        <f>SUM(J18:J20)</f>
        <v>0</v>
      </c>
      <c r="K21" s="794"/>
    </row>
    <row r="22" spans="1:11" ht="13.5" thickTop="1" x14ac:dyDescent="0.2">
      <c r="A22" s="2249" t="s">
        <v>1920</v>
      </c>
      <c r="B22" s="2249"/>
      <c r="C22" s="2249"/>
      <c r="D22" s="2249"/>
      <c r="E22" s="2250"/>
      <c r="F22" s="790" t="s">
        <v>917</v>
      </c>
      <c r="G22" s="783"/>
      <c r="H22" s="765"/>
      <c r="I22" s="765"/>
      <c r="J22" s="798"/>
      <c r="K22" s="766"/>
    </row>
    <row r="23" spans="1:11" ht="13.5" thickBot="1" x14ac:dyDescent="0.25">
      <c r="A23" s="2279" t="s">
        <v>962</v>
      </c>
      <c r="B23" s="2278"/>
      <c r="C23" s="2278"/>
      <c r="D23" s="2278"/>
      <c r="E23" s="2278"/>
      <c r="F23" s="1783"/>
      <c r="G23" s="1780">
        <f>SUM(G14:G16,G21,G22)</f>
        <v>0</v>
      </c>
      <c r="H23" s="1780">
        <f>SUM(H14:H16,H21,H22)</f>
        <v>28687</v>
      </c>
      <c r="I23" s="1780">
        <f>SUM(I14:I16,I21,I22)</f>
        <v>0</v>
      </c>
      <c r="J23" s="1780">
        <f>SUM(J14:J16,J21,J22)</f>
        <v>0</v>
      </c>
      <c r="K23" s="1780">
        <f>SUM(K14:K16,K21,K22)</f>
        <v>17865</v>
      </c>
    </row>
    <row r="24" spans="1:11" ht="14.25" thickTop="1" thickBot="1" x14ac:dyDescent="0.25">
      <c r="A24" s="2279" t="s">
        <v>2022</v>
      </c>
      <c r="B24" s="2278"/>
      <c r="C24" s="2278"/>
      <c r="D24" s="2278"/>
      <c r="E24" s="2278"/>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2"/>
      <c r="I31" s="2253"/>
      <c r="J31" s="2253"/>
      <c r="K31" s="2253"/>
    </row>
    <row r="32" spans="1:11" x14ac:dyDescent="0.2">
      <c r="A32" s="810"/>
      <c r="B32" s="237"/>
      <c r="C32" s="237"/>
      <c r="D32" s="237"/>
      <c r="E32" s="806"/>
      <c r="F32" s="812" t="s">
        <v>561</v>
      </c>
      <c r="G32" s="765"/>
      <c r="H32" s="2254"/>
      <c r="I32" s="2253"/>
      <c r="J32" s="2253"/>
      <c r="K32" s="2253"/>
    </row>
    <row r="33" spans="1:11" ht="1.5" customHeight="1" x14ac:dyDescent="0.2">
      <c r="A33" s="813" t="s">
        <v>1231</v>
      </c>
      <c r="B33" s="364"/>
      <c r="C33" s="364"/>
      <c r="D33" s="364"/>
      <c r="E33" s="364"/>
      <c r="F33" s="364"/>
      <c r="G33" s="814"/>
      <c r="H33" s="2254"/>
      <c r="I33" s="2253"/>
      <c r="J33" s="2253"/>
      <c r="K33" s="2253"/>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9" t="s">
        <v>562</v>
      </c>
      <c r="B41" s="2262"/>
      <c r="C41" s="2262"/>
      <c r="D41" s="2262"/>
      <c r="E41" s="2262"/>
      <c r="F41" s="226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C30" sqref="C3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2031</v>
      </c>
      <c r="B1" s="2285"/>
      <c r="C1" s="2286"/>
      <c r="D1" s="827"/>
      <c r="E1" s="828"/>
      <c r="F1" s="828"/>
      <c r="G1" s="829"/>
      <c r="H1" s="830"/>
      <c r="I1" s="831"/>
      <c r="J1" s="2282"/>
      <c r="K1" s="2283"/>
      <c r="L1" s="2283"/>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69455</v>
      </c>
      <c r="D5" s="842"/>
      <c r="E5" s="842"/>
      <c r="F5" s="1782">
        <f>(C5+D5)-E5</f>
        <v>69455</v>
      </c>
      <c r="G5" s="838"/>
      <c r="H5" s="843"/>
      <c r="I5" s="843"/>
      <c r="J5" s="843"/>
      <c r="K5" s="794"/>
      <c r="L5" s="1791">
        <f>F5-K5</f>
        <v>69455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17630240</v>
      </c>
      <c r="D8" s="845"/>
      <c r="E8" s="845"/>
      <c r="F8" s="1782">
        <f>(C8+D8)-E8</f>
        <v>17630240</v>
      </c>
      <c r="G8" s="844">
        <v>50</v>
      </c>
      <c r="H8" s="766">
        <v>5163426</v>
      </c>
      <c r="I8" s="766">
        <v>352605</v>
      </c>
      <c r="J8" s="766"/>
      <c r="K8" s="1791">
        <f>(H8+I8)-J8</f>
        <v>5516031</v>
      </c>
      <c r="L8" s="1791">
        <f>F8-K8</f>
        <v>12114209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6516875</v>
      </c>
      <c r="D10" s="847">
        <v>56504</v>
      </c>
      <c r="E10" s="847"/>
      <c r="F10" s="1786">
        <f>(C10+D10)-E10</f>
        <v>6573379</v>
      </c>
      <c r="G10" s="844">
        <v>20</v>
      </c>
      <c r="H10" s="848">
        <v>5943642</v>
      </c>
      <c r="I10" s="848">
        <v>28662</v>
      </c>
      <c r="J10" s="848"/>
      <c r="K10" s="1791">
        <f>(H10+I10)-J10</f>
        <v>5972304</v>
      </c>
      <c r="L10" s="1791">
        <f>F10-K10</f>
        <v>601075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2768203</v>
      </c>
      <c r="D12" s="845">
        <v>5318</v>
      </c>
      <c r="E12" s="845"/>
      <c r="F12" s="1782">
        <f>(C12+D12)-E12</f>
        <v>2773521</v>
      </c>
      <c r="G12" s="844">
        <v>10</v>
      </c>
      <c r="H12" s="766">
        <v>2425729</v>
      </c>
      <c r="I12" s="766">
        <v>34247</v>
      </c>
      <c r="J12" s="766"/>
      <c r="K12" s="1791">
        <f>(H12+I12)-J12</f>
        <v>2459976</v>
      </c>
      <c r="L12" s="1791">
        <f>F12-K12</f>
        <v>313545</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26984773</v>
      </c>
      <c r="D16" s="1782">
        <f>SUM(D3,D5:D6,D8:D10,D12:D15)</f>
        <v>61822</v>
      </c>
      <c r="E16" s="1782">
        <f>SUM(E3,E5:E6,E8:E10,E12:E15)</f>
        <v>0</v>
      </c>
      <c r="F16" s="1782">
        <f>SUM(F3,F5:F6,F8:F10,F12:F15)</f>
        <v>27046595</v>
      </c>
      <c r="G16" s="844"/>
      <c r="H16" s="1782">
        <f>SUM(H3,H6,H8:H10,H12:H14,)</f>
        <v>13532797</v>
      </c>
      <c r="I16" s="1782">
        <f>SUM(I3,I6,I8:I10,I12:I14,)</f>
        <v>415514</v>
      </c>
      <c r="J16" s="1782">
        <f>SUM(J3,J6,J8:J10,J12:J14,)</f>
        <v>0</v>
      </c>
      <c r="K16" s="1782">
        <f>(H16+I16)-J16</f>
        <v>13948311</v>
      </c>
      <c r="L16" s="1782">
        <f>F16-K16</f>
        <v>13098284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110912</v>
      </c>
      <c r="G17" s="838">
        <v>10</v>
      </c>
      <c r="H17" s="770"/>
      <c r="I17" s="1791">
        <f>F17/G17</f>
        <v>11091.2</v>
      </c>
      <c r="J17" s="770"/>
      <c r="K17" s="796"/>
      <c r="L17" s="796"/>
    </row>
    <row r="18" spans="1:12" ht="14.25" thickTop="1" thickBot="1" x14ac:dyDescent="0.25">
      <c r="A18" s="1789" t="s">
        <v>706</v>
      </c>
      <c r="B18" s="1790"/>
      <c r="C18" s="772"/>
      <c r="D18" s="772"/>
      <c r="E18" s="772"/>
      <c r="F18" s="851"/>
      <c r="G18" s="852"/>
      <c r="H18" s="774"/>
      <c r="I18" s="1782">
        <f>SUM(I16,I17)</f>
        <v>426605.2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0" sqref="C30"/>
      <selection pane="bottomLeft" activeCell="C30" sqref="C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0" t="s">
        <v>1699</v>
      </c>
      <c r="B1" s="2291"/>
      <c r="C1" s="2291"/>
      <c r="D1" s="2291"/>
      <c r="E1" s="2291"/>
      <c r="F1" s="2292"/>
      <c r="G1" s="856"/>
    </row>
    <row r="2" spans="1:7" ht="15" customHeight="1" thickBot="1" x14ac:dyDescent="0.25">
      <c r="A2" s="2293" t="s">
        <v>498</v>
      </c>
      <c r="B2" s="2294"/>
      <c r="C2" s="2294"/>
      <c r="D2" s="2294"/>
      <c r="E2" s="2294"/>
      <c r="F2" s="229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8414046</v>
      </c>
      <c r="G8" s="866"/>
    </row>
    <row r="9" spans="1:7" x14ac:dyDescent="0.2">
      <c r="A9" s="870" t="s">
        <v>480</v>
      </c>
      <c r="B9" s="871" t="s">
        <v>1986</v>
      </c>
      <c r="C9" s="872"/>
      <c r="D9" s="870" t="s">
        <v>522</v>
      </c>
      <c r="E9" s="869"/>
      <c r="F9" s="1935">
        <f>'Expenditures 15-22'!K151</f>
        <v>481736</v>
      </c>
      <c r="G9" s="873"/>
    </row>
    <row r="10" spans="1:7" x14ac:dyDescent="0.2">
      <c r="A10" s="870" t="s">
        <v>520</v>
      </c>
      <c r="B10" s="871" t="s">
        <v>1987</v>
      </c>
      <c r="C10" s="872"/>
      <c r="D10" s="870" t="s">
        <v>522</v>
      </c>
      <c r="E10" s="869"/>
      <c r="F10" s="1935">
        <f>'Expenditures 15-22'!K174</f>
        <v>658507</v>
      </c>
      <c r="G10" s="873"/>
    </row>
    <row r="11" spans="1:7" x14ac:dyDescent="0.2">
      <c r="A11" s="870" t="s">
        <v>481</v>
      </c>
      <c r="B11" s="871" t="s">
        <v>1988</v>
      </c>
      <c r="C11" s="872"/>
      <c r="D11" s="870" t="s">
        <v>522</v>
      </c>
      <c r="E11" s="869"/>
      <c r="F11" s="1935">
        <f>'Expenditures 15-22'!K210</f>
        <v>533431</v>
      </c>
      <c r="G11" s="873"/>
    </row>
    <row r="12" spans="1:7" x14ac:dyDescent="0.2">
      <c r="A12" s="870" t="s">
        <v>482</v>
      </c>
      <c r="B12" s="871" t="s">
        <v>1989</v>
      </c>
      <c r="C12" s="872"/>
      <c r="D12" s="870" t="s">
        <v>522</v>
      </c>
      <c r="E12" s="869"/>
      <c r="F12" s="1935">
        <f>'Expenditures 15-22'!K295</f>
        <v>327413</v>
      </c>
      <c r="G12" s="873"/>
    </row>
    <row r="13" spans="1:7" x14ac:dyDescent="0.2">
      <c r="A13" s="870" t="s">
        <v>108</v>
      </c>
      <c r="B13" s="871" t="s">
        <v>1990</v>
      </c>
      <c r="C13" s="872"/>
      <c r="D13" s="870" t="s">
        <v>522</v>
      </c>
      <c r="E13" s="869"/>
      <c r="F13" s="1935">
        <f>'Expenditures 15-22'!K342</f>
        <v>415821</v>
      </c>
      <c r="G13" s="874"/>
    </row>
    <row r="14" spans="1:7" ht="12" customHeight="1" thickBot="1" x14ac:dyDescent="0.25">
      <c r="A14" s="1792"/>
      <c r="B14" s="1793"/>
      <c r="C14" s="1794"/>
      <c r="D14" s="1795" t="s">
        <v>522</v>
      </c>
      <c r="E14" s="1796" t="s">
        <v>1015</v>
      </c>
      <c r="F14" s="1797">
        <f>SUM(F8:F13)</f>
        <v>10830954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186100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17025</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1200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202072</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18493</v>
      </c>
      <c r="G52" s="866"/>
    </row>
    <row r="53" spans="1:7" x14ac:dyDescent="0.2">
      <c r="A53" s="870" t="s">
        <v>479</v>
      </c>
      <c r="B53" s="870" t="s">
        <v>1551</v>
      </c>
      <c r="C53" s="890">
        <f>'Expenditures 15-22'!B102</f>
        <v>4000</v>
      </c>
      <c r="D53" s="889" t="str">
        <f>'Expenditures 15-22'!A102</f>
        <v>Total Payments to Other Govt Units</v>
      </c>
      <c r="E53" s="869"/>
      <c r="F53" s="1939">
        <f>'Expenditures 15-22'!K102</f>
        <v>86478</v>
      </c>
      <c r="G53" s="866"/>
    </row>
    <row r="54" spans="1:7" x14ac:dyDescent="0.2">
      <c r="A54" s="870" t="s">
        <v>479</v>
      </c>
      <c r="B54" s="870" t="s">
        <v>1552</v>
      </c>
      <c r="C54" s="890" t="s">
        <v>1039</v>
      </c>
      <c r="D54" s="886" t="s">
        <v>1157</v>
      </c>
      <c r="E54" s="869"/>
      <c r="F54" s="1939">
        <f>'Expenditures 15-22'!G114</f>
        <v>5318</v>
      </c>
      <c r="G54" s="866"/>
    </row>
    <row r="55" spans="1:7" x14ac:dyDescent="0.2">
      <c r="A55" s="870" t="s">
        <v>479</v>
      </c>
      <c r="B55" s="870" t="s">
        <v>1553</v>
      </c>
      <c r="C55" s="890" t="s">
        <v>1039</v>
      </c>
      <c r="D55" s="886" t="s">
        <v>309</v>
      </c>
      <c r="E55" s="869"/>
      <c r="F55" s="1939">
        <f>'Expenditures 15-22'!I114</f>
        <v>110912</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56504</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435000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7748</v>
      </c>
      <c r="G67" s="866"/>
    </row>
    <row r="68" spans="1:8" x14ac:dyDescent="0.2">
      <c r="A68" s="870" t="s">
        <v>482</v>
      </c>
      <c r="B68" s="870" t="s">
        <v>1555</v>
      </c>
      <c r="C68" s="887" t="str">
        <f>'Expenditures 15-22'!B218</f>
        <v>1225</v>
      </c>
      <c r="D68" s="893" t="str">
        <f>'Expenditures 15-22'!A218</f>
        <v>Special Education Programs - Pre-K</v>
      </c>
      <c r="E68" s="869"/>
      <c r="F68" s="1939">
        <f>'Expenditures 15-22'!K218</f>
        <v>2901</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124</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1129875</v>
      </c>
      <c r="G76" s="866"/>
    </row>
    <row r="77" spans="1:8" s="894" customFormat="1" ht="12" customHeight="1" thickTop="1" thickBot="1" x14ac:dyDescent="0.25">
      <c r="A77" s="1801"/>
      <c r="B77" s="1798"/>
      <c r="C77" s="1794"/>
      <c r="D77" s="1799" t="s">
        <v>2009</v>
      </c>
      <c r="E77" s="1796"/>
      <c r="F77" s="1802">
        <f>(F14-F76)</f>
        <v>9701079</v>
      </c>
      <c r="G77" s="870"/>
    </row>
    <row r="78" spans="1:8" s="894" customFormat="1" ht="12" customHeight="1" thickTop="1" x14ac:dyDescent="0.2">
      <c r="A78" s="1803"/>
      <c r="B78" s="1798"/>
      <c r="C78" s="1794"/>
      <c r="D78" s="1799" t="s">
        <v>2055</v>
      </c>
      <c r="E78" s="1796"/>
      <c r="F78" s="899">
        <v>906.39</v>
      </c>
      <c r="G78" s="900"/>
      <c r="H78" s="870"/>
    </row>
    <row r="79" spans="1:8" s="894" customFormat="1" ht="12" customHeight="1" thickBot="1" x14ac:dyDescent="0.25">
      <c r="A79" s="1804"/>
      <c r="B79" s="1798"/>
      <c r="C79" s="1794"/>
      <c r="D79" s="1799" t="s">
        <v>2010</v>
      </c>
      <c r="E79" s="1796" t="s">
        <v>1015</v>
      </c>
      <c r="F79" s="1805">
        <f>IF(F78&gt;0,F77/F78," Complete Line 78")</f>
        <v>10702.985469830868</v>
      </c>
      <c r="G79" s="870"/>
    </row>
    <row r="80" spans="1:8" s="894" customFormat="1" ht="8.25" customHeight="1" thickTop="1" x14ac:dyDescent="0.2">
      <c r="A80" s="901"/>
      <c r="B80" s="870"/>
      <c r="C80" s="872"/>
      <c r="D80" s="902"/>
      <c r="E80" s="869"/>
      <c r="F80" s="903"/>
      <c r="G80" s="870"/>
    </row>
    <row r="81" spans="1:7" s="894" customFormat="1" ht="12" thickBot="1" x14ac:dyDescent="0.25">
      <c r="A81" s="2287" t="s">
        <v>1167</v>
      </c>
      <c r="B81" s="2288"/>
      <c r="C81" s="2288"/>
      <c r="D81" s="2288"/>
      <c r="E81" s="2288"/>
      <c r="F81" s="228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127639</v>
      </c>
      <c r="G94" s="913"/>
    </row>
    <row r="95" spans="1:7" x14ac:dyDescent="0.2">
      <c r="A95" s="909" t="s">
        <v>142</v>
      </c>
      <c r="B95" s="909" t="s">
        <v>177</v>
      </c>
      <c r="C95" s="911">
        <v>1700</v>
      </c>
      <c r="D95" s="919" t="str">
        <f>'Revenues 9-14'!A82</f>
        <v>Total District/School Activity Income</v>
      </c>
      <c r="E95" s="907"/>
      <c r="F95" s="1811">
        <f>SUM('Revenues 9-14'!C82,'Revenues 9-14'!D82)</f>
        <v>29766</v>
      </c>
      <c r="G95" s="913"/>
    </row>
    <row r="96" spans="1:7" x14ac:dyDescent="0.2">
      <c r="A96" s="909" t="s">
        <v>479</v>
      </c>
      <c r="B96" s="909" t="s">
        <v>178</v>
      </c>
      <c r="C96" s="911">
        <f>'Revenues 9-14'!B84</f>
        <v>1811</v>
      </c>
      <c r="D96" s="912" t="str">
        <f>'Revenues 9-14'!A84</f>
        <v>Rentals - Regular Textbooks</v>
      </c>
      <c r="E96" s="907"/>
      <c r="F96" s="1811">
        <f>'Revenues 9-14'!C84</f>
        <v>41208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212932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1320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4928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12420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389929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303675</v>
      </c>
      <c r="G129" s="931"/>
    </row>
    <row r="130" spans="1:7" x14ac:dyDescent="0.2">
      <c r="A130" s="928" t="s">
        <v>689</v>
      </c>
      <c r="B130" s="928" t="s">
        <v>804</v>
      </c>
      <c r="C130" s="933">
        <v>4300</v>
      </c>
      <c r="D130" s="934" t="str">
        <f>'Revenues 9-14'!A211</f>
        <v>Total Title I</v>
      </c>
      <c r="E130" s="907"/>
      <c r="F130" s="1811">
        <f>SUM('Revenues 9-14'!C211,'Revenues 9-14'!D211,'Revenues 9-14'!F211,'Revenues 9-14'!G211)</f>
        <v>409465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241434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6257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19364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35716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18008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3000</v>
      </c>
      <c r="G174" s="928"/>
    </row>
    <row r="175" spans="1:7" x14ac:dyDescent="0.2">
      <c r="A175" s="1944" t="s">
        <v>5</v>
      </c>
      <c r="B175" s="1945" t="s">
        <v>2054</v>
      </c>
      <c r="C175" s="1946">
        <v>3100</v>
      </c>
      <c r="D175" s="1947" t="s">
        <v>2057</v>
      </c>
      <c r="E175" s="907"/>
      <c r="F175" s="1931">
        <v>360857</v>
      </c>
      <c r="G175" s="928"/>
    </row>
    <row r="176" spans="1:7" x14ac:dyDescent="0.2">
      <c r="A176" s="1944" t="s">
        <v>685</v>
      </c>
      <c r="B176" s="1945" t="s">
        <v>2054</v>
      </c>
      <c r="C176" s="1946">
        <v>3300</v>
      </c>
      <c r="D176" s="1947" t="s">
        <v>2058</v>
      </c>
      <c r="E176" s="907"/>
      <c r="F176" s="1931">
        <v>141</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2219559</v>
      </c>
    </row>
    <row r="179" spans="1:7" ht="12" customHeight="1" x14ac:dyDescent="0.2">
      <c r="A179" s="1792"/>
      <c r="B179" s="1806"/>
      <c r="C179" s="1807"/>
      <c r="D179" s="1808" t="s">
        <v>2012</v>
      </c>
      <c r="E179" s="1809"/>
      <c r="F179" s="1811">
        <f>'PCTC-OEPP 27-28'!F77-F178</f>
        <v>7481520</v>
      </c>
    </row>
    <row r="180" spans="1:7" ht="12" customHeight="1" x14ac:dyDescent="0.2">
      <c r="A180" s="1792"/>
      <c r="B180" s="1806"/>
      <c r="C180" s="1807"/>
      <c r="D180" s="1808" t="s">
        <v>1922</v>
      </c>
      <c r="E180" s="1809"/>
      <c r="F180" s="1811">
        <f>'Cap Outlay Deprec 26'!I18</f>
        <v>426605.2</v>
      </c>
    </row>
    <row r="181" spans="1:7" ht="12" customHeight="1" x14ac:dyDescent="0.2">
      <c r="A181" s="1792"/>
      <c r="B181" s="1806"/>
      <c r="C181" s="1807"/>
      <c r="D181" s="1808" t="s">
        <v>2013</v>
      </c>
      <c r="E181" s="1809"/>
      <c r="F181" s="1811">
        <f>F179+F180</f>
        <v>7908125.2000000002</v>
      </c>
    </row>
    <row r="182" spans="1:7" ht="12" customHeight="1" x14ac:dyDescent="0.2">
      <c r="A182" s="1792"/>
      <c r="B182" s="1812"/>
      <c r="C182" s="1807"/>
      <c r="D182" s="1808" t="str">
        <f>D78</f>
        <v>9 Month ADA from District Average Daily Attendance/Prior General State Aid Inquiry 2017-2018</v>
      </c>
      <c r="E182" s="1809"/>
      <c r="F182" s="1813">
        <f>'PCTC-OEPP 27-28'!F78</f>
        <v>906.39</v>
      </c>
      <c r="G182" s="931"/>
    </row>
    <row r="183" spans="1:7" ht="12" customHeight="1" thickBot="1" x14ac:dyDescent="0.25">
      <c r="A183" s="1792"/>
      <c r="B183" s="1812"/>
      <c r="C183" s="1807"/>
      <c r="D183" s="1808" t="s">
        <v>2014</v>
      </c>
      <c r="E183" s="1809" t="s">
        <v>1626</v>
      </c>
      <c r="F183" s="1814">
        <f>F181/F182</f>
        <v>8724.8592769117058</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C30" sqref="C30"/>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1" t="s">
        <v>1923</v>
      </c>
      <c r="B4" s="2302"/>
      <c r="C4" s="2302"/>
      <c r="D4" s="2302"/>
      <c r="E4" s="2302"/>
      <c r="F4" s="2302"/>
      <c r="G4" s="2303"/>
    </row>
    <row r="5" spans="1:7" x14ac:dyDescent="0.25">
      <c r="A5" s="2304"/>
      <c r="B5" s="2305"/>
      <c r="C5" s="2305"/>
      <c r="D5" s="2305"/>
      <c r="E5" s="2305"/>
      <c r="F5" s="2305"/>
      <c r="G5" s="2306"/>
    </row>
    <row r="6" spans="1:7" ht="18.75" x14ac:dyDescent="0.25">
      <c r="A6" s="1556" t="s">
        <v>1924</v>
      </c>
      <c r="B6" s="1557"/>
      <c r="C6" s="1557"/>
      <c r="D6" s="1557"/>
      <c r="E6" s="1557"/>
      <c r="F6" s="1557"/>
      <c r="G6" s="1558"/>
    </row>
    <row r="7" spans="1:7" ht="30.75" customHeight="1" x14ac:dyDescent="0.25">
      <c r="A7" s="2307" t="s">
        <v>2071</v>
      </c>
      <c r="B7" s="2308"/>
      <c r="C7" s="2308"/>
      <c r="D7" s="2308"/>
      <c r="E7" s="2308"/>
      <c r="F7" s="2308"/>
      <c r="G7" s="2309"/>
    </row>
    <row r="8" spans="1:7" ht="15.75" customHeight="1" x14ac:dyDescent="0.25">
      <c r="A8" s="2310" t="s">
        <v>2020</v>
      </c>
      <c r="B8" s="2311"/>
      <c r="C8" s="2311"/>
      <c r="D8" s="2311"/>
      <c r="E8" s="2311"/>
      <c r="F8" s="2311"/>
      <c r="G8" s="2312"/>
    </row>
    <row r="9" spans="1:7" ht="35.25" customHeight="1" x14ac:dyDescent="0.25">
      <c r="A9" s="2307" t="s">
        <v>2074</v>
      </c>
      <c r="B9" s="2308"/>
      <c r="C9" s="2308"/>
      <c r="D9" s="2308"/>
      <c r="E9" s="2308"/>
      <c r="F9" s="2308"/>
      <c r="G9" s="2309"/>
    </row>
    <row r="10" spans="1:7" ht="15" customHeight="1" x14ac:dyDescent="0.25">
      <c r="A10" s="1559" t="s">
        <v>1925</v>
      </c>
      <c r="B10" s="1560"/>
      <c r="C10" s="1560"/>
      <c r="D10" s="1560"/>
      <c r="E10" s="1560"/>
      <c r="F10" s="1560"/>
      <c r="G10" s="1561"/>
    </row>
    <row r="11" spans="1:7" ht="17.25" customHeight="1" x14ac:dyDescent="0.25">
      <c r="A11" s="2307" t="s">
        <v>2073</v>
      </c>
      <c r="B11" s="2308"/>
      <c r="C11" s="2308"/>
      <c r="D11" s="2308"/>
      <c r="E11" s="2308"/>
      <c r="F11" s="2308"/>
      <c r="G11" s="2309"/>
    </row>
    <row r="12" spans="1:7" ht="15" customHeight="1" x14ac:dyDescent="0.25">
      <c r="A12" s="1559" t="s">
        <v>1930</v>
      </c>
      <c r="B12" s="1560"/>
      <c r="C12" s="1560"/>
      <c r="D12" s="1560"/>
      <c r="E12" s="1560"/>
      <c r="F12" s="1560"/>
      <c r="G12" s="1561"/>
    </row>
    <row r="13" spans="1:7" ht="32.25" customHeight="1" x14ac:dyDescent="0.25">
      <c r="A13" s="2298" t="s">
        <v>1931</v>
      </c>
      <c r="B13" s="2299"/>
      <c r="C13" s="2299"/>
      <c r="D13" s="2299"/>
      <c r="E13" s="2299"/>
      <c r="F13" s="2299"/>
      <c r="G13" s="2300"/>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2225</v>
      </c>
      <c r="B17" s="1970" t="s">
        <v>2226</v>
      </c>
      <c r="C17" s="1971" t="s">
        <v>2219</v>
      </c>
      <c r="D17" s="1867">
        <v>356762</v>
      </c>
      <c r="E17" s="1562">
        <f t="shared" ref="E17:E141" si="1">IF(D17&lt;=25000,D17,IF(D17&gt;25000,25000,0))</f>
        <v>25000</v>
      </c>
      <c r="F17" s="1815">
        <f t="shared" si="0"/>
        <v>25000</v>
      </c>
      <c r="G17" s="1816">
        <f>IF(F17=0,0,D17-F17)</f>
        <v>331762</v>
      </c>
      <c r="H17" s="1669"/>
    </row>
    <row r="18" spans="1:8" ht="30" x14ac:dyDescent="0.25">
      <c r="A18" s="1956" t="s">
        <v>2228</v>
      </c>
      <c r="B18" s="1970" t="s">
        <v>2229</v>
      </c>
      <c r="C18" s="1971" t="s">
        <v>2227</v>
      </c>
      <c r="D18" s="1867">
        <v>24294</v>
      </c>
      <c r="E18" s="1562">
        <f t="shared" ref="E18:E140" si="2">IF(D18&lt;=25000,D18,IF(D18&gt;25000,25000,0))</f>
        <v>24294</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24294</v>
      </c>
      <c r="G18" s="1816">
        <f t="shared" ref="G18:G140" si="4">IF(F18=0,0,D18-F18)</f>
        <v>0</v>
      </c>
    </row>
    <row r="19" spans="1:8" x14ac:dyDescent="0.25">
      <c r="A19" s="1956" t="s">
        <v>2230</v>
      </c>
      <c r="B19" s="1970" t="s">
        <v>2231</v>
      </c>
      <c r="C19" s="1971" t="s">
        <v>2085</v>
      </c>
      <c r="D19" s="1867">
        <v>12300</v>
      </c>
      <c r="E19" s="1562">
        <f t="shared" si="2"/>
        <v>12300</v>
      </c>
      <c r="F19" s="1815">
        <f t="shared" si="3"/>
        <v>12300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393356</v>
      </c>
      <c r="E141" s="1563">
        <f t="shared" si="1"/>
        <v>25000</v>
      </c>
      <c r="F141" s="1817">
        <f>SUM(F17:F140)</f>
        <v>61594</v>
      </c>
      <c r="G141" s="1818">
        <f>SUM(G17:G140)</f>
        <v>331762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30" sqref="C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3" t="s">
        <v>1778</v>
      </c>
      <c r="B5" s="2314"/>
      <c r="C5" s="2314"/>
      <c r="D5" s="2314"/>
      <c r="E5" s="2314"/>
      <c r="F5" s="2314"/>
      <c r="G5" s="231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232017</v>
      </c>
      <c r="F10" s="975"/>
      <c r="G10" s="976"/>
      <c r="H10" s="162"/>
      <c r="I10" s="162"/>
    </row>
    <row r="11" spans="1:9" s="669" customFormat="1" ht="22.5" customHeight="1" x14ac:dyDescent="0.2">
      <c r="A11" s="2318" t="s">
        <v>1942</v>
      </c>
      <c r="B11" s="2319"/>
      <c r="C11" s="2319"/>
      <c r="D11" s="2320"/>
      <c r="E11" s="978">
        <v>40731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5262650</v>
      </c>
      <c r="F19" s="1822"/>
      <c r="G19" s="1824">
        <f>'Expenditures 15-22'!K33-SUM('Expenditures 15-22'!G33,'Expenditures 15-22'!I33)+'Expenditures 15-22'!D229</f>
        <v>5262650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696195</v>
      </c>
      <c r="F21" s="1825"/>
      <c r="G21" s="1828">
        <f>'Expenditures 15-22'!K42-SUM('Expenditures 15-22'!G42,'Expenditures 15-22'!I42)+'Expenditures 15-22'!K120-SUM('Expenditures 15-22'!G120,'Expenditures 15-22'!I120)+'Expenditures 15-22'!K180-SUM('Expenditures 15-22'!G180,'Expenditures 15-22'!I180)+'Expenditures 15-22'!D238</f>
        <v>696195</v>
      </c>
      <c r="H21" s="988"/>
      <c r="I21" s="162"/>
    </row>
    <row r="22" spans="1:9" s="669" customFormat="1" ht="12" customHeight="1" x14ac:dyDescent="0.2">
      <c r="A22" s="995" t="s">
        <v>585</v>
      </c>
      <c r="B22" s="996"/>
      <c r="C22" s="994">
        <v>2200</v>
      </c>
      <c r="D22" s="1825"/>
      <c r="E22" s="1827">
        <f>'Expenditures 15-22'!K47-SUM('Expenditures 15-22'!G47,'Expenditures 15-22'!I47)+'Expenditures 15-22'!D243</f>
        <v>171091</v>
      </c>
      <c r="F22" s="1825"/>
      <c r="G22" s="1828">
        <f>'Expenditures 15-22'!K47-SUM('Expenditures 15-22'!G47,'Expenditures 15-22'!I47)+'Expenditures 15-22'!D243</f>
        <v>171091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939582</v>
      </c>
      <c r="F23" s="1825"/>
      <c r="G23" s="1827">
        <f>'Expenditures 15-22'!K53-SUM('Expenditures 15-22'!G53,'Expenditures 15-22'!I53)+'Expenditures 15-22'!D257+'Expenditures 15-22'!K330-SUM('Expenditures 15-22'!G330,'Expenditures 15-22'!I330)</f>
        <v>939582</v>
      </c>
      <c r="H23" s="988"/>
      <c r="I23" s="162"/>
    </row>
    <row r="24" spans="1:9" s="669" customFormat="1" ht="12" customHeight="1" x14ac:dyDescent="0.2">
      <c r="A24" s="995" t="s">
        <v>587</v>
      </c>
      <c r="B24" s="996"/>
      <c r="C24" s="994">
        <v>2400</v>
      </c>
      <c r="D24" s="1825"/>
      <c r="E24" s="1827">
        <f>'Expenditures 15-22'!K57-SUM('Expenditures 15-22'!G57,'Expenditures 15-22'!I57)+'Expenditures 15-22'!D261</f>
        <v>530099</v>
      </c>
      <c r="F24" s="1825"/>
      <c r="G24" s="1828">
        <f>'Expenditures 15-22'!K57-SUM('Expenditures 15-22'!G57,'Expenditures 15-22'!I57)+'Expenditures 15-22'!D261</f>
        <v>530099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96878</v>
      </c>
      <c r="E27" s="1827">
        <f>E8</f>
        <v>0</v>
      </c>
      <c r="F27" s="1827">
        <f>'Expenditures 15-22'!K60-SUM('Expenditures 15-22'!G60,'Expenditures 15-22'!I60)+'Expenditures 15-22'!D264-E8</f>
        <v>96878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1044766</v>
      </c>
      <c r="F28" s="1829">
        <f>'Expenditures 15-22'!K61-SUM('Expenditures 15-22'!G61,'Expenditures 15-22'!I61)+'Expenditures 15-22'!K124-SUM('Expenditures 15-22'!G124,'Expenditures 15-22'!I124)+'Expenditures 15-22'!D266-E9</f>
        <v>1044766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540112</v>
      </c>
      <c r="F29" s="1825"/>
      <c r="G29" s="1828">
        <f>'Expenditures 15-22'!K62-SUM('Expenditures 15-22'!G62,'Expenditures 15-22'!I62)+'Expenditures 15-22'!K125-SUM('Expenditures 15-22'!G125,'Expenditures 15-22'!I125)+'Expenditures 15-22'!K182-SUM('Expenditures 15-22'!G182,'Expenditures 15-22'!I182)+'Expenditures 15-22'!D267</f>
        <v>540112</v>
      </c>
      <c r="H29" s="986"/>
    </row>
    <row r="30" spans="1:9" ht="12" customHeight="1" x14ac:dyDescent="0.2">
      <c r="A30" s="995" t="s">
        <v>102</v>
      </c>
      <c r="B30" s="998"/>
      <c r="C30" s="994">
        <v>2560</v>
      </c>
      <c r="D30" s="1825"/>
      <c r="E30" s="1827">
        <f>'Expenditures 15-22'!K63-SUM('Expenditures 15-22'!G63,'Expenditures 15-22'!I63)+'Expenditures 15-22'!D268-E10</f>
        <v>201811</v>
      </c>
      <c r="F30" s="1825"/>
      <c r="G30" s="1827">
        <f>'Expenditures 15-22'!K63-SUM('Expenditures 15-22'!G63,'Expenditures 15-22'!I63)+'Expenditures 15-22'!D268-E10</f>
        <v>201811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1540</v>
      </c>
      <c r="F34" s="1825"/>
      <c r="G34" s="1827">
        <f>'Expenditures 15-22'!K68-SUM('Expenditures 15-22'!G68,'Expenditures 15-22'!I68)+'Expenditures 15-22'!D273</f>
        <v>1540</v>
      </c>
    </row>
    <row r="35" spans="1:7" ht="12" customHeight="1" x14ac:dyDescent="0.2">
      <c r="A35" s="995" t="s">
        <v>1121</v>
      </c>
      <c r="B35" s="998"/>
      <c r="C35" s="994">
        <v>2630</v>
      </c>
      <c r="D35" s="1825"/>
      <c r="E35" s="1827">
        <f>'Expenditures 15-22'!K69-SUM('Expenditures 15-22'!G69,'Expenditures 15-22'!I69)+'Expenditures 15-22'!D274</f>
        <v>151717</v>
      </c>
      <c r="F35" s="1825"/>
      <c r="G35" s="1827">
        <f>'Expenditures 15-22'!K69-SUM('Expenditures 15-22'!G69,'Expenditures 15-22'!I69)+'Expenditures 15-22'!D274</f>
        <v>151717</v>
      </c>
    </row>
    <row r="36" spans="1:7" ht="12" customHeight="1" x14ac:dyDescent="0.2">
      <c r="A36" s="995" t="s">
        <v>423</v>
      </c>
      <c r="B36" s="998"/>
      <c r="C36" s="994">
        <v>2640</v>
      </c>
      <c r="D36" s="1827">
        <f>'Expenditures 15-22'!K70-SUM('Expenditures 15-22'!G70,'Expenditures 15-22'!I70)+'Expenditures 15-22'!D275-E13</f>
        <v>4620</v>
      </c>
      <c r="E36" s="1827">
        <f>E13</f>
        <v>0</v>
      </c>
      <c r="F36" s="1827">
        <f>'Expenditures 15-22'!K70-SUM('Expenditures 15-22'!G70,'Expenditures 15-22'!I70)+'Expenditures 15-22'!D275-E13</f>
        <v>4620</v>
      </c>
      <c r="G36" s="1827">
        <f>E13</f>
        <v>0</v>
      </c>
    </row>
    <row r="37" spans="1:7" ht="12" customHeight="1" x14ac:dyDescent="0.2">
      <c r="A37" s="995" t="s">
        <v>424</v>
      </c>
      <c r="B37" s="998"/>
      <c r="C37" s="994">
        <v>2660</v>
      </c>
      <c r="D37" s="1827">
        <f>'Expenditures 15-22'!K71-SUM('Expenditures 15-22'!G71,'Expenditures 15-22'!I71)+'Expenditures 15-22'!D276-E14</f>
        <v>15994</v>
      </c>
      <c r="E37" s="1827">
        <f>E14</f>
        <v>0</v>
      </c>
      <c r="F37" s="1827">
        <f>'Expenditures 15-22'!K71-SUM('Expenditures 15-22'!G71,'Expenditures 15-22'!I71)+'Expenditures 15-22'!D276-E14</f>
        <v>15994</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5546</v>
      </c>
      <c r="F38" s="1825"/>
      <c r="G38" s="1827">
        <f>'Expenditures 15-22'!K73-SUM('Expenditures 15-22'!G73,'Expenditures 15-22'!I73)+'Expenditures 15-22'!K128-SUM('Expenditures 15-22'!G128,'Expenditures 15-22'!I128)+'Expenditures 15-22'!K183-SUM('Expenditures 15-22'!G183,'Expenditures 15-22'!I183)+'Expenditures 15-22'!D278</f>
        <v>5546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18617</v>
      </c>
      <c r="F39" s="1825"/>
      <c r="G39" s="1827">
        <f>'Expenditures 15-22'!K75-SUM('Expenditures 15-22'!G75,'Expenditures 15-22'!I75)+'Expenditures 15-22'!K130-SUM('Expenditures 15-22'!G130,'Expenditures 15-22'!I130)+'Expenditures 15-22'!K185-SUM('Expenditures 15-22'!G185,'Expenditures 15-22'!I185)+'Expenditures 15-22'!D280</f>
        <v>18617</v>
      </c>
    </row>
    <row r="40" spans="1:7" ht="12" customHeight="1" x14ac:dyDescent="0.2">
      <c r="A40" s="991" t="s">
        <v>1928</v>
      </c>
      <c r="B40" s="992"/>
      <c r="C40" s="994"/>
      <c r="D40" s="1825"/>
      <c r="E40" s="1829">
        <f>-'Contracts Paid in CY 29'!G141</f>
        <v>-331762</v>
      </c>
      <c r="F40" s="1825"/>
      <c r="G40" s="1829">
        <f>-'Contracts Paid in CY 29'!G141</f>
        <v>-331762</v>
      </c>
    </row>
    <row r="41" spans="1:7" ht="12" customHeight="1" x14ac:dyDescent="0.2">
      <c r="A41" s="999" t="s">
        <v>158</v>
      </c>
      <c r="B41" s="1000"/>
      <c r="C41" s="1001"/>
      <c r="D41" s="1829">
        <f>SUM(D19:D39)</f>
        <v>117492</v>
      </c>
      <c r="E41" s="1829">
        <f>SUM(E19:E40)</f>
        <v>9231964</v>
      </c>
      <c r="F41" s="1829">
        <f>SUM(F19:F39)</f>
        <v>1162258</v>
      </c>
      <c r="G41" s="1829">
        <f>SUM(G19:G40)</f>
        <v>8187198</v>
      </c>
    </row>
    <row r="42" spans="1:7" x14ac:dyDescent="0.2">
      <c r="A42" s="988"/>
      <c r="B42" s="162"/>
      <c r="C42" s="1002"/>
      <c r="D42" s="2316" t="s">
        <v>543</v>
      </c>
      <c r="E42" s="2317"/>
      <c r="F42" s="1003" t="s">
        <v>544</v>
      </c>
      <c r="G42" s="1004"/>
    </row>
    <row r="43" spans="1:7" ht="12" customHeight="1" x14ac:dyDescent="0.2">
      <c r="A43" s="988"/>
      <c r="B43" s="162"/>
      <c r="C43" s="1002"/>
      <c r="D43" s="1830" t="s">
        <v>493</v>
      </c>
      <c r="E43" s="1831">
        <f>D41</f>
        <v>117492</v>
      </c>
      <c r="F43" s="1830" t="s">
        <v>495</v>
      </c>
      <c r="G43" s="1831">
        <f>F41</f>
        <v>1162258</v>
      </c>
    </row>
    <row r="44" spans="1:7" ht="12" customHeight="1" x14ac:dyDescent="0.2">
      <c r="A44" s="988"/>
      <c r="B44" s="162"/>
      <c r="C44" s="1002"/>
      <c r="D44" s="1830" t="s">
        <v>494</v>
      </c>
      <c r="E44" s="1831">
        <f>E41</f>
        <v>9231964</v>
      </c>
      <c r="F44" s="1830" t="s">
        <v>494</v>
      </c>
      <c r="G44" s="1831">
        <f>G41</f>
        <v>8187198</v>
      </c>
    </row>
    <row r="45" spans="1:7" ht="12" customHeight="1" x14ac:dyDescent="0.2">
      <c r="A45" s="988"/>
      <c r="B45" s="162"/>
      <c r="C45" s="162"/>
      <c r="D45" s="1832" t="s">
        <v>1063</v>
      </c>
      <c r="E45" s="1833">
        <f>(E43/E44)</f>
        <v>1.2726652746912792E-2</v>
      </c>
      <c r="F45" s="1832" t="s">
        <v>1063</v>
      </c>
      <c r="G45" s="1833">
        <f>(G43/G44)</f>
        <v>0.14196041185274866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30" sqref="C30"/>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5" t="s">
        <v>1446</v>
      </c>
      <c r="B1" s="2335"/>
      <c r="C1" s="2335"/>
      <c r="D1" s="2335"/>
      <c r="E1" s="2335"/>
      <c r="F1" s="2335"/>
    </row>
    <row r="2" spans="1:10" x14ac:dyDescent="0.2">
      <c r="A2" s="1912" t="s">
        <v>2044</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6" t="s">
        <v>1627</v>
      </c>
      <c r="B5" s="2337"/>
      <c r="C5" s="2338"/>
      <c r="D5" s="2338"/>
      <c r="E5" s="2338"/>
      <c r="F5" s="2338"/>
    </row>
    <row r="6" spans="1:10" ht="12" customHeight="1" x14ac:dyDescent="0.25">
      <c r="A6" s="1875"/>
      <c r="B6" s="1876"/>
      <c r="C6" s="2339" t="str">
        <f>COVER!A17</f>
        <v>Dupo Community Unit School District No. 196</v>
      </c>
      <c r="D6" s="2339"/>
      <c r="E6" s="2339"/>
      <c r="F6" s="1877"/>
    </row>
    <row r="7" spans="1:10" ht="11.25" customHeight="1" thickBot="1" x14ac:dyDescent="0.3">
      <c r="A7" s="1875"/>
      <c r="B7" s="1876"/>
      <c r="C7" s="2340" t="str">
        <f>COVER!A13</f>
        <v>50-082-1960-26</v>
      </c>
      <c r="D7" s="2340"/>
      <c r="E7" s="2340"/>
      <c r="F7" s="1877"/>
    </row>
    <row r="8" spans="1:10" ht="25.5" customHeight="1" thickBot="1" x14ac:dyDescent="0.25">
      <c r="A8" s="1918" t="s">
        <v>2021</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2084</v>
      </c>
      <c r="D19" s="1890" t="s">
        <v>2084</v>
      </c>
      <c r="E19" s="1893" t="s">
        <v>1231</v>
      </c>
      <c r="F19" s="1892" t="s">
        <v>2218</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2084</v>
      </c>
      <c r="D30" s="1890" t="s">
        <v>2084</v>
      </c>
      <c r="E30" s="1893"/>
      <c r="F30" s="1892" t="s">
        <v>2219</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41"/>
      <c r="D35" s="2341"/>
      <c r="E35" s="2341"/>
      <c r="F35" s="2342"/>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98"/>
      <c r="B39" s="1898"/>
      <c r="C39" s="1898"/>
      <c r="D39" s="1898"/>
      <c r="E39" s="1898"/>
      <c r="F39" s="1898"/>
    </row>
    <row r="40" spans="1:11" s="1895" customFormat="1" ht="12" customHeight="1" x14ac:dyDescent="0.25">
      <c r="A40" s="1899" t="s">
        <v>1458</v>
      </c>
      <c r="B40" s="1900"/>
      <c r="C40" s="2330"/>
      <c r="D40" s="2330"/>
      <c r="E40" s="2330"/>
      <c r="F40" s="2331"/>
      <c r="H40" s="1904"/>
      <c r="I40" s="1904"/>
      <c r="J40" s="1904"/>
      <c r="K40" s="1904"/>
    </row>
    <row r="41" spans="1:11" s="1895" customFormat="1" ht="12" customHeight="1" x14ac:dyDescent="0.25">
      <c r="A41" s="2332"/>
      <c r="B41" s="2333"/>
      <c r="C41" s="2333"/>
      <c r="D41" s="2333"/>
      <c r="E41" s="2333"/>
      <c r="F41" s="2334"/>
      <c r="H41" s="1904"/>
      <c r="I41" s="1904"/>
      <c r="J41" s="1904"/>
      <c r="K41" s="1904"/>
    </row>
    <row r="42" spans="1:11" s="1895" customFormat="1" ht="12" customHeight="1" x14ac:dyDescent="0.25">
      <c r="A42" s="2332"/>
      <c r="B42" s="2333"/>
      <c r="C42" s="2333"/>
      <c r="D42" s="2333"/>
      <c r="E42" s="2333"/>
      <c r="F42" s="2334"/>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0" sqref="C3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8" t="str">
        <f>COVER!A17</f>
        <v>Dupo Community Unit School District No. 196</v>
      </c>
      <c r="J6" s="2349"/>
      <c r="Q6" s="1686"/>
    </row>
    <row r="7" spans="1:17" x14ac:dyDescent="0.2">
      <c r="A7" s="2350" t="s">
        <v>924</v>
      </c>
      <c r="B7" s="2351"/>
      <c r="C7" s="2351"/>
      <c r="D7" s="2351"/>
      <c r="E7" s="2352"/>
      <c r="F7" s="1018"/>
      <c r="G7" s="1010"/>
      <c r="H7" s="1017" t="s">
        <v>390</v>
      </c>
      <c r="I7" s="2353" t="str">
        <f>COVER!A13</f>
        <v>50-082-1960-26</v>
      </c>
      <c r="J7" s="235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4" t="s">
        <v>502</v>
      </c>
      <c r="B11" s="2355"/>
      <c r="C11" s="235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210255</v>
      </c>
      <c r="F12" s="1040"/>
      <c r="G12" s="1834">
        <f t="shared" ref="G12:G18" si="0">SUM(E12:F12)</f>
        <v>210255</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7" t="s">
        <v>7</v>
      </c>
      <c r="C18" s="2358"/>
      <c r="D18" s="235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210255</v>
      </c>
      <c r="F19" s="1836">
        <f t="shared" si="2"/>
        <v>0</v>
      </c>
      <c r="G19" s="1836">
        <f t="shared" si="2"/>
        <v>210255</v>
      </c>
      <c r="H19" s="1836">
        <f t="shared" si="2"/>
        <v>0</v>
      </c>
      <c r="I19" s="1836">
        <f t="shared" si="2"/>
        <v>0</v>
      </c>
      <c r="J19" s="1836">
        <f t="shared" si="2"/>
        <v>0</v>
      </c>
    </row>
    <row r="20" spans="1:10" ht="13.5" thickTop="1" x14ac:dyDescent="0.2">
      <c r="A20" s="1036">
        <v>9</v>
      </c>
      <c r="B20" s="2360" t="s">
        <v>1703</v>
      </c>
      <c r="C20" s="2360"/>
      <c r="D20" s="2361"/>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6"/>
      <c r="D26" s="2366"/>
      <c r="E26" s="1051"/>
      <c r="F26" s="2365"/>
      <c r="G26" s="2365"/>
    </row>
    <row r="27" spans="1:10" x14ac:dyDescent="0.2">
      <c r="B27" s="1048"/>
      <c r="C27" s="1052" t="s">
        <v>1093</v>
      </c>
      <c r="D27" s="1053"/>
      <c r="E27" s="1054"/>
      <c r="F27" s="2362" t="s">
        <v>1589</v>
      </c>
      <c r="G27" s="2362"/>
    </row>
    <row r="28" spans="1:10" ht="28.5" customHeight="1" x14ac:dyDescent="0.2">
      <c r="B28" s="1048"/>
      <c r="C28" s="2364"/>
      <c r="D28" s="2364"/>
      <c r="E28" s="1055"/>
      <c r="F28" s="2364"/>
      <c r="G28" s="2364"/>
    </row>
    <row r="29" spans="1:10" x14ac:dyDescent="0.2">
      <c r="B29" s="1048"/>
      <c r="C29" s="1056" t="s">
        <v>1642</v>
      </c>
      <c r="E29" s="1057"/>
      <c r="F29" s="2363" t="s">
        <v>1590</v>
      </c>
      <c r="G29" s="236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3"/>
    </row>
    <row r="36" spans="1:10" ht="13.5" customHeight="1" x14ac:dyDescent="0.2">
      <c r="B36" s="1062"/>
      <c r="C36" s="2347" t="s">
        <v>1941</v>
      </c>
      <c r="D36" s="2346"/>
      <c r="E36" s="2346"/>
      <c r="F36" s="2346"/>
      <c r="G36" s="2346"/>
      <c r="H36" s="2346"/>
      <c r="I36" s="2346"/>
      <c r="J36" s="1064"/>
    </row>
    <row r="37" spans="1:10" ht="22.5" customHeight="1" x14ac:dyDescent="0.2">
      <c r="C37" s="2346"/>
      <c r="D37" s="2346"/>
      <c r="E37" s="2346"/>
      <c r="F37" s="2346"/>
      <c r="G37" s="2346"/>
      <c r="H37" s="2346"/>
      <c r="I37" s="2346"/>
      <c r="J37" s="1064"/>
    </row>
    <row r="38" spans="1:10" ht="7.5" customHeight="1" x14ac:dyDescent="0.2">
      <c r="C38" s="1063"/>
      <c r="D38" s="1065"/>
      <c r="E38" s="1066"/>
      <c r="F38" s="1067"/>
      <c r="G38" s="1066"/>
    </row>
    <row r="39" spans="1:10" ht="13.5" customHeight="1" x14ac:dyDescent="0.2">
      <c r="B39" s="1062"/>
      <c r="C39" s="2343" t="s">
        <v>937</v>
      </c>
      <c r="D39" s="2344"/>
      <c r="E39" s="2344"/>
      <c r="F39" s="2344"/>
      <c r="G39" s="2344"/>
      <c r="H39" s="2344"/>
      <c r="I39" s="234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30" sqref="C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Dupo Community Unit School District No. 196</v>
      </c>
    </row>
    <row r="65" spans="2:2" x14ac:dyDescent="0.2">
      <c r="B65" s="1071" t="str">
        <f>COVER!A13</f>
        <v>50-082-1960-26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C30" sqref="C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4" t="s">
        <v>1125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715</v>
      </c>
      <c r="B40" s="2081"/>
      <c r="C40" s="2081"/>
      <c r="D40" s="2081"/>
      <c r="E40" s="2081"/>
    </row>
    <row r="41" spans="1:5" x14ac:dyDescent="0.2">
      <c r="A41" s="2082" t="s">
        <v>1706</v>
      </c>
      <c r="B41" s="2082"/>
      <c r="C41" s="2082"/>
      <c r="D41" s="2082"/>
      <c r="E41" s="2082"/>
    </row>
    <row r="42" spans="1:5" ht="12.75" customHeight="1" x14ac:dyDescent="0.2">
      <c r="A42" s="2083" t="s">
        <v>1080</v>
      </c>
      <c r="B42" s="2083"/>
      <c r="C42" s="2083"/>
      <c r="D42" s="2083"/>
      <c r="E42" s="208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0" sqref="C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7" t="s">
        <v>1784</v>
      </c>
      <c r="B18" s="2367"/>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1266825</xdr:colOff>
                <xdr:row>5</xdr:row>
                <xdr:rowOff>66675</xdr:rowOff>
              </from>
              <to>
                <xdr:col>1</xdr:col>
                <xdr:colOff>2181225</xdr:colOff>
                <xdr:row>10</xdr:row>
                <xdr:rowOff>28575</xdr:rowOff>
              </to>
            </anchor>
          </objectPr>
        </oleObject>
      </mc:Choice>
      <mc:Fallback>
        <oleObject progId="Acrobat Document" dvAspect="DVASPECT_ICON" shapeId="39938" r:id="rId6"/>
      </mc:Fallback>
    </mc:AlternateContent>
    <mc:AlternateContent xmlns:mc="http://schemas.openxmlformats.org/markup-compatibility/2006">
      <mc:Choice Requires="x14">
        <oleObject progId="Acrobat Document" dvAspect="DVASPECT_ICON" shapeId="39939" r:id="rId8">
          <objectPr defaultSize="0" r:id="rId9">
            <anchor moveWithCells="1">
              <from>
                <xdr:col>1</xdr:col>
                <xdr:colOff>2581275</xdr:colOff>
                <xdr:row>5</xdr:row>
                <xdr:rowOff>57150</xdr:rowOff>
              </from>
              <to>
                <xdr:col>1</xdr:col>
                <xdr:colOff>3495675</xdr:colOff>
                <xdr:row>10</xdr:row>
                <xdr:rowOff>19050</xdr:rowOff>
              </to>
            </anchor>
          </objectPr>
        </oleObject>
      </mc:Choice>
      <mc:Fallback>
        <oleObject progId="Acrobat Document" dvAspect="DVASPECT_ICON" shapeId="3993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30" sqref="C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75"/>
      <c r="H2" s="1075"/>
    </row>
    <row r="3" spans="1:8" ht="57" customHeight="1" x14ac:dyDescent="0.2">
      <c r="A3" s="2381" t="s">
        <v>1786</v>
      </c>
      <c r="B3" s="2382"/>
      <c r="C3" s="2382"/>
      <c r="D3" s="2382"/>
      <c r="E3" s="2382"/>
      <c r="F3" s="2383"/>
      <c r="G3" s="1075"/>
      <c r="H3" s="1075"/>
    </row>
    <row r="4" spans="1:8" ht="14.25" customHeight="1" x14ac:dyDescent="0.2">
      <c r="A4" s="2387" t="s">
        <v>2052</v>
      </c>
      <c r="B4" s="2388"/>
      <c r="C4" s="2388"/>
      <c r="D4" s="2388"/>
      <c r="E4" s="2388"/>
      <c r="F4" s="2389"/>
      <c r="G4" s="1075"/>
      <c r="H4" s="1075"/>
    </row>
    <row r="5" spans="1:8" ht="14.25" customHeight="1" x14ac:dyDescent="0.2">
      <c r="A5" s="2390" t="s">
        <v>2053</v>
      </c>
      <c r="B5" s="2391"/>
      <c r="C5" s="2391"/>
      <c r="D5" s="2391"/>
      <c r="E5" s="2391"/>
      <c r="F5" s="2392"/>
      <c r="G5" s="1075"/>
      <c r="H5" s="1075"/>
    </row>
    <row r="6" spans="1:8" s="1076" customFormat="1" ht="41.25" customHeight="1" x14ac:dyDescent="0.2">
      <c r="A6" s="2384" t="s">
        <v>1792</v>
      </c>
      <c r="B6" s="2385"/>
      <c r="C6" s="2385"/>
      <c r="D6" s="2385"/>
      <c r="E6" s="2385"/>
      <c r="F6" s="238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9281582</v>
      </c>
      <c r="C8" s="1838">
        <f>'Acct Summary 7-8'!D8</f>
        <v>493997</v>
      </c>
      <c r="D8" s="1838">
        <f>'Acct Summary 7-8'!F8</f>
        <v>559997</v>
      </c>
      <c r="E8" s="1838">
        <f>'Acct Summary 7-8'!I8</f>
        <v>87864</v>
      </c>
      <c r="F8" s="1838">
        <f>SUM(B8:E8)</f>
        <v>10423440</v>
      </c>
    </row>
    <row r="9" spans="1:8" s="1080" customFormat="1" ht="14.25" customHeight="1" thickBot="1" x14ac:dyDescent="0.25">
      <c r="A9" s="1079" t="s">
        <v>1436</v>
      </c>
      <c r="B9" s="1839">
        <f>'Acct Summary 7-8'!C17</f>
        <v>8414046</v>
      </c>
      <c r="C9" s="1839">
        <f>'Acct Summary 7-8'!D17</f>
        <v>481736</v>
      </c>
      <c r="D9" s="1839">
        <f>'Acct Summary 7-8'!F17</f>
        <v>533431</v>
      </c>
      <c r="E9" s="1838"/>
      <c r="F9" s="1838">
        <f>SUM(B9:E9)</f>
        <v>9429213</v>
      </c>
    </row>
    <row r="10" spans="1:8" s="1080" customFormat="1" ht="14.25" thickTop="1" thickBot="1" x14ac:dyDescent="0.25">
      <c r="A10" s="1081" t="s">
        <v>1437</v>
      </c>
      <c r="B10" s="1840">
        <f>(B8-B9)</f>
        <v>867536</v>
      </c>
      <c r="C10" s="1840">
        <f>(C8-C9)</f>
        <v>12261</v>
      </c>
      <c r="D10" s="1840">
        <f>(D8-D9)</f>
        <v>26566</v>
      </c>
      <c r="E10" s="1839">
        <f>(E8-E9)</f>
        <v>87864</v>
      </c>
      <c r="F10" s="1841">
        <f>SUM(F8-F9)</f>
        <v>994227</v>
      </c>
    </row>
    <row r="11" spans="1:8" s="1080" customFormat="1" ht="14.25" thickTop="1" thickBot="1" x14ac:dyDescent="0.25">
      <c r="A11" s="1082" t="s">
        <v>1785</v>
      </c>
      <c r="B11" s="1842">
        <f>'Acct Summary 7-8'!C81</f>
        <v>3073355</v>
      </c>
      <c r="C11" s="1842">
        <f>'Acct Summary 7-8'!D81</f>
        <v>227513</v>
      </c>
      <c r="D11" s="1842">
        <f>'Acct Summary 7-8'!F81</f>
        <v>545381</v>
      </c>
      <c r="E11" s="1842">
        <f>'Acct Summary 7-8'!I81</f>
        <v>1490632</v>
      </c>
      <c r="F11" s="1843">
        <f>SUM(B11:E11)</f>
        <v>5336881</v>
      </c>
    </row>
    <row r="12" spans="1:8" ht="16.5" customHeight="1" thickTop="1" x14ac:dyDescent="0.2">
      <c r="A12" s="1083"/>
      <c r="B12" s="1084"/>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5"/>
      <c r="B13" s="1086"/>
      <c r="C13" s="2372"/>
      <c r="D13" s="2373"/>
      <c r="E13" s="2373"/>
      <c r="F13" s="2374"/>
      <c r="H13" s="1075"/>
    </row>
    <row r="14" spans="1:8" ht="19.5" customHeight="1" x14ac:dyDescent="0.2">
      <c r="A14" s="1085"/>
      <c r="B14" s="1086"/>
      <c r="C14" s="2372"/>
      <c r="D14" s="2373"/>
      <c r="E14" s="2373"/>
      <c r="F14" s="2374"/>
      <c r="H14" s="1075"/>
    </row>
    <row r="15" spans="1:8" ht="17.25" customHeight="1" x14ac:dyDescent="0.2">
      <c r="A15" s="1085"/>
      <c r="B15" s="1086"/>
      <c r="C15" s="2375"/>
      <c r="D15" s="2376"/>
      <c r="E15" s="2376"/>
      <c r="F15" s="2377"/>
      <c r="H15" s="1075"/>
    </row>
    <row r="16" spans="1:8" s="310" customFormat="1" ht="51.75" hidden="1" customHeight="1" x14ac:dyDescent="0.2">
      <c r="A16" s="2371" t="s">
        <v>1787</v>
      </c>
      <c r="B16" s="2371"/>
      <c r="C16" s="2371"/>
      <c r="D16" s="2371"/>
      <c r="E16" s="237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1" colorId="8" zoomScale="110" zoomScaleNormal="110" workbookViewId="0">
      <selection activeCell="C30" sqref="C3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3" t="s">
        <v>686</v>
      </c>
      <c r="B3" s="2394"/>
      <c r="C3" s="2394"/>
      <c r="D3" s="2395"/>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4" t="s">
        <v>1584</v>
      </c>
      <c r="D7" s="2405"/>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6" t="s">
        <v>1065</v>
      </c>
      <c r="B15" s="2397"/>
      <c r="C15" s="2397"/>
      <c r="D15" s="2398"/>
    </row>
    <row r="16" spans="1:4" s="669" customFormat="1" ht="24" customHeight="1" x14ac:dyDescent="0.2">
      <c r="A16" s="2399" t="s">
        <v>684</v>
      </c>
      <c r="B16" s="2400"/>
      <c r="C16" s="2400"/>
      <c r="D16" s="240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8" t="s">
        <v>332</v>
      </c>
      <c r="D21" s="2409"/>
    </row>
    <row r="22" spans="1:10" ht="12.75" x14ac:dyDescent="0.2">
      <c r="A22" s="1140"/>
      <c r="B22" s="1141">
        <v>2</v>
      </c>
      <c r="C22" s="2406" t="s">
        <v>1605</v>
      </c>
      <c r="D22" s="240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0" t="s">
        <v>557</v>
      </c>
      <c r="D43" s="241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2" t="s">
        <v>817</v>
      </c>
      <c r="D56" s="240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02" t="s">
        <v>1797</v>
      </c>
      <c r="D70" s="240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50-082-1960-26</v>
      </c>
    </row>
    <row r="3" spans="1:2" x14ac:dyDescent="0.2">
      <c r="A3" t="s">
        <v>1013</v>
      </c>
      <c r="B3" s="138" t="str">
        <f>COVER!A15</f>
        <v>St. Clair</v>
      </c>
    </row>
    <row r="4" spans="1:2" x14ac:dyDescent="0.2">
      <c r="A4" t="s">
        <v>1064</v>
      </c>
      <c r="B4" s="138" t="str">
        <f>COVER!A17</f>
        <v>Dupo Community Unit School District No. 196</v>
      </c>
    </row>
    <row r="5" spans="1:2" x14ac:dyDescent="0.2">
      <c r="A5" t="s">
        <v>728</v>
      </c>
      <c r="B5" s="138" t="str">
        <f>COVER!A38</f>
        <v>Dr. Kelly Carpenter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065-009532</v>
      </c>
    </row>
    <row r="16" spans="1:2" x14ac:dyDescent="0.2">
      <c r="A16" t="s">
        <v>442</v>
      </c>
      <c r="B16" s="138" t="str">
        <f>COVER!T13</f>
        <v>Scheffel Boyle</v>
      </c>
    </row>
    <row r="17" spans="1:2" x14ac:dyDescent="0.2">
      <c r="A17" t="s">
        <v>939</v>
      </c>
      <c r="B17" s="138" t="str">
        <f>COVER!T15</f>
        <v>Henry Siekmann</v>
      </c>
    </row>
    <row r="18" spans="1:2" x14ac:dyDescent="0.2">
      <c r="A18" t="s">
        <v>1212</v>
      </c>
      <c r="B18" s="138" t="str">
        <f>COVER!T17</f>
        <v>222 East Main St</v>
      </c>
    </row>
    <row r="19" spans="1:2" x14ac:dyDescent="0.2">
      <c r="A19" t="s">
        <v>941</v>
      </c>
      <c r="B19" s="138" t="str">
        <f>COVER!T25</f>
        <v>henry.siekmann@scheffelboyle.com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618-233-2641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3073355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3073355</v>
      </c>
      <c r="D92" s="2" t="str">
        <f t="shared" si="0"/>
        <v>Error?</v>
      </c>
    </row>
    <row r="93" spans="1:4" x14ac:dyDescent="0.2">
      <c r="A93" s="5">
        <v>32</v>
      </c>
      <c r="B93" s="138">
        <f>'Assets-Liab 5-6'!C41</f>
        <v>3073355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227513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227513</v>
      </c>
      <c r="D123" s="2" t="str">
        <f t="shared" si="0"/>
        <v>Error?</v>
      </c>
    </row>
    <row r="124" spans="1:4" x14ac:dyDescent="0.2">
      <c r="A124" s="5">
        <v>63</v>
      </c>
      <c r="B124" s="138">
        <f>'Assets-Liab 5-6'!D41</f>
        <v>227513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383349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383349</v>
      </c>
      <c r="D140" s="2" t="str">
        <f t="shared" si="1"/>
        <v>Error?</v>
      </c>
    </row>
    <row r="141" spans="1:4" x14ac:dyDescent="0.2">
      <c r="A141" s="5">
        <v>80</v>
      </c>
      <c r="B141" s="138">
        <f>'Assets-Liab 5-6'!E41</f>
        <v>383349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545381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545381</v>
      </c>
      <c r="D170" s="2" t="str">
        <f t="shared" si="1"/>
        <v>Error?</v>
      </c>
    </row>
    <row r="171" spans="1:4" x14ac:dyDescent="0.2">
      <c r="A171" s="5">
        <v>110</v>
      </c>
      <c r="B171" s="138">
        <f>'Assets-Liab 5-6'!F41</f>
        <v>545381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683802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683802</v>
      </c>
      <c r="D189" s="2" t="str">
        <f t="shared" si="1"/>
        <v>Error?</v>
      </c>
    </row>
    <row r="190" spans="1:4" x14ac:dyDescent="0.2">
      <c r="A190" s="5">
        <v>129</v>
      </c>
      <c r="B190" s="138">
        <f>'Assets-Liab 5-6'!G41</f>
        <v>683802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69455</v>
      </c>
      <c r="D273" s="2" t="str">
        <f t="shared" si="3"/>
        <v>Error?</v>
      </c>
    </row>
    <row r="274" spans="1:4" x14ac:dyDescent="0.2">
      <c r="A274" s="5">
        <v>213</v>
      </c>
      <c r="B274" s="138">
        <f>'Assets-Liab 5-6'!M17</f>
        <v>12114209</v>
      </c>
      <c r="D274" s="2" t="str">
        <f t="shared" si="3"/>
        <v>Error?</v>
      </c>
    </row>
    <row r="275" spans="1:4" x14ac:dyDescent="0.2">
      <c r="A275" s="5">
        <v>214</v>
      </c>
      <c r="B275" s="138">
        <f>'Assets-Liab 5-6'!M18</f>
        <v>601075</v>
      </c>
      <c r="D275" s="2" t="str">
        <f t="shared" si="3"/>
        <v>Error?</v>
      </c>
    </row>
    <row r="276" spans="1:4" x14ac:dyDescent="0.2">
      <c r="A276" s="5">
        <v>215</v>
      </c>
      <c r="B276" s="138">
        <f>'Assets-Liab 5-6'!M19</f>
        <v>313545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13098284</v>
      </c>
      <c r="C279" s="2" t="s">
        <v>594</v>
      </c>
      <c r="D279" s="2" t="str">
        <f t="shared" si="3"/>
        <v>Error?</v>
      </c>
    </row>
    <row r="280" spans="1:4" x14ac:dyDescent="0.2">
      <c r="A280" s="5">
        <v>219</v>
      </c>
      <c r="B280" s="138">
        <f>'Assets-Liab 5-6'!M40</f>
        <v>13098284</v>
      </c>
      <c r="D280" s="2" t="str">
        <f t="shared" si="3"/>
        <v>Error?</v>
      </c>
    </row>
    <row r="281" spans="1:4" x14ac:dyDescent="0.2">
      <c r="A281" s="5">
        <v>220</v>
      </c>
      <c r="B281" s="138">
        <f>'Assets-Liab 5-6'!M41</f>
        <v>13098284</v>
      </c>
      <c r="C281" s="2" t="s">
        <v>594</v>
      </c>
      <c r="D281" s="2" t="str">
        <f t="shared" si="3"/>
        <v>Error?</v>
      </c>
    </row>
    <row r="282" spans="1:4" x14ac:dyDescent="0.2">
      <c r="A282" s="5">
        <v>221</v>
      </c>
      <c r="B282" s="138">
        <f>'Assets-Liab 5-6'!N21</f>
        <v>383349</v>
      </c>
      <c r="D282" s="2" t="str">
        <f t="shared" si="3"/>
        <v>Error?</v>
      </c>
    </row>
    <row r="283" spans="1:4" x14ac:dyDescent="0.2">
      <c r="A283" s="5">
        <v>222</v>
      </c>
      <c r="B283" s="138">
        <f>'Assets-Liab 5-6'!N22</f>
        <v>6281651</v>
      </c>
      <c r="D283" s="2" t="str">
        <f t="shared" si="3"/>
        <v>Error?</v>
      </c>
    </row>
    <row r="284" spans="1:4" x14ac:dyDescent="0.2">
      <c r="A284" s="5">
        <v>223</v>
      </c>
      <c r="B284" s="138">
        <f>'Assets-Liab 5-6'!N23</f>
        <v>6665000</v>
      </c>
      <c r="C284" s="2" t="s">
        <v>594</v>
      </c>
      <c r="D284" s="2" t="str">
        <f t="shared" si="3"/>
        <v>Error?</v>
      </c>
    </row>
    <row r="285" spans="1:4" x14ac:dyDescent="0.2">
      <c r="A285" s="5">
        <v>224</v>
      </c>
      <c r="B285" s="138">
        <f>'Assets-Liab 5-6'!N36</f>
        <v>6665000</v>
      </c>
      <c r="D285" s="2" t="str">
        <f t="shared" si="3"/>
        <v>Error?</v>
      </c>
    </row>
    <row r="286" spans="1:4" x14ac:dyDescent="0.2">
      <c r="A286" s="10">
        <v>225</v>
      </c>
      <c r="D286" s="2" t="str">
        <f t="shared" si="3"/>
        <v>OK</v>
      </c>
    </row>
    <row r="287" spans="1:4" x14ac:dyDescent="0.2">
      <c r="A287" s="5">
        <v>226</v>
      </c>
      <c r="B287" s="138">
        <f>'Assets-Liab 5-6'!N37</f>
        <v>6665000</v>
      </c>
      <c r="C287" s="2" t="s">
        <v>594</v>
      </c>
      <c r="D287" s="2" t="str">
        <f t="shared" si="3"/>
        <v>Error?</v>
      </c>
    </row>
    <row r="288" spans="1:4" x14ac:dyDescent="0.2">
      <c r="A288" s="5">
        <v>227</v>
      </c>
      <c r="B288" s="138">
        <f>'Assets-Liab 5-6'!N41</f>
        <v>6665000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2536226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70421</v>
      </c>
      <c r="D717" s="2" t="str">
        <f t="shared" si="10"/>
        <v>Error?</v>
      </c>
    </row>
    <row r="718" spans="1:4" x14ac:dyDescent="0.2">
      <c r="A718" s="5">
        <v>657</v>
      </c>
      <c r="B718" s="138">
        <f>'Expenditures 15-22'!C14</f>
        <v>104779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3955300</v>
      </c>
      <c r="C720" s="2" t="s">
        <v>594</v>
      </c>
      <c r="D720" s="2" t="str">
        <f t="shared" si="10"/>
        <v>Error?</v>
      </c>
    </row>
    <row r="721" spans="1:4" x14ac:dyDescent="0.2">
      <c r="A721" s="5">
        <v>660</v>
      </c>
      <c r="B721" s="138">
        <f>'Expenditures 15-22'!C36</f>
        <v>107943</v>
      </c>
      <c r="D721" s="2" t="str">
        <f t="shared" si="10"/>
        <v>Error?</v>
      </c>
    </row>
    <row r="722" spans="1:4" x14ac:dyDescent="0.2">
      <c r="A722" s="5">
        <v>661</v>
      </c>
      <c r="B722" s="138">
        <f>'Expenditures 15-22'!C37</f>
        <v>45385</v>
      </c>
      <c r="D722" s="2" t="str">
        <f t="shared" si="10"/>
        <v>Error?</v>
      </c>
    </row>
    <row r="723" spans="1:4" x14ac:dyDescent="0.2">
      <c r="A723" s="5">
        <v>662</v>
      </c>
      <c r="B723" s="138">
        <f>'Expenditures 15-22'!C38</f>
        <v>43237</v>
      </c>
      <c r="D723" s="2" t="str">
        <f t="shared" si="10"/>
        <v>Error?</v>
      </c>
    </row>
    <row r="724" spans="1:4" x14ac:dyDescent="0.2">
      <c r="A724" s="5">
        <v>663</v>
      </c>
      <c r="B724" s="138">
        <f>'Expenditures 15-22'!C39</f>
        <v>60353</v>
      </c>
      <c r="D724" s="2" t="str">
        <f t="shared" si="10"/>
        <v>Error?</v>
      </c>
    </row>
    <row r="725" spans="1:4" x14ac:dyDescent="0.2">
      <c r="A725" s="5">
        <v>664</v>
      </c>
      <c r="B725" s="138">
        <f>'Expenditures 15-22'!C40</f>
        <v>50107</v>
      </c>
      <c r="D725" s="2" t="str">
        <f t="shared" si="10"/>
        <v>Error?</v>
      </c>
    </row>
    <row r="726" spans="1:4" x14ac:dyDescent="0.2">
      <c r="A726" s="5">
        <v>665</v>
      </c>
      <c r="B726" s="138">
        <f>'Expenditures 15-22'!C41</f>
        <v>163690</v>
      </c>
      <c r="D726" s="2" t="str">
        <f t="shared" si="10"/>
        <v>Error?</v>
      </c>
    </row>
    <row r="727" spans="1:4" x14ac:dyDescent="0.2">
      <c r="A727" s="5">
        <v>666</v>
      </c>
      <c r="B727" s="138">
        <f>'Expenditures 15-22'!C42</f>
        <v>470715</v>
      </c>
      <c r="C727" s="2" t="s">
        <v>594</v>
      </c>
      <c r="D727" s="2" t="str">
        <f t="shared" si="10"/>
        <v>Error?</v>
      </c>
    </row>
    <row r="728" spans="1:4" x14ac:dyDescent="0.2">
      <c r="A728" s="5">
        <v>667</v>
      </c>
      <c r="B728" s="138">
        <f>'Expenditures 15-22'!C44</f>
        <v>27825</v>
      </c>
      <c r="D728" s="2" t="str">
        <f t="shared" si="10"/>
        <v>Error?</v>
      </c>
    </row>
    <row r="729" spans="1:4" x14ac:dyDescent="0.2">
      <c r="A729" s="5">
        <v>668</v>
      </c>
      <c r="B729" s="138">
        <f>'Expenditures 15-22'!C45</f>
        <v>61514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89339</v>
      </c>
      <c r="C731" s="2" t="s">
        <v>594</v>
      </c>
      <c r="D731" s="2" t="str">
        <f t="shared" si="10"/>
        <v>Error?</v>
      </c>
    </row>
    <row r="732" spans="1:4" x14ac:dyDescent="0.2">
      <c r="A732" s="5">
        <v>671</v>
      </c>
      <c r="B732" s="138">
        <f>'Expenditures 15-22'!C49</f>
        <v>47491</v>
      </c>
      <c r="D732" s="2" t="str">
        <f t="shared" si="10"/>
        <v>Error?</v>
      </c>
    </row>
    <row r="733" spans="1:4" x14ac:dyDescent="0.2">
      <c r="A733" s="5">
        <v>672</v>
      </c>
      <c r="B733" s="138">
        <f>'Expenditures 15-22'!C50</f>
        <v>173921</v>
      </c>
      <c r="D733" s="2" t="str">
        <f t="shared" si="10"/>
        <v>Error?</v>
      </c>
    </row>
    <row r="734" spans="1:4" x14ac:dyDescent="0.2">
      <c r="A734" s="5">
        <v>673</v>
      </c>
      <c r="B734" s="138">
        <f>'Expenditures 15-22'!C53</f>
        <v>221412</v>
      </c>
      <c r="C734" s="2" t="s">
        <v>594</v>
      </c>
      <c r="D734" s="2" t="str">
        <f t="shared" si="10"/>
        <v>Error?</v>
      </c>
    </row>
    <row r="735" spans="1:4" x14ac:dyDescent="0.2">
      <c r="A735" s="5">
        <v>674</v>
      </c>
      <c r="B735" s="138">
        <f>'Expenditures 15-22'!C55</f>
        <v>449994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449994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62373</v>
      </c>
      <c r="D739" s="2" t="str">
        <f t="shared" si="10"/>
        <v>Error?</v>
      </c>
    </row>
    <row r="740" spans="1:4" x14ac:dyDescent="0.2">
      <c r="A740" s="5">
        <v>679</v>
      </c>
      <c r="B740" s="138">
        <f>'Expenditures 15-22'!C61</f>
        <v>284234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164757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511364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69752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69752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1812576</v>
      </c>
      <c r="C755" s="2" t="s">
        <v>594</v>
      </c>
      <c r="D755" s="2" t="str">
        <f t="shared" si="10"/>
        <v>Error?</v>
      </c>
    </row>
    <row r="756" spans="1:4" x14ac:dyDescent="0.2">
      <c r="A756" s="5">
        <v>695</v>
      </c>
      <c r="B756" s="138">
        <f>'Expenditures 15-22'!C75</f>
        <v>10873</v>
      </c>
      <c r="D756" s="2" t="str">
        <f t="shared" si="10"/>
        <v>Error?</v>
      </c>
    </row>
    <row r="757" spans="1:4" x14ac:dyDescent="0.2">
      <c r="A757" s="5">
        <v>696</v>
      </c>
      <c r="B757" s="138">
        <f>'Expenditures 15-22'!C114</f>
        <v>5778749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502811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13327</v>
      </c>
      <c r="D775" s="2" t="str">
        <f t="shared" si="11"/>
        <v>Error?</v>
      </c>
    </row>
    <row r="776" spans="1:4" x14ac:dyDescent="0.2">
      <c r="A776" s="5">
        <v>715</v>
      </c>
      <c r="B776" s="138">
        <f>'Expenditures 15-22'!D14</f>
        <v>1286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716159</v>
      </c>
      <c r="C778" s="2" t="s">
        <v>594</v>
      </c>
      <c r="D778" s="2" t="str">
        <f t="shared" si="11"/>
        <v>Error?</v>
      </c>
    </row>
    <row r="779" spans="1:4" x14ac:dyDescent="0.2">
      <c r="A779" s="5">
        <v>718</v>
      </c>
      <c r="B779" s="138">
        <f>'Expenditures 15-22'!D36</f>
        <v>18391</v>
      </c>
      <c r="D779" s="2" t="str">
        <f t="shared" si="11"/>
        <v>Error?</v>
      </c>
    </row>
    <row r="780" spans="1:4" x14ac:dyDescent="0.2">
      <c r="A780" s="5">
        <v>719</v>
      </c>
      <c r="B780" s="138">
        <f>'Expenditures 15-22'!D37</f>
        <v>11141</v>
      </c>
      <c r="D780" s="2" t="str">
        <f t="shared" si="11"/>
        <v>Error?</v>
      </c>
    </row>
    <row r="781" spans="1:4" x14ac:dyDescent="0.2">
      <c r="A781" s="5">
        <v>720</v>
      </c>
      <c r="B781" s="138">
        <f>'Expenditures 15-22'!D38</f>
        <v>12</v>
      </c>
      <c r="D781" s="2" t="str">
        <f t="shared" si="11"/>
        <v>Error?</v>
      </c>
    </row>
    <row r="782" spans="1:4" x14ac:dyDescent="0.2">
      <c r="A782" s="5">
        <v>721</v>
      </c>
      <c r="B782" s="138">
        <f>'Expenditures 15-22'!D39</f>
        <v>12858</v>
      </c>
      <c r="D782" s="2" t="str">
        <f t="shared" si="11"/>
        <v>Error?</v>
      </c>
    </row>
    <row r="783" spans="1:4" x14ac:dyDescent="0.2">
      <c r="A783" s="5">
        <v>722</v>
      </c>
      <c r="B783" s="138">
        <f>'Expenditures 15-22'!D40</f>
        <v>5810</v>
      </c>
      <c r="D783" s="2" t="str">
        <f t="shared" si="11"/>
        <v>Error?</v>
      </c>
    </row>
    <row r="784" spans="1:4" x14ac:dyDescent="0.2">
      <c r="A784" s="5">
        <v>723</v>
      </c>
      <c r="B784" s="138">
        <f>'Expenditures 15-22'!D41</f>
        <v>32</v>
      </c>
      <c r="D784" s="2" t="str">
        <f t="shared" si="11"/>
        <v>Error?</v>
      </c>
    </row>
    <row r="785" spans="1:4" x14ac:dyDescent="0.2">
      <c r="A785" s="5">
        <v>724</v>
      </c>
      <c r="B785" s="138">
        <f>'Expenditures 15-22'!D42</f>
        <v>48244</v>
      </c>
      <c r="C785" s="2" t="s">
        <v>594</v>
      </c>
      <c r="D785" s="2" t="str">
        <f t="shared" si="11"/>
        <v>Error?</v>
      </c>
    </row>
    <row r="786" spans="1:4" x14ac:dyDescent="0.2">
      <c r="A786" s="5">
        <v>725</v>
      </c>
      <c r="B786" s="138">
        <f>'Expenditures 15-22'!D44</f>
        <v>9213</v>
      </c>
      <c r="D786" s="2" t="str">
        <f t="shared" si="11"/>
        <v>Error?</v>
      </c>
    </row>
    <row r="787" spans="1:4" x14ac:dyDescent="0.2">
      <c r="A787" s="5">
        <v>726</v>
      </c>
      <c r="B787" s="138">
        <f>'Expenditures 15-22'!D45</f>
        <v>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9247</v>
      </c>
      <c r="C789" s="2" t="s">
        <v>594</v>
      </c>
      <c r="D789" s="2" t="str">
        <f t="shared" si="11"/>
        <v>Error?</v>
      </c>
    </row>
    <row r="790" spans="1:4" x14ac:dyDescent="0.2">
      <c r="A790" s="5">
        <v>729</v>
      </c>
      <c r="B790" s="138">
        <f>'Expenditures 15-22'!D49</f>
        <v>5830</v>
      </c>
      <c r="D790" s="2" t="str">
        <f t="shared" si="11"/>
        <v>Error?</v>
      </c>
    </row>
    <row r="791" spans="1:4" x14ac:dyDescent="0.2">
      <c r="A791" s="5">
        <v>730</v>
      </c>
      <c r="B791" s="138">
        <f>'Expenditures 15-22'!D50</f>
        <v>23162</v>
      </c>
      <c r="D791" s="2" t="str">
        <f t="shared" si="11"/>
        <v>Error?</v>
      </c>
    </row>
    <row r="792" spans="1:4" x14ac:dyDescent="0.2">
      <c r="A792" s="5">
        <v>731</v>
      </c>
      <c r="B792" s="138">
        <f>'Expenditures 15-22'!D53</f>
        <v>28992</v>
      </c>
      <c r="C792" s="2" t="s">
        <v>594</v>
      </c>
      <c r="D792" s="2" t="str">
        <f t="shared" si="11"/>
        <v>Error?</v>
      </c>
    </row>
    <row r="793" spans="1:4" x14ac:dyDescent="0.2">
      <c r="A793" s="5">
        <v>732</v>
      </c>
      <c r="B793" s="138">
        <f>'Expenditures 15-22'!D55</f>
        <v>47101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47101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5738</v>
      </c>
      <c r="D797" s="2" t="str">
        <f t="shared" si="11"/>
        <v>Error?</v>
      </c>
    </row>
    <row r="798" spans="1:4" x14ac:dyDescent="0.2">
      <c r="A798" s="5">
        <v>737</v>
      </c>
      <c r="B798" s="138">
        <f>'Expenditures 15-22'!D61</f>
        <v>31724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10692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48154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6301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6301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188039</v>
      </c>
      <c r="C813" s="2" t="s">
        <v>594</v>
      </c>
      <c r="D813" s="2" t="str">
        <f t="shared" si="11"/>
        <v>Error?</v>
      </c>
    </row>
    <row r="814" spans="1:4" x14ac:dyDescent="0.2">
      <c r="A814" s="5">
        <v>753</v>
      </c>
      <c r="B814" s="138">
        <f>'Expenditures 15-22'!D75</f>
        <v>4318</v>
      </c>
      <c r="D814" s="2" t="str">
        <f t="shared" si="11"/>
        <v>Error?</v>
      </c>
    </row>
    <row r="815" spans="1:4" x14ac:dyDescent="0.2">
      <c r="A815" s="5">
        <v>754</v>
      </c>
      <c r="B815" s="138">
        <f>'Expenditures 15-22'!D114</f>
        <v>908516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6480</v>
      </c>
      <c r="D833" s="2" t="str">
        <f t="shared" si="12"/>
        <v>Error?</v>
      </c>
    </row>
    <row r="834" spans="1:4" x14ac:dyDescent="0.2">
      <c r="A834" s="5">
        <v>773</v>
      </c>
      <c r="B834" s="138">
        <f>'Expenditures 15-22'!E14</f>
        <v>39832</v>
      </c>
      <c r="D834" s="2" t="str">
        <f t="shared" si="12"/>
        <v>Error?</v>
      </c>
    </row>
    <row r="835" spans="1:4" x14ac:dyDescent="0.2">
      <c r="A835" s="5">
        <v>774</v>
      </c>
      <c r="B835" s="138">
        <f>'Expenditures 15-22'!E15</f>
        <v>1200</v>
      </c>
      <c r="D835" s="2" t="str">
        <f t="shared" si="12"/>
        <v>Error?</v>
      </c>
    </row>
    <row r="836" spans="1:4" x14ac:dyDescent="0.2">
      <c r="A836" s="5">
        <v>775</v>
      </c>
      <c r="B836" s="138">
        <f>'Expenditures 15-22'!E33</f>
        <v>91209</v>
      </c>
      <c r="C836" s="2" t="s">
        <v>594</v>
      </c>
      <c r="D836" s="2" t="str">
        <f t="shared" si="12"/>
        <v>Error?</v>
      </c>
    </row>
    <row r="837" spans="1:4" x14ac:dyDescent="0.2">
      <c r="A837" s="5">
        <v>776</v>
      </c>
      <c r="B837" s="138">
        <f>'Expenditures 15-22'!E36</f>
        <v>41326</v>
      </c>
      <c r="D837" s="2" t="str">
        <f t="shared" si="12"/>
        <v>Error?</v>
      </c>
    </row>
    <row r="838" spans="1:4" x14ac:dyDescent="0.2">
      <c r="A838" s="5">
        <v>777</v>
      </c>
      <c r="B838" s="138">
        <f>'Expenditures 15-22'!E37</f>
        <v>297</v>
      </c>
      <c r="D838" s="2" t="str">
        <f t="shared" si="12"/>
        <v>Error?</v>
      </c>
    </row>
    <row r="839" spans="1:4" x14ac:dyDescent="0.2">
      <c r="A839" s="5">
        <v>778</v>
      </c>
      <c r="B839" s="138">
        <f>'Expenditures 15-22'!E38</f>
        <v>96624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85</v>
      </c>
      <c r="D842" s="2" t="str">
        <f t="shared" si="12"/>
        <v>Error?</v>
      </c>
    </row>
    <row r="843" spans="1:4" x14ac:dyDescent="0.2">
      <c r="A843" s="5">
        <v>782</v>
      </c>
      <c r="B843" s="138">
        <f>'Expenditures 15-22'!E42</f>
        <v>138332</v>
      </c>
      <c r="C843" s="2" t="s">
        <v>594</v>
      </c>
      <c r="D843" s="2" t="str">
        <f t="shared" si="12"/>
        <v>Error?</v>
      </c>
    </row>
    <row r="844" spans="1:4" x14ac:dyDescent="0.2">
      <c r="A844" s="5">
        <v>783</v>
      </c>
      <c r="B844" s="138">
        <f>'Expenditures 15-22'!E44</f>
        <v>27409</v>
      </c>
      <c r="D844" s="2" t="str">
        <f t="shared" si="12"/>
        <v>Error?</v>
      </c>
    </row>
    <row r="845" spans="1:4" x14ac:dyDescent="0.2">
      <c r="A845" s="5">
        <v>784</v>
      </c>
      <c r="B845" s="138">
        <f>'Expenditures 15-22'!E45</f>
        <v>18344</v>
      </c>
      <c r="D845" s="2" t="str">
        <f t="shared" si="12"/>
        <v>Error?</v>
      </c>
    </row>
    <row r="846" spans="1:4" x14ac:dyDescent="0.2">
      <c r="A846" s="5">
        <v>785</v>
      </c>
      <c r="B846" s="138">
        <f>'Expenditures 15-22'!E46</f>
        <v>3769</v>
      </c>
      <c r="D846" s="2" t="str">
        <f t="shared" si="12"/>
        <v>Error?</v>
      </c>
    </row>
    <row r="847" spans="1:4" x14ac:dyDescent="0.2">
      <c r="A847" s="5">
        <v>786</v>
      </c>
      <c r="B847" s="138">
        <f>'Expenditures 15-22'!E47</f>
        <v>49522</v>
      </c>
      <c r="C847" s="2" t="s">
        <v>594</v>
      </c>
      <c r="D847" s="2" t="str">
        <f t="shared" si="12"/>
        <v>Error?</v>
      </c>
    </row>
    <row r="848" spans="1:4" x14ac:dyDescent="0.2">
      <c r="A848" s="5">
        <v>787</v>
      </c>
      <c r="B848" s="138">
        <f>'Expenditures 15-22'!E49</f>
        <v>33731</v>
      </c>
      <c r="D848" s="2" t="str">
        <f t="shared" si="12"/>
        <v>Error?</v>
      </c>
    </row>
    <row r="849" spans="1:4" x14ac:dyDescent="0.2">
      <c r="A849" s="5">
        <v>788</v>
      </c>
      <c r="B849" s="138">
        <f>'Expenditures 15-22'!E50</f>
        <v>6876</v>
      </c>
      <c r="D849" s="2" t="str">
        <f t="shared" si="12"/>
        <v>Error?</v>
      </c>
    </row>
    <row r="850" spans="1:4" x14ac:dyDescent="0.2">
      <c r="A850" s="5">
        <v>789</v>
      </c>
      <c r="B850" s="138">
        <f>'Expenditures 15-22'!E53</f>
        <v>209376</v>
      </c>
      <c r="C850" s="2" t="s">
        <v>594</v>
      </c>
      <c r="D850" s="2" t="str">
        <f t="shared" si="12"/>
        <v>Error?</v>
      </c>
    </row>
    <row r="851" spans="1:4" x14ac:dyDescent="0.2">
      <c r="A851" s="5">
        <v>790</v>
      </c>
      <c r="B851" s="138">
        <f>'Expenditures 15-22'!E55</f>
        <v>3415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18405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9128</v>
      </c>
      <c r="D857" s="2" t="str">
        <f t="shared" si="12"/>
        <v>Error?</v>
      </c>
    </row>
    <row r="858" spans="1:4" x14ac:dyDescent="0.2">
      <c r="A858" s="5">
        <v>797</v>
      </c>
      <c r="B858" s="138">
        <f>'Expenditures 15-22'!E63</f>
        <v>8280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35813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1540</v>
      </c>
      <c r="D863" s="2" t="str">
        <f t="shared" si="12"/>
        <v>Error?</v>
      </c>
    </row>
    <row r="864" spans="1:4" x14ac:dyDescent="0.2">
      <c r="A864" s="5">
        <v>803</v>
      </c>
      <c r="B864" s="138">
        <f>'Expenditures 15-22'!E69</f>
        <v>7517</v>
      </c>
      <c r="D864" s="2" t="str">
        <f t="shared" si="12"/>
        <v>Error?</v>
      </c>
    </row>
    <row r="865" spans="1:4" x14ac:dyDescent="0.2">
      <c r="A865" s="5">
        <v>804</v>
      </c>
      <c r="B865" s="138">
        <f>'Expenditures 15-22'!E70</f>
        <v>4620</v>
      </c>
      <c r="D865" s="2" t="str">
        <f t="shared" si="12"/>
        <v>Error?</v>
      </c>
    </row>
    <row r="866" spans="1:4" x14ac:dyDescent="0.2">
      <c r="A866" s="10">
        <v>805</v>
      </c>
      <c r="D866" s="2" t="str">
        <f t="shared" si="12"/>
        <v>OK</v>
      </c>
    </row>
    <row r="867" spans="1:4" x14ac:dyDescent="0.2">
      <c r="A867" s="5">
        <v>806</v>
      </c>
      <c r="B867" s="138">
        <f>'Expenditures 15-22'!E71</f>
        <v>15994</v>
      </c>
      <c r="D867" s="2" t="str">
        <f t="shared" si="12"/>
        <v>Error?</v>
      </c>
    </row>
    <row r="868" spans="1:4" x14ac:dyDescent="0.2">
      <c r="A868" s="10">
        <v>807</v>
      </c>
      <c r="D868" s="2" t="str">
        <f t="shared" si="12"/>
        <v>OK</v>
      </c>
    </row>
    <row r="869" spans="1:4" x14ac:dyDescent="0.2">
      <c r="A869" s="5">
        <v>808</v>
      </c>
      <c r="B869" s="138">
        <f>'Expenditures 15-22'!E72</f>
        <v>29671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466129</v>
      </c>
      <c r="C871" s="2" t="s">
        <v>594</v>
      </c>
      <c r="D871" s="2" t="str">
        <f t="shared" si="12"/>
        <v>Error?</v>
      </c>
    </row>
    <row r="872" spans="1:4" x14ac:dyDescent="0.2">
      <c r="A872" s="5">
        <v>811</v>
      </c>
      <c r="B872" s="138">
        <f>'Expenditures 15-22'!E75</f>
        <v>1752</v>
      </c>
      <c r="D872" s="2" t="str">
        <f t="shared" si="12"/>
        <v>Error?</v>
      </c>
    </row>
    <row r="873" spans="1:4" x14ac:dyDescent="0.2">
      <c r="A873" s="5">
        <v>812</v>
      </c>
      <c r="B873" s="138">
        <f>'Expenditures 15-22'!E114</f>
        <v>559090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62616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19535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201659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2172</v>
      </c>
      <c r="C901" s="2" t="s">
        <v>594</v>
      </c>
      <c r="D901" s="2" t="str">
        <f t="shared" si="13"/>
        <v>Error?</v>
      </c>
    </row>
    <row r="902" spans="1:4" x14ac:dyDescent="0.2">
      <c r="A902" s="5">
        <v>841</v>
      </c>
      <c r="B902" s="138">
        <f>'Expenditures 15-22'!F44</f>
        <v>536</v>
      </c>
      <c r="D902" s="2" t="str">
        <f t="shared" si="13"/>
        <v>Error?</v>
      </c>
    </row>
    <row r="903" spans="1:4" x14ac:dyDescent="0.2">
      <c r="A903" s="5">
        <v>842</v>
      </c>
      <c r="B903" s="138">
        <f>'Expenditures 15-22'!F45</f>
        <v>5051</v>
      </c>
      <c r="D903" s="2" t="str">
        <f t="shared" si="13"/>
        <v>Error?</v>
      </c>
    </row>
    <row r="904" spans="1:4" x14ac:dyDescent="0.2">
      <c r="A904" s="5">
        <v>843</v>
      </c>
      <c r="B904" s="138">
        <f>'Expenditures 15-22'!F46</f>
        <v>6832</v>
      </c>
      <c r="D904" s="2" t="str">
        <f t="shared" si="13"/>
        <v>Error?</v>
      </c>
    </row>
    <row r="905" spans="1:4" x14ac:dyDescent="0.2">
      <c r="A905" s="5">
        <v>844</v>
      </c>
      <c r="B905" s="138">
        <f>'Expenditures 15-22'!F47</f>
        <v>12419</v>
      </c>
      <c r="C905" s="2" t="s">
        <v>594</v>
      </c>
      <c r="D905" s="2" t="str">
        <f t="shared" si="13"/>
        <v>Error?</v>
      </c>
    </row>
    <row r="906" spans="1:4" x14ac:dyDescent="0.2">
      <c r="A906" s="5">
        <v>845</v>
      </c>
      <c r="B906" s="138">
        <f>'Expenditures 15-22'!F49</f>
        <v>14415</v>
      </c>
      <c r="D906" s="2" t="str">
        <f t="shared" si="13"/>
        <v>Error?</v>
      </c>
    </row>
    <row r="907" spans="1:4" x14ac:dyDescent="0.2">
      <c r="A907" s="5">
        <v>846</v>
      </c>
      <c r="B907" s="138">
        <f>'Expenditures 15-22'!F50</f>
        <v>4581</v>
      </c>
      <c r="D907" s="2" t="str">
        <f t="shared" si="13"/>
        <v>Error?</v>
      </c>
    </row>
    <row r="908" spans="1:4" x14ac:dyDescent="0.2">
      <c r="A908" s="5">
        <v>847</v>
      </c>
      <c r="B908" s="138">
        <f>'Expenditures 15-22'!F53</f>
        <v>18996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242</v>
      </c>
      <c r="D913" s="2" t="str">
        <f t="shared" si="13"/>
        <v>Error?</v>
      </c>
    </row>
    <row r="914" spans="1:4" x14ac:dyDescent="0.2">
      <c r="A914" s="5">
        <v>853</v>
      </c>
      <c r="B914" s="138">
        <f>'Expenditures 15-22'!F61</f>
        <v>239528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223737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463507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57715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57715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554809</v>
      </c>
      <c r="C929" s="2" t="s">
        <v>594</v>
      </c>
      <c r="D929" s="2" t="str">
        <f t="shared" si="13"/>
        <v>Error?</v>
      </c>
    </row>
    <row r="930" spans="1:4" x14ac:dyDescent="0.2">
      <c r="A930" s="5">
        <v>869</v>
      </c>
      <c r="B930" s="138">
        <f>'Expenditures 15-22'!F75</f>
        <v>1550</v>
      </c>
      <c r="D930" s="2" t="str">
        <f t="shared" si="13"/>
        <v>Error?</v>
      </c>
    </row>
    <row r="931" spans="1:4" x14ac:dyDescent="0.2">
      <c r="A931" s="5">
        <v>870</v>
      </c>
      <c r="B931" s="138">
        <f>'Expenditures 15-22'!F114</f>
        <v>758018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5318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202312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129</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290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1181</v>
      </c>
      <c r="D1022" s="2" t="str">
        <f t="shared" si="14"/>
        <v>Error?</v>
      </c>
    </row>
    <row r="1023" spans="1:4" x14ac:dyDescent="0.2">
      <c r="A1023" s="5">
        <v>962</v>
      </c>
      <c r="B1023" s="138">
        <f>'Expenditures 15-22'!H50</f>
        <v>1715</v>
      </c>
      <c r="D1023" s="2" t="str">
        <f t="shared" ref="D1023:D1086" si="15">IF(ISBLANK(B1023),"OK",IF(A1023-B1023=0,"OK","Error?"))</f>
        <v>Error?</v>
      </c>
    </row>
    <row r="1024" spans="1:4" x14ac:dyDescent="0.2">
      <c r="A1024" s="5">
        <v>963</v>
      </c>
      <c r="B1024" s="138">
        <f>'Expenditures 15-22'!H53</f>
        <v>2896</v>
      </c>
      <c r="C1024" s="2" t="s">
        <v>594</v>
      </c>
      <c r="D1024" s="2" t="str">
        <f t="shared" si="15"/>
        <v>Error?</v>
      </c>
    </row>
    <row r="1025" spans="1:4" x14ac:dyDescent="0.2">
      <c r="A1025" s="5">
        <v>964</v>
      </c>
      <c r="B1025" s="138">
        <f>'Expenditures 15-22'!H55</f>
        <v>1138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304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4653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86478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293443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3133940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90228</v>
      </c>
      <c r="C1105" s="2" t="s">
        <v>594</v>
      </c>
      <c r="D1105" s="2" t="str">
        <f t="shared" si="16"/>
        <v>Error?</v>
      </c>
    </row>
    <row r="1106" spans="1:4" x14ac:dyDescent="0.2">
      <c r="A1106" s="5">
        <v>1045</v>
      </c>
      <c r="B1106" s="138">
        <f>'Expenditures 15-22'!K14</f>
        <v>165432</v>
      </c>
      <c r="C1106" s="2" t="s">
        <v>594</v>
      </c>
      <c r="D1106" s="2" t="str">
        <f t="shared" si="16"/>
        <v>Error?</v>
      </c>
    </row>
    <row r="1107" spans="1:4" x14ac:dyDescent="0.2">
      <c r="A1107" s="5">
        <v>1046</v>
      </c>
      <c r="B1107" s="138">
        <f>'Expenditures 15-22'!K15</f>
        <v>1200</v>
      </c>
      <c r="C1107" s="2" t="s">
        <v>594</v>
      </c>
      <c r="D1107" s="2" t="str">
        <f t="shared" si="16"/>
        <v>Error?</v>
      </c>
    </row>
    <row r="1108" spans="1:4" x14ac:dyDescent="0.2">
      <c r="A1108" s="5">
        <v>1047</v>
      </c>
      <c r="B1108" s="138">
        <f>'Expenditures 15-22'!K33</f>
        <v>5185996</v>
      </c>
      <c r="C1108" s="2" t="s">
        <v>594</v>
      </c>
      <c r="D1108" s="2" t="str">
        <f t="shared" si="16"/>
        <v>Error?</v>
      </c>
    </row>
    <row r="1109" spans="1:4" x14ac:dyDescent="0.2">
      <c r="A1109" s="5">
        <v>1048</v>
      </c>
      <c r="B1109" s="138">
        <f>'Expenditures 15-22'!K36</f>
        <v>167660</v>
      </c>
      <c r="C1109" s="2" t="s">
        <v>594</v>
      </c>
      <c r="D1109" s="2" t="str">
        <f t="shared" si="16"/>
        <v>Error?</v>
      </c>
    </row>
    <row r="1110" spans="1:4" x14ac:dyDescent="0.2">
      <c r="A1110" s="5">
        <v>1049</v>
      </c>
      <c r="B1110" s="138">
        <f>'Expenditures 15-22'!K37</f>
        <v>56952</v>
      </c>
      <c r="C1110" s="2" t="s">
        <v>594</v>
      </c>
      <c r="D1110" s="2" t="str">
        <f t="shared" si="16"/>
        <v>Error?</v>
      </c>
    </row>
    <row r="1111" spans="1:4" x14ac:dyDescent="0.2">
      <c r="A1111" s="5">
        <v>1050</v>
      </c>
      <c r="B1111" s="138">
        <f>'Expenditures 15-22'!K38</f>
        <v>142206</v>
      </c>
      <c r="C1111" s="2" t="s">
        <v>594</v>
      </c>
      <c r="D1111" s="2" t="str">
        <f t="shared" si="16"/>
        <v>Error?</v>
      </c>
    </row>
    <row r="1112" spans="1:4" x14ac:dyDescent="0.2">
      <c r="A1112" s="5">
        <v>1051</v>
      </c>
      <c r="B1112" s="138">
        <f>'Expenditures 15-22'!K39</f>
        <v>73211</v>
      </c>
      <c r="C1112" s="2" t="s">
        <v>594</v>
      </c>
      <c r="D1112" s="2" t="str">
        <f t="shared" si="16"/>
        <v>Error?</v>
      </c>
    </row>
    <row r="1113" spans="1:4" x14ac:dyDescent="0.2">
      <c r="A1113" s="5">
        <v>1052</v>
      </c>
      <c r="B1113" s="138">
        <f>'Expenditures 15-22'!K40</f>
        <v>55917</v>
      </c>
      <c r="C1113" s="2" t="s">
        <v>594</v>
      </c>
      <c r="D1113" s="2" t="str">
        <f t="shared" si="16"/>
        <v>Error?</v>
      </c>
    </row>
    <row r="1114" spans="1:4" x14ac:dyDescent="0.2">
      <c r="A1114" s="5">
        <v>1053</v>
      </c>
      <c r="B1114" s="138">
        <f>'Expenditures 15-22'!K41</f>
        <v>163807</v>
      </c>
      <c r="C1114" s="2" t="s">
        <v>594</v>
      </c>
      <c r="D1114" s="2" t="str">
        <f t="shared" si="16"/>
        <v>Error?</v>
      </c>
    </row>
    <row r="1115" spans="1:4" x14ac:dyDescent="0.2">
      <c r="A1115" s="5">
        <v>1054</v>
      </c>
      <c r="B1115" s="138">
        <f>'Expenditures 15-22'!K42</f>
        <v>659753</v>
      </c>
      <c r="C1115" s="2" t="s">
        <v>594</v>
      </c>
      <c r="D1115" s="2" t="str">
        <f t="shared" si="16"/>
        <v>Error?</v>
      </c>
    </row>
    <row r="1116" spans="1:4" x14ac:dyDescent="0.2">
      <c r="A1116" s="5">
        <v>1055</v>
      </c>
      <c r="B1116" s="138">
        <f>'Expenditures 15-22'!K44</f>
        <v>64983</v>
      </c>
      <c r="C1116" s="2" t="s">
        <v>594</v>
      </c>
      <c r="D1116" s="2" t="str">
        <f t="shared" si="16"/>
        <v>Error?</v>
      </c>
    </row>
    <row r="1117" spans="1:4" x14ac:dyDescent="0.2">
      <c r="A1117" s="5">
        <v>1056</v>
      </c>
      <c r="B1117" s="138">
        <f>'Expenditures 15-22'!K45</f>
        <v>107694</v>
      </c>
      <c r="C1117" s="2" t="s">
        <v>594</v>
      </c>
      <c r="D1117" s="2" t="str">
        <f t="shared" si="16"/>
        <v>Error?</v>
      </c>
    </row>
    <row r="1118" spans="1:4" x14ac:dyDescent="0.2">
      <c r="A1118" s="5">
        <v>1057</v>
      </c>
      <c r="B1118" s="138">
        <f>'Expenditures 15-22'!K46</f>
        <v>10601</v>
      </c>
      <c r="C1118" s="2" t="s">
        <v>594</v>
      </c>
      <c r="D1118" s="2" t="str">
        <f t="shared" si="16"/>
        <v>Error?</v>
      </c>
    </row>
    <row r="1119" spans="1:4" x14ac:dyDescent="0.2">
      <c r="A1119" s="5">
        <v>1058</v>
      </c>
      <c r="B1119" s="138">
        <f>'Expenditures 15-22'!K47</f>
        <v>183278</v>
      </c>
      <c r="C1119" s="2" t="s">
        <v>594</v>
      </c>
      <c r="D1119" s="2" t="str">
        <f t="shared" si="16"/>
        <v>Error?</v>
      </c>
    </row>
    <row r="1120" spans="1:4" x14ac:dyDescent="0.2">
      <c r="A1120" s="5">
        <v>1059</v>
      </c>
      <c r="B1120" s="138">
        <f>'Expenditures 15-22'!K49</f>
        <v>102648</v>
      </c>
      <c r="C1120" s="2" t="s">
        <v>594</v>
      </c>
      <c r="D1120" s="2" t="str">
        <f t="shared" si="16"/>
        <v>Error?</v>
      </c>
    </row>
    <row r="1121" spans="1:4" x14ac:dyDescent="0.2">
      <c r="A1121" s="5">
        <v>1060</v>
      </c>
      <c r="B1121" s="138">
        <f>'Expenditures 15-22'!K50</f>
        <v>210255</v>
      </c>
      <c r="C1121" s="2" t="s">
        <v>594</v>
      </c>
      <c r="D1121" s="2" t="str">
        <f t="shared" si="16"/>
        <v>Error?</v>
      </c>
    </row>
    <row r="1122" spans="1:4" x14ac:dyDescent="0.2">
      <c r="A1122" s="5">
        <v>1061</v>
      </c>
      <c r="B1122" s="138">
        <f>'Expenditures 15-22'!K53</f>
        <v>481672</v>
      </c>
      <c r="C1122" s="2" t="s">
        <v>594</v>
      </c>
      <c r="D1122" s="2" t="str">
        <f t="shared" si="16"/>
        <v>Error?</v>
      </c>
    </row>
    <row r="1123" spans="1:4" x14ac:dyDescent="0.2">
      <c r="A1123" s="5">
        <v>1062</v>
      </c>
      <c r="B1123" s="138">
        <f>'Expenditures 15-22'!K55</f>
        <v>501648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501648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86758</v>
      </c>
      <c r="C1127" s="2" t="s">
        <v>594</v>
      </c>
      <c r="D1127" s="2" t="str">
        <f t="shared" si="16"/>
        <v>Error?</v>
      </c>
    </row>
    <row r="1128" spans="1:4" x14ac:dyDescent="0.2">
      <c r="A1128" s="5">
        <v>1067</v>
      </c>
      <c r="B1128" s="138">
        <f>'Expenditures 15-22'!K61</f>
        <v>555486</v>
      </c>
      <c r="C1128" s="2" t="s">
        <v>594</v>
      </c>
      <c r="D1128" s="2" t="str">
        <f t="shared" si="16"/>
        <v>Error?</v>
      </c>
    </row>
    <row r="1129" spans="1:4" x14ac:dyDescent="0.2">
      <c r="A1129" s="5">
        <v>1068</v>
      </c>
      <c r="B1129" s="138">
        <f>'Expenditures 15-22'!K62</f>
        <v>9128</v>
      </c>
      <c r="C1129" s="2" t="s">
        <v>594</v>
      </c>
      <c r="D1129" s="2" t="str">
        <f t="shared" si="16"/>
        <v>Error?</v>
      </c>
    </row>
    <row r="1130" spans="1:4" x14ac:dyDescent="0.2">
      <c r="A1130" s="5">
        <v>1069</v>
      </c>
      <c r="B1130" s="138">
        <f>'Expenditures 15-22'!K63</f>
        <v>407770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1059142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1540</v>
      </c>
      <c r="C1135" s="2" t="s">
        <v>594</v>
      </c>
      <c r="D1135" s="2" t="str">
        <f t="shared" si="16"/>
        <v>Error?</v>
      </c>
    </row>
    <row r="1136" spans="1:4" x14ac:dyDescent="0.2">
      <c r="A1136" s="5">
        <v>1075</v>
      </c>
      <c r="B1136" s="138">
        <f>'Expenditures 15-22'!K69</f>
        <v>215432</v>
      </c>
      <c r="C1136" s="2" t="s">
        <v>594</v>
      </c>
      <c r="D1136" s="2" t="str">
        <f t="shared" si="16"/>
        <v>Error?</v>
      </c>
    </row>
    <row r="1137" spans="1:4" x14ac:dyDescent="0.2">
      <c r="A1137" s="5">
        <v>1076</v>
      </c>
      <c r="B1137" s="138">
        <f>'Expenditures 15-22'!K70</f>
        <v>4620</v>
      </c>
      <c r="C1137" s="2" t="s">
        <v>594</v>
      </c>
      <c r="D1137" s="2" t="str">
        <f t="shared" si="16"/>
        <v>Error?</v>
      </c>
    </row>
    <row r="1138" spans="1:4" x14ac:dyDescent="0.2">
      <c r="A1138" s="10">
        <v>1077</v>
      </c>
      <c r="D1138" s="2" t="str">
        <f t="shared" si="16"/>
        <v>OK</v>
      </c>
    </row>
    <row r="1139" spans="1:4" x14ac:dyDescent="0.2">
      <c r="A1139" s="5">
        <v>1078</v>
      </c>
      <c r="B1139" s="138">
        <f>'Expenditures 15-22'!K71</f>
        <v>15994</v>
      </c>
      <c r="C1139" s="2" t="s">
        <v>594</v>
      </c>
      <c r="D1139" s="2" t="str">
        <f t="shared" si="16"/>
        <v>Error?</v>
      </c>
    </row>
    <row r="1140" spans="1:4" x14ac:dyDescent="0.2">
      <c r="A1140" s="10">
        <v>1079</v>
      </c>
      <c r="D1140" s="2" t="str">
        <f t="shared" si="16"/>
        <v>OK</v>
      </c>
    </row>
    <row r="1141" spans="1:4" x14ac:dyDescent="0.2">
      <c r="A1141" s="5">
        <v>1080</v>
      </c>
      <c r="B1141" s="138">
        <f>'Expenditures 15-22'!K72</f>
        <v>237586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3123079</v>
      </c>
      <c r="C1143" s="2" t="s">
        <v>594</v>
      </c>
      <c r="D1143" s="2" t="str">
        <f t="shared" si="16"/>
        <v>Error?</v>
      </c>
    </row>
    <row r="1144" spans="1:4" x14ac:dyDescent="0.2">
      <c r="A1144" s="5">
        <v>1083</v>
      </c>
      <c r="B1144" s="138">
        <f>'Expenditures 15-22'!K75</f>
        <v>18493</v>
      </c>
      <c r="C1144" s="2" t="s">
        <v>594</v>
      </c>
      <c r="D1144" s="2" t="str">
        <f t="shared" si="16"/>
        <v>Error?</v>
      </c>
    </row>
    <row r="1145" spans="1:4" x14ac:dyDescent="0.2">
      <c r="A1145" s="5">
        <v>1084</v>
      </c>
      <c r="B1145" s="138">
        <f>'Expenditures 15-22'!K102</f>
        <v>86478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8414046</v>
      </c>
      <c r="C1152" s="2" t="s">
        <v>594</v>
      </c>
      <c r="D1152" s="2" t="str">
        <f t="shared" si="17"/>
        <v>Error?</v>
      </c>
    </row>
    <row r="1153" spans="1:4" x14ac:dyDescent="0.2">
      <c r="A1153" s="5">
        <v>1092</v>
      </c>
      <c r="B1153" s="138">
        <f>'Expenditures 15-22'!K115</f>
        <v>867536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130914</v>
      </c>
      <c r="D1221" s="2" t="str">
        <f t="shared" si="18"/>
        <v>Error?</v>
      </c>
    </row>
    <row r="1222" spans="1:4" x14ac:dyDescent="0.2">
      <c r="A1222" s="10">
        <v>1161</v>
      </c>
      <c r="D1222" s="2" t="str">
        <f t="shared" si="18"/>
        <v>OK</v>
      </c>
    </row>
    <row r="1223" spans="1:4" x14ac:dyDescent="0.2">
      <c r="A1223" s="5">
        <v>1162</v>
      </c>
      <c r="B1223" s="138">
        <f>'Expenditures 15-22'!C127</f>
        <v>130914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130914</v>
      </c>
      <c r="C1225" s="2" t="s">
        <v>594</v>
      </c>
      <c r="D1225" s="2" t="str">
        <f t="shared" si="18"/>
        <v>Error?</v>
      </c>
    </row>
    <row r="1226" spans="1:4" x14ac:dyDescent="0.2">
      <c r="A1226" s="5">
        <v>1165</v>
      </c>
      <c r="B1226" s="138">
        <f>'Expenditures 15-22'!C151</f>
        <v>130914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10696</v>
      </c>
      <c r="D1229" s="2" t="str">
        <f t="shared" si="18"/>
        <v>Error?</v>
      </c>
    </row>
    <row r="1230" spans="1:4" x14ac:dyDescent="0.2">
      <c r="A1230" s="10">
        <v>1169</v>
      </c>
      <c r="D1230" s="2" t="str">
        <f t="shared" si="18"/>
        <v>OK</v>
      </c>
    </row>
    <row r="1231" spans="1:4" x14ac:dyDescent="0.2">
      <c r="A1231" s="5">
        <v>1170</v>
      </c>
      <c r="B1231" s="138">
        <f>'Expenditures 15-22'!D127</f>
        <v>10696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10696</v>
      </c>
      <c r="C1233" s="2" t="s">
        <v>594</v>
      </c>
      <c r="D1233" s="2" t="str">
        <f t="shared" si="18"/>
        <v>Error?</v>
      </c>
    </row>
    <row r="1234" spans="1:4" x14ac:dyDescent="0.2">
      <c r="A1234" s="5">
        <v>1173</v>
      </c>
      <c r="B1234" s="138">
        <f>'Expenditures 15-22'!D151</f>
        <v>10696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178102</v>
      </c>
      <c r="D1237" s="2" t="str">
        <f t="shared" si="18"/>
        <v>Error?</v>
      </c>
    </row>
    <row r="1238" spans="1:4" x14ac:dyDescent="0.2">
      <c r="A1238" s="10">
        <v>1177</v>
      </c>
      <c r="D1238" s="2" t="str">
        <f t="shared" si="18"/>
        <v>OK</v>
      </c>
    </row>
    <row r="1239" spans="1:4" x14ac:dyDescent="0.2">
      <c r="A1239" s="5">
        <v>1178</v>
      </c>
      <c r="B1239" s="138">
        <f>'Expenditures 15-22'!E127</f>
        <v>178102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178102</v>
      </c>
      <c r="C1241" s="2" t="s">
        <v>594</v>
      </c>
      <c r="D1241" s="2" t="str">
        <f t="shared" si="18"/>
        <v>Error?</v>
      </c>
    </row>
    <row r="1242" spans="1:4" x14ac:dyDescent="0.2">
      <c r="A1242" s="5">
        <v>1181</v>
      </c>
      <c r="B1242" s="138">
        <f>'Expenditures 15-22'!E151</f>
        <v>178102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105520</v>
      </c>
      <c r="D1245" s="2" t="str">
        <f t="shared" si="18"/>
        <v>Error?</v>
      </c>
    </row>
    <row r="1246" spans="1:4" x14ac:dyDescent="0.2">
      <c r="A1246" s="10">
        <v>1185</v>
      </c>
      <c r="D1246" s="2" t="str">
        <f t="shared" si="18"/>
        <v>OK</v>
      </c>
    </row>
    <row r="1247" spans="1:4" x14ac:dyDescent="0.2">
      <c r="A1247" s="5">
        <v>1186</v>
      </c>
      <c r="B1247" s="138">
        <f>'Expenditures 15-22'!F127</f>
        <v>105520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105520</v>
      </c>
      <c r="C1249" s="2" t="s">
        <v>594</v>
      </c>
      <c r="D1249" s="2" t="str">
        <f t="shared" si="18"/>
        <v>Error?</v>
      </c>
    </row>
    <row r="1250" spans="1:4" x14ac:dyDescent="0.2">
      <c r="A1250" s="5">
        <v>1189</v>
      </c>
      <c r="B1250" s="138">
        <f>'Expenditures 15-22'!F151</f>
        <v>105520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56504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56504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56504</v>
      </c>
      <c r="C1258" s="2" t="s">
        <v>594</v>
      </c>
      <c r="D1258" s="2" t="str">
        <f t="shared" si="18"/>
        <v>Error?</v>
      </c>
    </row>
    <row r="1259" spans="1:4" x14ac:dyDescent="0.2">
      <c r="A1259" s="5">
        <v>1198</v>
      </c>
      <c r="B1259" s="138">
        <f>'Expenditures 15-22'!G151</f>
        <v>56504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481736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481736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481736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481736</v>
      </c>
      <c r="C1288" s="2" t="s">
        <v>594</v>
      </c>
      <c r="D1288" s="2" t="str">
        <f t="shared" si="19"/>
        <v>Error?</v>
      </c>
    </row>
    <row r="1289" spans="1:4" x14ac:dyDescent="0.2">
      <c r="A1289" s="5">
        <v>1228</v>
      </c>
      <c r="B1289" s="138">
        <f>'Expenditures 15-22'!K152</f>
        <v>12261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215538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435000</v>
      </c>
      <c r="D1315" s="2" t="str">
        <f t="shared" si="19"/>
        <v>Error?</v>
      </c>
    </row>
    <row r="1316" spans="1:4" x14ac:dyDescent="0.2">
      <c r="A1316" s="5">
        <v>1255</v>
      </c>
      <c r="B1316" s="138">
        <f>'Expenditures 15-22'!H171</f>
        <v>7969</v>
      </c>
      <c r="D1316" s="2" t="str">
        <f t="shared" si="19"/>
        <v>Error?</v>
      </c>
    </row>
    <row r="1317" spans="1:4" x14ac:dyDescent="0.2">
      <c r="A1317" s="5">
        <v>1256</v>
      </c>
      <c r="B1317" s="138">
        <f>'Expenditures 15-22'!H172</f>
        <v>658507</v>
      </c>
      <c r="C1317" s="2" t="s">
        <v>594</v>
      </c>
      <c r="D1317" s="2" t="str">
        <f t="shared" si="19"/>
        <v>Error?</v>
      </c>
    </row>
    <row r="1318" spans="1:4" x14ac:dyDescent="0.2">
      <c r="A1318" s="5">
        <v>1257</v>
      </c>
      <c r="B1318" s="138">
        <f>'Expenditures 15-22'!H174</f>
        <v>658507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215538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435000</v>
      </c>
      <c r="C1329" s="2" t="s">
        <v>594</v>
      </c>
      <c r="D1329" s="2" t="str">
        <f t="shared" si="19"/>
        <v>Error?</v>
      </c>
    </row>
    <row r="1330" spans="1:4" x14ac:dyDescent="0.2">
      <c r="A1330" s="5">
        <v>1269</v>
      </c>
      <c r="B1330" s="138">
        <f>'Expenditures 15-22'!K171</f>
        <v>7969</v>
      </c>
      <c r="C1330" s="2" t="s">
        <v>594</v>
      </c>
      <c r="D1330" s="2" t="str">
        <f t="shared" si="19"/>
        <v>Error?</v>
      </c>
    </row>
    <row r="1331" spans="1:4" x14ac:dyDescent="0.2">
      <c r="A1331" s="5">
        <v>1270</v>
      </c>
      <c r="B1331" s="138">
        <f>'Expenditures 15-22'!K172</f>
        <v>658507</v>
      </c>
      <c r="C1331" s="2" t="s">
        <v>594</v>
      </c>
      <c r="D1331" s="2" t="str">
        <f t="shared" si="19"/>
        <v>Error?</v>
      </c>
    </row>
    <row r="1332" spans="1:4" x14ac:dyDescent="0.2">
      <c r="A1332" s="5">
        <v>1271</v>
      </c>
      <c r="B1332" s="138">
        <f>'Expenditures 15-22'!K174</f>
        <v>658507</v>
      </c>
      <c r="C1332" s="2" t="s">
        <v>594</v>
      </c>
      <c r="D1332" s="2" t="str">
        <f t="shared" si="19"/>
        <v>Error?</v>
      </c>
    </row>
    <row r="1333" spans="1:4" x14ac:dyDescent="0.2">
      <c r="A1333" s="5">
        <v>1272</v>
      </c>
      <c r="B1333" s="138">
        <f>'Expenditures 15-22'!K175</f>
        <v>216899</v>
      </c>
      <c r="C1333" s="2" t="s">
        <v>594</v>
      </c>
      <c r="D1333" s="2" t="str">
        <f t="shared" si="19"/>
        <v>Error?</v>
      </c>
    </row>
    <row r="1334" spans="1:4" x14ac:dyDescent="0.2">
      <c r="A1334" s="10">
        <v>1273</v>
      </c>
      <c r="D1334" s="2" t="str">
        <f t="shared" si="19"/>
        <v>OK</v>
      </c>
    </row>
    <row r="1335" spans="1:4" x14ac:dyDescent="0.2">
      <c r="A1335" s="5">
        <v>1274</v>
      </c>
      <c r="B1335" s="138">
        <f>'Expenditures 15-22'!C182</f>
        <v>19773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4667</v>
      </c>
      <c r="D1338" s="2" t="str">
        <f t="shared" si="19"/>
        <v>Error?</v>
      </c>
    </row>
    <row r="1339" spans="1:4" x14ac:dyDescent="0.2">
      <c r="A1339" s="5">
        <v>1278</v>
      </c>
      <c r="B1339" s="138">
        <f>'Expenditures 15-22'!C184</f>
        <v>24440</v>
      </c>
      <c r="C1339" s="2" t="s">
        <v>594</v>
      </c>
      <c r="D1339" s="2" t="str">
        <f t="shared" si="19"/>
        <v>Error?</v>
      </c>
    </row>
    <row r="1340" spans="1:4" x14ac:dyDescent="0.2">
      <c r="A1340" s="5">
        <v>1279</v>
      </c>
      <c r="B1340" s="138">
        <f>'Expenditures 15-22'!C210</f>
        <v>24440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879</v>
      </c>
      <c r="D1344" s="2" t="str">
        <f t="shared" si="20"/>
        <v>Error?</v>
      </c>
    </row>
    <row r="1345" spans="1:4" x14ac:dyDescent="0.2">
      <c r="A1345" s="5">
        <v>1284</v>
      </c>
      <c r="B1345" s="138">
        <f>'Expenditures 15-22'!D184</f>
        <v>879</v>
      </c>
      <c r="C1345" s="2" t="s">
        <v>594</v>
      </c>
      <c r="D1345" s="2" t="str">
        <f t="shared" si="20"/>
        <v>Error?</v>
      </c>
    </row>
    <row r="1346" spans="1:4" x14ac:dyDescent="0.2">
      <c r="A1346" s="5">
        <v>1285</v>
      </c>
      <c r="B1346" s="138">
        <f>'Expenditures 15-22'!D210</f>
        <v>879</v>
      </c>
      <c r="C1346" s="2" t="s">
        <v>594</v>
      </c>
      <c r="D1346" s="2" t="str">
        <f t="shared" si="20"/>
        <v>Error?</v>
      </c>
    </row>
    <row r="1347" spans="1:4" x14ac:dyDescent="0.2">
      <c r="A1347" s="5">
        <v>1286</v>
      </c>
      <c r="B1347" s="138">
        <f>'Expenditures 15-22'!E182</f>
        <v>474837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474837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474837</v>
      </c>
      <c r="C1353" s="2" t="s">
        <v>594</v>
      </c>
      <c r="D1353" s="2" t="str">
        <f t="shared" si="20"/>
        <v>Error?</v>
      </c>
    </row>
    <row r="1354" spans="1:4" x14ac:dyDescent="0.2">
      <c r="A1354" s="5">
        <v>1293</v>
      </c>
      <c r="B1354" s="138">
        <f>'Expenditures 15-22'!F182</f>
        <v>33275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33275</v>
      </c>
      <c r="C1358" s="2" t="s">
        <v>594</v>
      </c>
      <c r="D1358" s="2" t="str">
        <f t="shared" si="20"/>
        <v>Error?</v>
      </c>
    </row>
    <row r="1359" spans="1:4" x14ac:dyDescent="0.2">
      <c r="A1359" s="5">
        <v>1298</v>
      </c>
      <c r="B1359" s="138">
        <f>'Expenditures 15-22'!F210</f>
        <v>33275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527885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5546</v>
      </c>
      <c r="C1380" s="2" t="s">
        <v>594</v>
      </c>
      <c r="D1380" s="2" t="str">
        <f t="shared" si="20"/>
        <v>Error?</v>
      </c>
    </row>
    <row r="1381" spans="1:4" x14ac:dyDescent="0.2">
      <c r="A1381" s="5">
        <v>1320</v>
      </c>
      <c r="B1381" s="138">
        <f>'Expenditures 15-22'!K184</f>
        <v>533431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533431</v>
      </c>
      <c r="C1388" s="2" t="s">
        <v>594</v>
      </c>
      <c r="D1388" s="2" t="str">
        <f t="shared" si="20"/>
        <v>Error?</v>
      </c>
    </row>
    <row r="1389" spans="1:4" x14ac:dyDescent="0.2">
      <c r="A1389" s="5">
        <v>1328</v>
      </c>
      <c r="B1389" s="138">
        <f>'Expenditures 15-22'!K211</f>
        <v>26566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1332</v>
      </c>
      <c r="D1407" s="2" t="str">
        <f t="shared" ref="D1407:D1470" si="21">IF(ISBLANK(B1407),"OK",IF(A1407-B1407=0,"OK","Error?"))</f>
        <v>Error?</v>
      </c>
    </row>
    <row r="1408" spans="1:4" x14ac:dyDescent="0.2">
      <c r="A1408" s="5">
        <v>1347</v>
      </c>
      <c r="B1408" s="138">
        <f>'Expenditures 15-22'!D223</f>
        <v>4382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96011</v>
      </c>
      <c r="C1410" s="2" t="s">
        <v>594</v>
      </c>
      <c r="D1410" s="2" t="str">
        <f t="shared" si="21"/>
        <v>Error?</v>
      </c>
    </row>
    <row r="1411" spans="1:4" x14ac:dyDescent="0.2">
      <c r="A1411" s="5">
        <v>1350</v>
      </c>
      <c r="B1411" s="138">
        <f>'Expenditures 15-22'!D232</f>
        <v>1527</v>
      </c>
      <c r="D1411" s="2" t="str">
        <f t="shared" si="21"/>
        <v>Error?</v>
      </c>
    </row>
    <row r="1412" spans="1:4" x14ac:dyDescent="0.2">
      <c r="A1412" s="5">
        <v>1351</v>
      </c>
      <c r="B1412" s="138">
        <f>'Expenditures 15-22'!D233</f>
        <v>621</v>
      </c>
      <c r="D1412" s="2" t="str">
        <f t="shared" si="21"/>
        <v>Error?</v>
      </c>
    </row>
    <row r="1413" spans="1:4" x14ac:dyDescent="0.2">
      <c r="A1413" s="5">
        <v>1352</v>
      </c>
      <c r="B1413" s="138">
        <f>'Expenditures 15-22'!D234</f>
        <v>5693</v>
      </c>
      <c r="D1413" s="2" t="str">
        <f t="shared" si="21"/>
        <v>Error?</v>
      </c>
    </row>
    <row r="1414" spans="1:4" x14ac:dyDescent="0.2">
      <c r="A1414" s="5">
        <v>1353</v>
      </c>
      <c r="B1414" s="138">
        <f>'Expenditures 15-22'!D235</f>
        <v>837</v>
      </c>
      <c r="D1414" s="2" t="str">
        <f t="shared" si="21"/>
        <v>Error?</v>
      </c>
    </row>
    <row r="1415" spans="1:4" x14ac:dyDescent="0.2">
      <c r="A1415" s="5">
        <v>1354</v>
      </c>
      <c r="B1415" s="138">
        <f>'Expenditures 15-22'!D236</f>
        <v>726</v>
      </c>
      <c r="D1415" s="2" t="str">
        <f t="shared" si="21"/>
        <v>Error?</v>
      </c>
    </row>
    <row r="1416" spans="1:4" x14ac:dyDescent="0.2">
      <c r="A1416" s="5">
        <v>1355</v>
      </c>
      <c r="B1416" s="138">
        <f>'Expenditures 15-22'!D237</f>
        <v>27038</v>
      </c>
      <c r="D1416" s="2" t="str">
        <f t="shared" si="21"/>
        <v>Error?</v>
      </c>
    </row>
    <row r="1417" spans="1:4" x14ac:dyDescent="0.2">
      <c r="A1417" s="5">
        <v>1356</v>
      </c>
      <c r="B1417" s="138">
        <f>'Expenditures 15-22'!D238</f>
        <v>36442</v>
      </c>
      <c r="C1417" s="2" t="s">
        <v>594</v>
      </c>
      <c r="D1417" s="2" t="str">
        <f t="shared" si="21"/>
        <v>Error?</v>
      </c>
    </row>
    <row r="1418" spans="1:4" x14ac:dyDescent="0.2">
      <c r="A1418" s="5">
        <v>1357</v>
      </c>
      <c r="B1418" s="138">
        <f>'Expenditures 15-22'!D240</f>
        <v>328</v>
      </c>
      <c r="D1418" s="2" t="str">
        <f t="shared" si="21"/>
        <v>Error?</v>
      </c>
    </row>
    <row r="1419" spans="1:4" x14ac:dyDescent="0.2">
      <c r="A1419" s="5">
        <v>1358</v>
      </c>
      <c r="B1419" s="138">
        <f>'Expenditures 15-22'!D241</f>
        <v>10236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10564</v>
      </c>
      <c r="C1421" s="2" t="s">
        <v>594</v>
      </c>
      <c r="D1421" s="2" t="str">
        <f t="shared" si="21"/>
        <v>Error?</v>
      </c>
    </row>
    <row r="1422" spans="1:4" x14ac:dyDescent="0.2">
      <c r="A1422" s="5">
        <v>1361</v>
      </c>
      <c r="B1422" s="138">
        <f>'Expenditures 15-22'!D245</f>
        <v>4600</v>
      </c>
      <c r="D1422" s="2" t="str">
        <f t="shared" si="21"/>
        <v>Error?</v>
      </c>
    </row>
    <row r="1423" spans="1:4" x14ac:dyDescent="0.2">
      <c r="A1423" s="5">
        <v>1362</v>
      </c>
      <c r="B1423" s="138">
        <f>'Expenditures 15-22'!D246</f>
        <v>12734</v>
      </c>
      <c r="D1423" s="2" t="str">
        <f t="shared" si="21"/>
        <v>Error?</v>
      </c>
    </row>
    <row r="1424" spans="1:4" x14ac:dyDescent="0.2">
      <c r="A1424" s="5">
        <v>1363</v>
      </c>
      <c r="B1424" s="138">
        <f>'Expenditures 15-22'!D257</f>
        <v>42089</v>
      </c>
      <c r="C1424" s="2" t="s">
        <v>594</v>
      </c>
      <c r="D1424" s="2" t="str">
        <f t="shared" si="21"/>
        <v>Error?</v>
      </c>
    </row>
    <row r="1425" spans="1:4" x14ac:dyDescent="0.2">
      <c r="A1425" s="5">
        <v>1364</v>
      </c>
      <c r="B1425" s="138">
        <f>'Expenditures 15-22'!D259</f>
        <v>28451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28451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10120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64048</v>
      </c>
      <c r="D1431" s="2" t="str">
        <f t="shared" si="21"/>
        <v>Error?</v>
      </c>
    </row>
    <row r="1432" spans="1:4" x14ac:dyDescent="0.2">
      <c r="A1432" s="5">
        <v>1371</v>
      </c>
      <c r="B1432" s="138">
        <f>'Expenditures 15-22'!D267</f>
        <v>3099</v>
      </c>
      <c r="D1432" s="2" t="str">
        <f t="shared" si="21"/>
        <v>Error?</v>
      </c>
    </row>
    <row r="1433" spans="1:4" x14ac:dyDescent="0.2">
      <c r="A1433" s="5">
        <v>1372</v>
      </c>
      <c r="B1433" s="138">
        <f>'Expenditures 15-22'!D268</f>
        <v>26058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103325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10407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10407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231278</v>
      </c>
      <c r="C1446" s="2" t="s">
        <v>594</v>
      </c>
      <c r="D1446" s="2" t="str">
        <f t="shared" si="21"/>
        <v>Error?</v>
      </c>
    </row>
    <row r="1447" spans="1:4" x14ac:dyDescent="0.2">
      <c r="A1447" s="5">
        <v>1386</v>
      </c>
      <c r="B1447" s="138">
        <f>'Expenditures 15-22'!D280</f>
        <v>124</v>
      </c>
      <c r="D1447" s="2" t="str">
        <f t="shared" si="21"/>
        <v>Error?</v>
      </c>
    </row>
    <row r="1448" spans="1:4" x14ac:dyDescent="0.2">
      <c r="A1448" s="5">
        <v>1387</v>
      </c>
      <c r="B1448" s="138">
        <f>'Expenditures 15-22'!D295</f>
        <v>327413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1332</v>
      </c>
      <c r="C1471" s="2" t="s">
        <v>594</v>
      </c>
      <c r="D1471" s="2" t="str">
        <f t="shared" ref="D1471:D1534" si="22">IF(ISBLANK(B1471),"OK",IF(A1471-B1471=0,"OK","Error?"))</f>
        <v>Error?</v>
      </c>
    </row>
    <row r="1472" spans="1:4" x14ac:dyDescent="0.2">
      <c r="A1472" s="5">
        <v>1411</v>
      </c>
      <c r="B1472" s="138">
        <f>'Expenditures 15-22'!K223</f>
        <v>4382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96011</v>
      </c>
      <c r="C1474" s="2" t="s">
        <v>594</v>
      </c>
      <c r="D1474" s="2" t="str">
        <f t="shared" si="22"/>
        <v>Error?</v>
      </c>
    </row>
    <row r="1475" spans="1:4" x14ac:dyDescent="0.2">
      <c r="A1475" s="5">
        <v>1414</v>
      </c>
      <c r="B1475" s="138">
        <f>'Expenditures 15-22'!K232</f>
        <v>1527</v>
      </c>
      <c r="C1475" s="2" t="s">
        <v>594</v>
      </c>
      <c r="D1475" s="2" t="str">
        <f t="shared" si="22"/>
        <v>Error?</v>
      </c>
    </row>
    <row r="1476" spans="1:4" x14ac:dyDescent="0.2">
      <c r="A1476" s="5">
        <v>1415</v>
      </c>
      <c r="B1476" s="138">
        <f>'Expenditures 15-22'!K233</f>
        <v>621</v>
      </c>
      <c r="C1476" s="2" t="s">
        <v>594</v>
      </c>
      <c r="D1476" s="2" t="str">
        <f t="shared" si="22"/>
        <v>Error?</v>
      </c>
    </row>
    <row r="1477" spans="1:4" x14ac:dyDescent="0.2">
      <c r="A1477" s="5">
        <v>1416</v>
      </c>
      <c r="B1477" s="138">
        <f>'Expenditures 15-22'!K234</f>
        <v>5693</v>
      </c>
      <c r="C1477" s="2" t="s">
        <v>594</v>
      </c>
      <c r="D1477" s="2" t="str">
        <f t="shared" si="22"/>
        <v>Error?</v>
      </c>
    </row>
    <row r="1478" spans="1:4" x14ac:dyDescent="0.2">
      <c r="A1478" s="5">
        <v>1417</v>
      </c>
      <c r="B1478" s="138">
        <f>'Expenditures 15-22'!K235</f>
        <v>837</v>
      </c>
      <c r="C1478" s="2" t="s">
        <v>594</v>
      </c>
      <c r="D1478" s="2" t="str">
        <f t="shared" si="22"/>
        <v>Error?</v>
      </c>
    </row>
    <row r="1479" spans="1:4" x14ac:dyDescent="0.2">
      <c r="A1479" s="5">
        <v>1418</v>
      </c>
      <c r="B1479" s="138">
        <f>'Expenditures 15-22'!K236</f>
        <v>726</v>
      </c>
      <c r="C1479" s="2" t="s">
        <v>594</v>
      </c>
      <c r="D1479" s="2" t="str">
        <f t="shared" si="22"/>
        <v>Error?</v>
      </c>
    </row>
    <row r="1480" spans="1:4" x14ac:dyDescent="0.2">
      <c r="A1480" s="5">
        <v>1419</v>
      </c>
      <c r="B1480" s="138">
        <f>'Expenditures 15-22'!K237</f>
        <v>27038</v>
      </c>
      <c r="C1480" s="2" t="s">
        <v>594</v>
      </c>
      <c r="D1480" s="2" t="str">
        <f t="shared" si="22"/>
        <v>Error?</v>
      </c>
    </row>
    <row r="1481" spans="1:4" x14ac:dyDescent="0.2">
      <c r="A1481" s="5">
        <v>1420</v>
      </c>
      <c r="B1481" s="138">
        <f>'Expenditures 15-22'!K238</f>
        <v>36442</v>
      </c>
      <c r="C1481" s="2" t="s">
        <v>594</v>
      </c>
      <c r="D1481" s="2" t="str">
        <f t="shared" si="22"/>
        <v>Error?</v>
      </c>
    </row>
    <row r="1482" spans="1:4" x14ac:dyDescent="0.2">
      <c r="A1482" s="5">
        <v>1421</v>
      </c>
      <c r="B1482" s="138">
        <f>'Expenditures 15-22'!K240</f>
        <v>328</v>
      </c>
      <c r="C1482" s="2" t="s">
        <v>594</v>
      </c>
      <c r="D1482" s="2" t="str">
        <f t="shared" si="22"/>
        <v>Error?</v>
      </c>
    </row>
    <row r="1483" spans="1:4" x14ac:dyDescent="0.2">
      <c r="A1483" s="5">
        <v>1422</v>
      </c>
      <c r="B1483" s="138">
        <f>'Expenditures 15-22'!K241</f>
        <v>10236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10564</v>
      </c>
      <c r="C1485" s="2" t="s">
        <v>594</v>
      </c>
      <c r="D1485" s="2" t="str">
        <f t="shared" si="22"/>
        <v>Error?</v>
      </c>
    </row>
    <row r="1486" spans="1:4" x14ac:dyDescent="0.2">
      <c r="A1486" s="5">
        <v>1425</v>
      </c>
      <c r="B1486" s="138">
        <f>'Expenditures 15-22'!K245</f>
        <v>4600</v>
      </c>
      <c r="C1486" s="2" t="s">
        <v>594</v>
      </c>
      <c r="D1486" s="2" t="str">
        <f t="shared" si="22"/>
        <v>Error?</v>
      </c>
    </row>
    <row r="1487" spans="1:4" x14ac:dyDescent="0.2">
      <c r="A1487" s="5">
        <v>1426</v>
      </c>
      <c r="B1487" s="138">
        <f>'Expenditures 15-22'!K246</f>
        <v>12734</v>
      </c>
      <c r="C1487" s="2" t="s">
        <v>594</v>
      </c>
      <c r="D1487" s="2" t="str">
        <f t="shared" si="22"/>
        <v>Error?</v>
      </c>
    </row>
    <row r="1488" spans="1:4" x14ac:dyDescent="0.2">
      <c r="A1488" s="5">
        <v>1427</v>
      </c>
      <c r="B1488" s="138">
        <f>'Expenditures 15-22'!K257</f>
        <v>42089</v>
      </c>
      <c r="C1488" s="2" t="s">
        <v>594</v>
      </c>
      <c r="D1488" s="2" t="str">
        <f t="shared" si="22"/>
        <v>Error?</v>
      </c>
    </row>
    <row r="1489" spans="1:4" x14ac:dyDescent="0.2">
      <c r="A1489" s="5">
        <v>1428</v>
      </c>
      <c r="B1489" s="138">
        <f>'Expenditures 15-22'!K259</f>
        <v>28451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28451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10120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64048</v>
      </c>
      <c r="C1495" s="2" t="s">
        <v>594</v>
      </c>
      <c r="D1495" s="2" t="str">
        <f t="shared" si="22"/>
        <v>Error?</v>
      </c>
    </row>
    <row r="1496" spans="1:4" x14ac:dyDescent="0.2">
      <c r="A1496" s="5">
        <v>1435</v>
      </c>
      <c r="B1496" s="138">
        <f>'Expenditures 15-22'!K267</f>
        <v>3099</v>
      </c>
      <c r="C1496" s="2" t="s">
        <v>594</v>
      </c>
      <c r="D1496" s="2" t="str">
        <f t="shared" si="22"/>
        <v>Error?</v>
      </c>
    </row>
    <row r="1497" spans="1:4" x14ac:dyDescent="0.2">
      <c r="A1497" s="5">
        <v>1436</v>
      </c>
      <c r="B1497" s="138">
        <f>'Expenditures 15-22'!K268</f>
        <v>26058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103325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10407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10407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231278</v>
      </c>
      <c r="C1510" s="2" t="s">
        <v>594</v>
      </c>
      <c r="D1510" s="2" t="str">
        <f t="shared" si="22"/>
        <v>Error?</v>
      </c>
    </row>
    <row r="1511" spans="1:4" x14ac:dyDescent="0.2">
      <c r="A1511" s="5">
        <v>1450</v>
      </c>
      <c r="B1511" s="138">
        <f>'Expenditures 15-22'!K280</f>
        <v>124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327413</v>
      </c>
      <c r="C1517" s="2" t="s">
        <v>594</v>
      </c>
      <c r="D1517" s="2" t="str">
        <f t="shared" si="22"/>
        <v>Error?</v>
      </c>
    </row>
    <row r="1518" spans="1:4" x14ac:dyDescent="0.2">
      <c r="A1518" s="5">
        <v>1457</v>
      </c>
      <c r="B1518" s="138">
        <f>'Expenditures 15-22'!K296</f>
        <v>241130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3073355</v>
      </c>
      <c r="C1630" s="2" t="s">
        <v>594</v>
      </c>
      <c r="D1630" s="2" t="str">
        <f t="shared" si="24"/>
        <v>Error?</v>
      </c>
    </row>
    <row r="1631" spans="1:4" x14ac:dyDescent="0.2">
      <c r="A1631" s="5">
        <v>1570</v>
      </c>
      <c r="B1631" s="138">
        <f>'Acct Summary 7-8'!D79</f>
        <v>215252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227513</v>
      </c>
      <c r="C1644" s="2" t="s">
        <v>594</v>
      </c>
      <c r="D1644" s="2" t="str">
        <f t="shared" si="24"/>
        <v>Error?</v>
      </c>
    </row>
    <row r="1645" spans="1:4" x14ac:dyDescent="0.2">
      <c r="A1645" s="5">
        <v>1584</v>
      </c>
      <c r="B1645" s="138">
        <f>'Acct Summary 7-8'!E79</f>
        <v>166450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383349</v>
      </c>
      <c r="C1658" s="2" t="s">
        <v>594</v>
      </c>
      <c r="D1658" s="2" t="str">
        <f t="shared" si="24"/>
        <v>Error?</v>
      </c>
    </row>
    <row r="1659" spans="1:4" x14ac:dyDescent="0.2">
      <c r="A1659" s="5">
        <v>1598</v>
      </c>
      <c r="B1659" s="138">
        <f>'Acct Summary 7-8'!F79</f>
        <v>518815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545381</v>
      </c>
      <c r="C1672" s="2" t="s">
        <v>594</v>
      </c>
      <c r="D1672" s="2" t="str">
        <f t="shared" si="25"/>
        <v>Error?</v>
      </c>
    </row>
    <row r="1673" spans="1:4" x14ac:dyDescent="0.2">
      <c r="A1673" s="5">
        <v>1612</v>
      </c>
      <c r="B1673" s="138">
        <f>'Acct Summary 7-8'!G79</f>
        <v>442672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683802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1479490</v>
      </c>
      <c r="C1744" s="2" t="s">
        <v>594</v>
      </c>
      <c r="D1744" s="2" t="str">
        <f t="shared" si="26"/>
        <v>Error?</v>
      </c>
    </row>
    <row r="1745" spans="1:5" x14ac:dyDescent="0.2">
      <c r="A1745" s="5">
        <v>1684</v>
      </c>
      <c r="B1745" s="138">
        <f>'Tax Sched 23'!B5</f>
        <v>358037</v>
      </c>
      <c r="C1745" s="2" t="s">
        <v>594</v>
      </c>
      <c r="D1745" s="2" t="str">
        <f t="shared" si="26"/>
        <v>Error?</v>
      </c>
    </row>
    <row r="1746" spans="1:5" x14ac:dyDescent="0.2">
      <c r="A1746" s="5">
        <v>1685</v>
      </c>
      <c r="B1746" s="138">
        <f>'Tax Sched 23'!B6</f>
        <v>859093</v>
      </c>
      <c r="C1746" s="2" t="s">
        <v>594</v>
      </c>
      <c r="D1746" s="2" t="str">
        <f t="shared" si="26"/>
        <v>Error?</v>
      </c>
    </row>
    <row r="1747" spans="1:5" x14ac:dyDescent="0.2">
      <c r="A1747" s="5">
        <v>1686</v>
      </c>
      <c r="B1747" s="138">
        <f>'Tax Sched 23'!B7</f>
        <v>143215</v>
      </c>
      <c r="C1747" s="2" t="s">
        <v>594</v>
      </c>
      <c r="D1747" s="2" t="str">
        <f t="shared" si="26"/>
        <v>Error?</v>
      </c>
    </row>
    <row r="1748" spans="1:5" x14ac:dyDescent="0.2">
      <c r="A1748" s="5">
        <v>1687</v>
      </c>
      <c r="B1748" s="138">
        <f>'Tax Sched 23'!B8</f>
        <v>233232</v>
      </c>
      <c r="C1748" s="2" t="s">
        <v>594</v>
      </c>
      <c r="D1748" s="2" t="str">
        <f t="shared" si="26"/>
        <v>Error?</v>
      </c>
    </row>
    <row r="1749" spans="1:5" x14ac:dyDescent="0.2">
      <c r="A1749" s="5">
        <v>1688</v>
      </c>
      <c r="B1749" s="138">
        <f>'Tax Sched 23'!B10</f>
        <v>5282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490141</v>
      </c>
      <c r="C1752" s="2" t="s">
        <v>594</v>
      </c>
      <c r="D1752" s="2" t="str">
        <f t="shared" si="26"/>
        <v>Error?</v>
      </c>
    </row>
    <row r="1753" spans="1:5" x14ac:dyDescent="0.2">
      <c r="A1753" s="5">
        <v>1692</v>
      </c>
      <c r="B1753" s="138">
        <f>'Tax Sched 23'!B12</f>
        <v>35804</v>
      </c>
      <c r="C1753" s="2" t="s">
        <v>594</v>
      </c>
      <c r="D1753" s="2" t="str">
        <f t="shared" si="26"/>
        <v>Error?</v>
      </c>
    </row>
    <row r="1754" spans="1:5" x14ac:dyDescent="0.2">
      <c r="A1754" s="5">
        <v>1693</v>
      </c>
      <c r="B1754" s="138">
        <f>'Tax Sched 23'!B14</f>
        <v>28687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3930199</v>
      </c>
      <c r="C1759" s="2" t="s">
        <v>594</v>
      </c>
      <c r="D1759" s="2" t="str">
        <f t="shared" si="26"/>
        <v>Error?</v>
      </c>
    </row>
    <row r="1760" spans="1:5" x14ac:dyDescent="0.2">
      <c r="A1760" s="5">
        <v>1699</v>
      </c>
      <c r="B1760" s="138">
        <f>'Tax Sched 23'!D4</f>
        <v>1127348</v>
      </c>
      <c r="C1760" s="2" t="s">
        <v>594</v>
      </c>
      <c r="D1760" s="2" t="str">
        <f t="shared" si="26"/>
        <v>Error?</v>
      </c>
    </row>
    <row r="1761" spans="1:5" x14ac:dyDescent="0.2">
      <c r="A1761" s="5">
        <v>1700</v>
      </c>
      <c r="B1761" s="138">
        <f>'Tax Sched 23'!D5</f>
        <v>270001</v>
      </c>
      <c r="C1761" s="2" t="s">
        <v>594</v>
      </c>
      <c r="D1761" s="2" t="str">
        <f t="shared" si="26"/>
        <v>Error?</v>
      </c>
    </row>
    <row r="1762" spans="1:5" s="8" customFormat="1" x14ac:dyDescent="0.2">
      <c r="A1762" s="5">
        <v>1701</v>
      </c>
      <c r="B1762" s="138">
        <f>'Tax Sched 23'!D6</f>
        <v>664799</v>
      </c>
      <c r="C1762" s="2" t="s">
        <v>594</v>
      </c>
      <c r="D1762" s="2" t="str">
        <f t="shared" si="26"/>
        <v>Error?</v>
      </c>
      <c r="E1762" s="9"/>
    </row>
    <row r="1763" spans="1:5" x14ac:dyDescent="0.2">
      <c r="A1763" s="5">
        <v>1702</v>
      </c>
      <c r="B1763" s="138">
        <f>'Tax Sched 23'!D7</f>
        <v>108001</v>
      </c>
      <c r="C1763" s="2" t="s">
        <v>594</v>
      </c>
      <c r="D1763" s="2" t="str">
        <f t="shared" si="26"/>
        <v>Error?</v>
      </c>
    </row>
    <row r="1764" spans="1:5" x14ac:dyDescent="0.2">
      <c r="A1764" s="5">
        <v>1703</v>
      </c>
      <c r="B1764" s="138">
        <f>'Tax Sched 23'!D8</f>
        <v>198018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322874</v>
      </c>
      <c r="C1768" s="2" t="s">
        <v>594</v>
      </c>
      <c r="D1768" s="2" t="str">
        <f t="shared" si="26"/>
        <v>Error?</v>
      </c>
    </row>
    <row r="1769" spans="1:5" x14ac:dyDescent="0.2">
      <c r="A1769" s="5">
        <v>1708</v>
      </c>
      <c r="B1769" s="138">
        <f>'Tax Sched 23'!D12</f>
        <v>27001</v>
      </c>
      <c r="C1769" s="2" t="s">
        <v>594</v>
      </c>
      <c r="D1769" s="2" t="str">
        <f t="shared" si="26"/>
        <v>Error?</v>
      </c>
    </row>
    <row r="1770" spans="1:5" x14ac:dyDescent="0.2">
      <c r="A1770" s="5">
        <v>1709</v>
      </c>
      <c r="B1770" s="138">
        <f>'Tax Sched 23'!D14</f>
        <v>21644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2985845</v>
      </c>
      <c r="C1775" s="2" t="s">
        <v>594</v>
      </c>
      <c r="D1775" s="2" t="str">
        <f t="shared" si="26"/>
        <v>Error?</v>
      </c>
    </row>
    <row r="1776" spans="1:5" x14ac:dyDescent="0.2">
      <c r="A1776" s="5">
        <v>1715</v>
      </c>
      <c r="B1776" s="138">
        <f>'Tax Sched 23'!C4</f>
        <v>352142</v>
      </c>
      <c r="D1776" s="2" t="str">
        <f t="shared" si="26"/>
        <v>Error?</v>
      </c>
    </row>
    <row r="1777" spans="1:4" x14ac:dyDescent="0.2">
      <c r="A1777" s="5">
        <v>1716</v>
      </c>
      <c r="B1777" s="138">
        <f>'Tax Sched 23'!C5</f>
        <v>88036</v>
      </c>
      <c r="D1777" s="2" t="str">
        <f t="shared" si="26"/>
        <v>Error?</v>
      </c>
    </row>
    <row r="1778" spans="1:4" x14ac:dyDescent="0.2">
      <c r="A1778" s="5">
        <v>1717</v>
      </c>
      <c r="B1778" s="138">
        <f>'Tax Sched 23'!C6</f>
        <v>194294</v>
      </c>
      <c r="D1778" s="2" t="str">
        <f t="shared" si="26"/>
        <v>Error?</v>
      </c>
    </row>
    <row r="1779" spans="1:4" x14ac:dyDescent="0.2">
      <c r="A1779" s="5">
        <v>1718</v>
      </c>
      <c r="B1779" s="138">
        <f>'Tax Sched 23'!C7</f>
        <v>35214</v>
      </c>
      <c r="D1779" s="2" t="str">
        <f t="shared" si="26"/>
        <v>Error?</v>
      </c>
    </row>
    <row r="1780" spans="1:4" x14ac:dyDescent="0.2">
      <c r="A1780" s="5">
        <v>1719</v>
      </c>
      <c r="B1780" s="138">
        <f>'Tax Sched 23'!C8</f>
        <v>35214</v>
      </c>
      <c r="D1780" s="2" t="str">
        <f t="shared" si="26"/>
        <v>Error?</v>
      </c>
    </row>
    <row r="1781" spans="1:4" x14ac:dyDescent="0.2">
      <c r="A1781" s="5">
        <v>1720</v>
      </c>
      <c r="B1781" s="138">
        <f>'Tax Sched 23'!C10</f>
        <v>5282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167267</v>
      </c>
      <c r="D1784" s="2" t="str">
        <f t="shared" si="26"/>
        <v>Error?</v>
      </c>
    </row>
    <row r="1785" spans="1:4" x14ac:dyDescent="0.2">
      <c r="A1785" s="5">
        <v>1724</v>
      </c>
      <c r="B1785" s="138">
        <f>'Tax Sched 23'!C12</f>
        <v>8803</v>
      </c>
      <c r="D1785" s="2" t="str">
        <f t="shared" si="26"/>
        <v>Error?</v>
      </c>
    </row>
    <row r="1786" spans="1:4" x14ac:dyDescent="0.2">
      <c r="A1786" s="5">
        <v>1725</v>
      </c>
      <c r="B1786" s="138">
        <f>'Tax Sched 23'!C14</f>
        <v>7043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944354</v>
      </c>
      <c r="C1791" s="2" t="s">
        <v>594</v>
      </c>
      <c r="D1791" s="2" t="str">
        <f t="shared" ref="D1791:D1854" si="27">IF(ISBLANK(B1791),"OK",IF(A1791-B1791=0,"OK","Error?"))</f>
        <v>Error?</v>
      </c>
    </row>
    <row r="1792" spans="1:4" x14ac:dyDescent="0.2">
      <c r="A1792" s="5">
        <v>1731</v>
      </c>
      <c r="B1792" s="138">
        <f>'Tax Sched 23'!F4</f>
        <v>993224</v>
      </c>
      <c r="C1792" s="2" t="s">
        <v>594</v>
      </c>
      <c r="D1792" s="2" t="str">
        <f t="shared" si="27"/>
        <v>Error?</v>
      </c>
    </row>
    <row r="1793" spans="1:4" x14ac:dyDescent="0.2">
      <c r="A1793" s="5">
        <v>1732</v>
      </c>
      <c r="B1793" s="138">
        <f>'Tax Sched 23'!F5</f>
        <v>248306</v>
      </c>
      <c r="C1793" s="2" t="s">
        <v>594</v>
      </c>
      <c r="D1793" s="2" t="str">
        <f t="shared" si="27"/>
        <v>Error?</v>
      </c>
    </row>
    <row r="1794" spans="1:4" x14ac:dyDescent="0.2">
      <c r="A1794" s="5">
        <v>1733</v>
      </c>
      <c r="B1794" s="138">
        <f>'Tax Sched 23'!F6</f>
        <v>548012</v>
      </c>
      <c r="C1794" s="2" t="s">
        <v>594</v>
      </c>
      <c r="D1794" s="2" t="str">
        <f t="shared" si="27"/>
        <v>Error?</v>
      </c>
    </row>
    <row r="1795" spans="1:4" x14ac:dyDescent="0.2">
      <c r="A1795" s="5">
        <v>1734</v>
      </c>
      <c r="B1795" s="138">
        <f>'Tax Sched 23'!F7</f>
        <v>99323</v>
      </c>
      <c r="C1795" s="2" t="s">
        <v>594</v>
      </c>
      <c r="D1795" s="2" t="str">
        <f t="shared" si="27"/>
        <v>Error?</v>
      </c>
    </row>
    <row r="1796" spans="1:4" x14ac:dyDescent="0.2">
      <c r="A1796" s="5">
        <v>1735</v>
      </c>
      <c r="B1796" s="138">
        <f>'Tax Sched 23'!F8</f>
        <v>99323</v>
      </c>
      <c r="C1796" s="2" t="s">
        <v>594</v>
      </c>
      <c r="D1796" s="2" t="str">
        <f t="shared" si="27"/>
        <v>Error?</v>
      </c>
    </row>
    <row r="1797" spans="1:4" x14ac:dyDescent="0.2">
      <c r="A1797" s="5">
        <v>1736</v>
      </c>
      <c r="B1797" s="138">
        <f>'Tax Sched 23'!F10</f>
        <v>14898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471782</v>
      </c>
      <c r="C1800" s="2" t="s">
        <v>594</v>
      </c>
      <c r="D1800" s="2" t="str">
        <f t="shared" si="27"/>
        <v>Error?</v>
      </c>
    </row>
    <row r="1801" spans="1:4" x14ac:dyDescent="0.2">
      <c r="A1801" s="5">
        <v>1740</v>
      </c>
      <c r="B1801" s="138">
        <f>'Tax Sched 23'!F12</f>
        <v>24831</v>
      </c>
      <c r="C1801" s="2" t="s">
        <v>594</v>
      </c>
      <c r="D1801" s="2" t="str">
        <f t="shared" si="27"/>
        <v>Error?</v>
      </c>
    </row>
    <row r="1802" spans="1:4" x14ac:dyDescent="0.2">
      <c r="A1802" s="5">
        <v>1741</v>
      </c>
      <c r="B1802" s="138">
        <f>'Tax Sched 23'!F14</f>
        <v>19864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2663582</v>
      </c>
      <c r="C1807" s="2" t="s">
        <v>594</v>
      </c>
      <c r="D1807" s="2" t="str">
        <f t="shared" si="27"/>
        <v>Error?</v>
      </c>
    </row>
    <row r="1808" spans="1:4" x14ac:dyDescent="0.2">
      <c r="A1808" s="5">
        <v>1747</v>
      </c>
      <c r="B1808" s="138">
        <f>'Tax Sched 23'!E4</f>
        <v>1345366</v>
      </c>
      <c r="D1808" s="2" t="str">
        <f t="shared" si="27"/>
        <v>Error?</v>
      </c>
    </row>
    <row r="1809" spans="1:4" x14ac:dyDescent="0.2">
      <c r="A1809" s="5">
        <v>1748</v>
      </c>
      <c r="B1809" s="138">
        <f>'Tax Sched 23'!E5</f>
        <v>336342</v>
      </c>
      <c r="D1809" s="2" t="str">
        <f t="shared" si="27"/>
        <v>Error?</v>
      </c>
    </row>
    <row r="1810" spans="1:4" x14ac:dyDescent="0.2">
      <c r="A1810" s="5">
        <v>1749</v>
      </c>
      <c r="B1810" s="138">
        <f>'Tax Sched 23'!E6</f>
        <v>742306</v>
      </c>
      <c r="D1810" s="2" t="str">
        <f t="shared" si="27"/>
        <v>Error?</v>
      </c>
    </row>
    <row r="1811" spans="1:4" x14ac:dyDescent="0.2">
      <c r="A1811" s="5">
        <v>1750</v>
      </c>
      <c r="B1811" s="138">
        <f>'Tax Sched 23'!E7</f>
        <v>134537</v>
      </c>
      <c r="D1811" s="2" t="str">
        <f t="shared" si="27"/>
        <v>Error?</v>
      </c>
    </row>
    <row r="1812" spans="1:4" x14ac:dyDescent="0.2">
      <c r="A1812" s="5">
        <v>1751</v>
      </c>
      <c r="B1812" s="138">
        <f>'Tax Sched 23'!E8</f>
        <v>134537</v>
      </c>
      <c r="D1812" s="2" t="str">
        <f t="shared" si="27"/>
        <v>Error?</v>
      </c>
    </row>
    <row r="1813" spans="1:4" x14ac:dyDescent="0.2">
      <c r="A1813" s="5">
        <v>1752</v>
      </c>
      <c r="B1813" s="138">
        <f>'Tax Sched 23'!E10</f>
        <v>20180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639049</v>
      </c>
      <c r="D1816" s="2" t="str">
        <f t="shared" si="27"/>
        <v>Error?</v>
      </c>
    </row>
    <row r="1817" spans="1:4" x14ac:dyDescent="0.2">
      <c r="A1817" s="5">
        <v>1756</v>
      </c>
      <c r="B1817" s="138">
        <f>'Tax Sched 23'!E12</f>
        <v>33634</v>
      </c>
      <c r="D1817" s="2" t="str">
        <f t="shared" si="27"/>
        <v>Error?</v>
      </c>
    </row>
    <row r="1818" spans="1:4" x14ac:dyDescent="0.2">
      <c r="A1818" s="5">
        <v>1757</v>
      </c>
      <c r="B1818" s="138">
        <f>'Tax Sched 23'!E14</f>
        <v>26907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3607936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28687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28687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28687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69455</v>
      </c>
      <c r="D2008" s="2" t="str">
        <f t="shared" si="30"/>
        <v>Error?</v>
      </c>
    </row>
    <row r="2009" spans="1:4" x14ac:dyDescent="0.2">
      <c r="A2009" s="5">
        <v>1948</v>
      </c>
      <c r="B2009" s="138">
        <f>'Cap Outlay Deprec 26'!C8</f>
        <v>17630240</v>
      </c>
      <c r="D2009" s="2" t="str">
        <f t="shared" si="30"/>
        <v>Error?</v>
      </c>
    </row>
    <row r="2010" spans="1:4" x14ac:dyDescent="0.2">
      <c r="A2010" s="5">
        <v>1949</v>
      </c>
      <c r="B2010" s="138">
        <f>'Cap Outlay Deprec 26'!C10</f>
        <v>6516875</v>
      </c>
      <c r="D2010" s="2" t="str">
        <f t="shared" si="30"/>
        <v>Error?</v>
      </c>
    </row>
    <row r="2011" spans="1:4" x14ac:dyDescent="0.2">
      <c r="A2011" s="5">
        <v>1950</v>
      </c>
      <c r="B2011" s="138">
        <f>'Cap Outlay Deprec 26'!C12</f>
        <v>2768203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26984773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56504</v>
      </c>
      <c r="D2016" s="2" t="str">
        <f t="shared" si="30"/>
        <v>Error?</v>
      </c>
    </row>
    <row r="2017" spans="1:4" x14ac:dyDescent="0.2">
      <c r="A2017" s="5">
        <v>1956</v>
      </c>
      <c r="B2017" s="138">
        <f>'Cap Outlay Deprec 26'!D12</f>
        <v>5318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61822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69455</v>
      </c>
      <c r="C2026" s="2" t="s">
        <v>594</v>
      </c>
      <c r="D2026" s="2" t="str">
        <f t="shared" si="30"/>
        <v>Error?</v>
      </c>
    </row>
    <row r="2027" spans="1:4" x14ac:dyDescent="0.2">
      <c r="A2027" s="5">
        <v>1966</v>
      </c>
      <c r="B2027" s="138">
        <f>'Cap Outlay Deprec 26'!F8</f>
        <v>17630240</v>
      </c>
      <c r="C2027" s="2" t="s">
        <v>594</v>
      </c>
      <c r="D2027" s="2" t="str">
        <f t="shared" si="30"/>
        <v>Error?</v>
      </c>
    </row>
    <row r="2028" spans="1:4" x14ac:dyDescent="0.2">
      <c r="A2028" s="5">
        <v>1967</v>
      </c>
      <c r="B2028" s="138">
        <f>'Cap Outlay Deprec 26'!F10</f>
        <v>6573379</v>
      </c>
      <c r="C2028" s="2" t="s">
        <v>594</v>
      </c>
      <c r="D2028" s="2" t="str">
        <f t="shared" si="30"/>
        <v>Error?</v>
      </c>
    </row>
    <row r="2029" spans="1:4" x14ac:dyDescent="0.2">
      <c r="A2029" s="5">
        <v>1968</v>
      </c>
      <c r="B2029" s="138">
        <f>'Cap Outlay Deprec 26'!F12</f>
        <v>2773521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27046595</v>
      </c>
      <c r="C2031" s="2" t="s">
        <v>594</v>
      </c>
      <c r="D2031" s="2" t="str">
        <f t="shared" si="30"/>
        <v>Error?</v>
      </c>
    </row>
    <row r="2032" spans="1:4" x14ac:dyDescent="0.2">
      <c r="A2032" s="10">
        <v>1971</v>
      </c>
      <c r="D2032" s="2" t="str">
        <f t="shared" si="30"/>
        <v>OK</v>
      </c>
    </row>
    <row r="2033" spans="1:4" x14ac:dyDescent="0.2">
      <c r="A2033" s="5">
        <v>1972</v>
      </c>
      <c r="B2033" s="138">
        <f>'Cap Outlay Deprec 26'!H8</f>
        <v>5163426</v>
      </c>
      <c r="D2033" s="2" t="str">
        <f t="shared" si="30"/>
        <v>Error?</v>
      </c>
    </row>
    <row r="2034" spans="1:4" x14ac:dyDescent="0.2">
      <c r="A2034" s="5">
        <v>1973</v>
      </c>
      <c r="B2034" s="138">
        <f>'Cap Outlay Deprec 26'!H10</f>
        <v>5943642</v>
      </c>
      <c r="D2034" s="2" t="str">
        <f t="shared" si="30"/>
        <v>Error?</v>
      </c>
    </row>
    <row r="2035" spans="1:4" x14ac:dyDescent="0.2">
      <c r="A2035" s="5">
        <v>1974</v>
      </c>
      <c r="B2035" s="138">
        <f>'Cap Outlay Deprec 26'!H12</f>
        <v>2425729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13532797</v>
      </c>
      <c r="C2037" s="2" t="s">
        <v>594</v>
      </c>
      <c r="D2037" s="2" t="str">
        <f t="shared" si="30"/>
        <v>Error?</v>
      </c>
    </row>
    <row r="2038" spans="1:4" x14ac:dyDescent="0.2">
      <c r="A2038" s="10">
        <v>1977</v>
      </c>
      <c r="D2038" s="2" t="str">
        <f t="shared" si="30"/>
        <v>OK</v>
      </c>
    </row>
    <row r="2039" spans="1:4" x14ac:dyDescent="0.2">
      <c r="A2039" s="5">
        <v>1978</v>
      </c>
      <c r="B2039" s="138">
        <f>'Cap Outlay Deprec 26'!I8</f>
        <v>352605</v>
      </c>
      <c r="D2039" s="2" t="str">
        <f t="shared" si="30"/>
        <v>Error?</v>
      </c>
    </row>
    <row r="2040" spans="1:4" x14ac:dyDescent="0.2">
      <c r="A2040" s="5">
        <v>1979</v>
      </c>
      <c r="B2040" s="138">
        <f>'Cap Outlay Deprec 26'!I10</f>
        <v>28662</v>
      </c>
      <c r="D2040" s="2" t="str">
        <f t="shared" si="30"/>
        <v>Error?</v>
      </c>
    </row>
    <row r="2041" spans="1:4" x14ac:dyDescent="0.2">
      <c r="A2041" s="5">
        <v>1980</v>
      </c>
      <c r="B2041" s="138">
        <f>'Cap Outlay Deprec 26'!I12</f>
        <v>34247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415514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5516031</v>
      </c>
      <c r="C2051" s="2" t="s">
        <v>594</v>
      </c>
      <c r="D2051" s="2" t="str">
        <f t="shared" si="31"/>
        <v>Error?</v>
      </c>
    </row>
    <row r="2052" spans="1:4" x14ac:dyDescent="0.2">
      <c r="A2052" s="5">
        <v>1991</v>
      </c>
      <c r="B2052" s="138">
        <f>'Cap Outlay Deprec 26'!K10</f>
        <v>5972304</v>
      </c>
      <c r="C2052" s="2" t="s">
        <v>594</v>
      </c>
      <c r="D2052" s="2" t="str">
        <f t="shared" si="31"/>
        <v>Error?</v>
      </c>
    </row>
    <row r="2053" spans="1:4" x14ac:dyDescent="0.2">
      <c r="A2053" s="5">
        <v>1992</v>
      </c>
      <c r="B2053" s="138">
        <f>'Cap Outlay Deprec 26'!K12</f>
        <v>2459976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13948311</v>
      </c>
      <c r="C2055" s="2" t="s">
        <v>594</v>
      </c>
      <c r="D2055" s="2" t="str">
        <f t="shared" si="31"/>
        <v>Error?</v>
      </c>
    </row>
    <row r="2056" spans="1:4" x14ac:dyDescent="0.2">
      <c r="A2056" s="5">
        <v>1995</v>
      </c>
      <c r="B2056" s="138">
        <f>'Cap Outlay Deprec 26'!L5</f>
        <v>69455</v>
      </c>
      <c r="C2056" s="2" t="s">
        <v>594</v>
      </c>
      <c r="D2056" s="2" t="str">
        <f t="shared" si="31"/>
        <v>Error?</v>
      </c>
    </row>
    <row r="2057" spans="1:4" x14ac:dyDescent="0.2">
      <c r="A2057" s="5">
        <v>1996</v>
      </c>
      <c r="B2057" s="138">
        <f>'Cap Outlay Deprec 26'!L8</f>
        <v>12114209</v>
      </c>
      <c r="C2057" s="2" t="s">
        <v>594</v>
      </c>
      <c r="D2057" s="2" t="str">
        <f t="shared" si="31"/>
        <v>Error?</v>
      </c>
    </row>
    <row r="2058" spans="1:4" x14ac:dyDescent="0.2">
      <c r="A2058" s="5">
        <v>1997</v>
      </c>
      <c r="B2058" s="138">
        <f>'Cap Outlay Deprec 26'!L10</f>
        <v>601075</v>
      </c>
      <c r="C2058" s="2" t="s">
        <v>594</v>
      </c>
      <c r="D2058" s="2" t="str">
        <f t="shared" si="31"/>
        <v>Error?</v>
      </c>
    </row>
    <row r="2059" spans="1:4" x14ac:dyDescent="0.2">
      <c r="A2059" s="5">
        <v>1998</v>
      </c>
      <c r="B2059" s="138">
        <f>'Cap Outlay Deprec 26'!L12</f>
        <v>313545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13098284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2385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2385</v>
      </c>
      <c r="C2088" s="2" t="s">
        <v>594</v>
      </c>
      <c r="D2088" s="2" t="str">
        <f t="shared" si="31"/>
        <v>Error?</v>
      </c>
    </row>
    <row r="2089" spans="1:4" x14ac:dyDescent="0.2">
      <c r="A2089" s="5">
        <v>2028</v>
      </c>
      <c r="B2089" s="138">
        <f>'Expenditures 15-22'!K92</f>
        <v>84093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2069024</v>
      </c>
      <c r="C2551" s="2" t="s">
        <v>594</v>
      </c>
      <c r="D2551" s="2" t="str">
        <f t="shared" si="38"/>
        <v>Error?</v>
      </c>
    </row>
    <row r="2552" spans="1:4" x14ac:dyDescent="0.2">
      <c r="A2552" s="10">
        <v>2491</v>
      </c>
      <c r="D2552" s="2" t="str">
        <f t="shared" si="38"/>
        <v>OK</v>
      </c>
    </row>
    <row r="2553" spans="1:4" x14ac:dyDescent="0.2">
      <c r="A2553" s="5">
        <v>2492</v>
      </c>
      <c r="B2553" s="138">
        <f>'Acct Summary 7-8'!C6</f>
        <v>6145179</v>
      </c>
      <c r="C2553" s="2" t="s">
        <v>594</v>
      </c>
      <c r="D2553" s="2" t="str">
        <f t="shared" si="38"/>
        <v>Error?</v>
      </c>
    </row>
    <row r="2554" spans="1:4" x14ac:dyDescent="0.2">
      <c r="A2554" s="5">
        <v>2493</v>
      </c>
      <c r="B2554" s="138">
        <f>'Acct Summary 7-8'!C7</f>
        <v>1015887</v>
      </c>
      <c r="C2554" s="2" t="s">
        <v>594</v>
      </c>
      <c r="D2554" s="2" t="str">
        <f t="shared" si="38"/>
        <v>Error?</v>
      </c>
    </row>
    <row r="2555" spans="1:4" x14ac:dyDescent="0.2">
      <c r="A2555" s="5">
        <v>2494</v>
      </c>
      <c r="B2555" s="138">
        <f>'Acct Summary 7-8'!C8</f>
        <v>9281582</v>
      </c>
      <c r="C2555" s="2" t="s">
        <v>594</v>
      </c>
      <c r="D2555" s="2" t="str">
        <f t="shared" si="38"/>
        <v>Error?</v>
      </c>
    </row>
    <row r="2556" spans="1:4" x14ac:dyDescent="0.2">
      <c r="A2556" s="5">
        <v>2495</v>
      </c>
      <c r="B2556" s="138">
        <f>'Acct Summary 7-8'!C12</f>
        <v>5185996</v>
      </c>
      <c r="C2556" s="2" t="s">
        <v>594</v>
      </c>
      <c r="D2556" s="2" t="str">
        <f t="shared" si="38"/>
        <v>Error?</v>
      </c>
    </row>
    <row r="2557" spans="1:4" x14ac:dyDescent="0.2">
      <c r="A2557" s="5">
        <v>2496</v>
      </c>
      <c r="B2557" s="138">
        <f>'Acct Summary 7-8'!C13</f>
        <v>3123079</v>
      </c>
      <c r="C2557" s="2" t="s">
        <v>594</v>
      </c>
      <c r="D2557" s="2" t="str">
        <f t="shared" si="38"/>
        <v>Error?</v>
      </c>
    </row>
    <row r="2558" spans="1:4" x14ac:dyDescent="0.2">
      <c r="A2558" s="5">
        <v>2497</v>
      </c>
      <c r="B2558" s="138">
        <f>'Acct Summary 7-8'!C14</f>
        <v>18493</v>
      </c>
      <c r="C2558" s="2" t="s">
        <v>594</v>
      </c>
      <c r="D2558" s="2" t="str">
        <f t="shared" si="38"/>
        <v>Error?</v>
      </c>
    </row>
    <row r="2559" spans="1:4" x14ac:dyDescent="0.2">
      <c r="A2559" s="5">
        <v>2498</v>
      </c>
      <c r="B2559" s="138">
        <f>'Acct Summary 7-8'!C15</f>
        <v>86478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8414046</v>
      </c>
      <c r="C2561" s="2" t="s">
        <v>594</v>
      </c>
      <c r="D2561" s="2" t="str">
        <f t="shared" si="39"/>
        <v>Error?</v>
      </c>
    </row>
    <row r="2562" spans="1:4" x14ac:dyDescent="0.2">
      <c r="A2562" s="5">
        <v>2501</v>
      </c>
      <c r="B2562" s="138">
        <f>'Acct Summary 7-8'!C20</f>
        <v>867536</v>
      </c>
      <c r="C2562" s="2" t="s">
        <v>594</v>
      </c>
      <c r="D2562" s="2" t="str">
        <f t="shared" si="39"/>
        <v>Error?</v>
      </c>
    </row>
    <row r="2563" spans="1:4" x14ac:dyDescent="0.2">
      <c r="A2563" s="5">
        <v>2502</v>
      </c>
      <c r="B2563" s="138">
        <f>'Acct Summary 7-8'!C80</f>
        <v>2205819</v>
      </c>
      <c r="D2563" s="2" t="str">
        <f t="shared" si="39"/>
        <v>Error?</v>
      </c>
    </row>
    <row r="2564" spans="1:4" x14ac:dyDescent="0.2">
      <c r="A2564" s="5">
        <v>2503</v>
      </c>
      <c r="B2564" s="138">
        <f>'Acct Summary 7-8'!D4</f>
        <v>486497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7500</v>
      </c>
      <c r="C2567" s="2" t="s">
        <v>594</v>
      </c>
      <c r="D2567" s="2" t="str">
        <f t="shared" si="39"/>
        <v>Error?</v>
      </c>
    </row>
    <row r="2568" spans="1:4" x14ac:dyDescent="0.2">
      <c r="A2568" s="5">
        <v>2507</v>
      </c>
      <c r="B2568" s="138">
        <f>'Acct Summary 7-8'!D8</f>
        <v>493997</v>
      </c>
      <c r="C2568" s="2" t="s">
        <v>594</v>
      </c>
      <c r="D2568" s="2" t="str">
        <f t="shared" si="39"/>
        <v>Error?</v>
      </c>
    </row>
    <row r="2569" spans="1:4" x14ac:dyDescent="0.2">
      <c r="A2569" s="5">
        <v>2508</v>
      </c>
      <c r="B2569" s="138">
        <f>'Acct Summary 7-8'!D13</f>
        <v>481736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481736</v>
      </c>
      <c r="C2573" s="2" t="s">
        <v>594</v>
      </c>
      <c r="D2573" s="2" t="str">
        <f t="shared" si="39"/>
        <v>Error?</v>
      </c>
    </row>
    <row r="2574" spans="1:4" x14ac:dyDescent="0.2">
      <c r="A2574" s="5">
        <v>2513</v>
      </c>
      <c r="B2574" s="138">
        <f>'Acct Summary 7-8'!D20</f>
        <v>12261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150848</v>
      </c>
      <c r="C2591" s="2" t="s">
        <v>594</v>
      </c>
      <c r="D2591" s="2" t="str">
        <f t="shared" si="39"/>
        <v>Error?</v>
      </c>
    </row>
    <row r="2592" spans="1:4" x14ac:dyDescent="0.2">
      <c r="A2592" s="10">
        <v>2531</v>
      </c>
      <c r="D2592" s="2" t="str">
        <f t="shared" si="39"/>
        <v>OK</v>
      </c>
    </row>
    <row r="2593" spans="1:4" x14ac:dyDescent="0.2">
      <c r="A2593" s="5">
        <v>2532</v>
      </c>
      <c r="B2593" s="138">
        <f>'Acct Summary 7-8'!F6</f>
        <v>409149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559997</v>
      </c>
      <c r="C2595" s="2" t="s">
        <v>594</v>
      </c>
      <c r="D2595" s="2" t="str">
        <f t="shared" si="39"/>
        <v>Error?</v>
      </c>
    </row>
    <row r="2596" spans="1:4" x14ac:dyDescent="0.2">
      <c r="A2596" s="5">
        <v>2535</v>
      </c>
      <c r="B2596" s="138">
        <f>'Acct Summary 7-8'!F13</f>
        <v>533431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533431</v>
      </c>
      <c r="C2600" s="2" t="s">
        <v>594</v>
      </c>
      <c r="D2600" s="2" t="str">
        <f t="shared" si="39"/>
        <v>Error?</v>
      </c>
    </row>
    <row r="2601" spans="1:4" x14ac:dyDescent="0.2">
      <c r="A2601" s="5">
        <v>2540</v>
      </c>
      <c r="B2601" s="138">
        <f>'Acct Summary 7-8'!F20</f>
        <v>26566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534095</v>
      </c>
      <c r="C2603" s="2" t="s">
        <v>594</v>
      </c>
      <c r="D2603" s="2" t="str">
        <f t="shared" si="39"/>
        <v>Error?</v>
      </c>
    </row>
    <row r="2604" spans="1:4" x14ac:dyDescent="0.2">
      <c r="A2604" s="5">
        <v>2543</v>
      </c>
      <c r="B2604" s="138">
        <f>'Acct Summary 7-8'!G6</f>
        <v>7047</v>
      </c>
      <c r="C2604" s="2" t="s">
        <v>594</v>
      </c>
      <c r="D2604" s="2" t="str">
        <f t="shared" si="39"/>
        <v>Error?</v>
      </c>
    </row>
    <row r="2605" spans="1:4" x14ac:dyDescent="0.2">
      <c r="A2605" s="5">
        <v>2544</v>
      </c>
      <c r="B2605" s="138">
        <f>'Acct Summary 7-8'!G7</f>
        <v>27401</v>
      </c>
      <c r="C2605" s="2" t="s">
        <v>594</v>
      </c>
      <c r="D2605" s="2" t="str">
        <f t="shared" si="39"/>
        <v>Error?</v>
      </c>
    </row>
    <row r="2606" spans="1:4" x14ac:dyDescent="0.2">
      <c r="A2606" s="5">
        <v>2545</v>
      </c>
      <c r="B2606" s="138">
        <f>'Acct Summary 7-8'!G8</f>
        <v>568543</v>
      </c>
      <c r="C2606" s="2" t="s">
        <v>594</v>
      </c>
      <c r="D2606" s="2" t="str">
        <f t="shared" si="39"/>
        <v>Error?</v>
      </c>
    </row>
    <row r="2607" spans="1:4" x14ac:dyDescent="0.2">
      <c r="A2607" s="5">
        <v>2546</v>
      </c>
      <c r="B2607" s="138">
        <f>'Acct Summary 7-8'!G12</f>
        <v>96011</v>
      </c>
      <c r="C2607" s="2" t="s">
        <v>594</v>
      </c>
      <c r="D2607" s="2" t="str">
        <f t="shared" si="39"/>
        <v>Error?</v>
      </c>
    </row>
    <row r="2608" spans="1:4" x14ac:dyDescent="0.2">
      <c r="A2608" s="5">
        <v>2547</v>
      </c>
      <c r="B2608" s="138">
        <f>'Acct Summary 7-8'!G13</f>
        <v>231278</v>
      </c>
      <c r="C2608" s="2" t="s">
        <v>594</v>
      </c>
      <c r="D2608" s="2" t="str">
        <f t="shared" si="39"/>
        <v>Error?</v>
      </c>
    </row>
    <row r="2609" spans="1:4" x14ac:dyDescent="0.2">
      <c r="A2609" s="5">
        <v>2548</v>
      </c>
      <c r="B2609" s="138">
        <f>'Acct Summary 7-8'!G14</f>
        <v>124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327413</v>
      </c>
      <c r="C2612" s="2" t="s">
        <v>594</v>
      </c>
      <c r="D2612" s="2" t="str">
        <f t="shared" si="39"/>
        <v>Error?</v>
      </c>
    </row>
    <row r="2613" spans="1:4" x14ac:dyDescent="0.2">
      <c r="A2613" s="5">
        <v>2552</v>
      </c>
      <c r="B2613" s="138">
        <f>'Acct Summary 7-8'!G20</f>
        <v>241130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875406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875406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658507</v>
      </c>
      <c r="C2634" s="2" t="s">
        <v>594</v>
      </c>
      <c r="D2634" s="2" t="str">
        <f t="shared" si="40"/>
        <v>Error?</v>
      </c>
    </row>
    <row r="2635" spans="1:4" x14ac:dyDescent="0.2">
      <c r="A2635" s="5">
        <v>2574</v>
      </c>
      <c r="B2635" s="138">
        <f>'Acct Summary 7-8'!E17</f>
        <v>658507</v>
      </c>
      <c r="C2635" s="2" t="s">
        <v>594</v>
      </c>
      <c r="D2635" s="2" t="str">
        <f t="shared" si="40"/>
        <v>Error?</v>
      </c>
    </row>
    <row r="2636" spans="1:4" x14ac:dyDescent="0.2">
      <c r="A2636" s="5">
        <v>2575</v>
      </c>
      <c r="B2636" s="138">
        <f>'Acct Summary 7-8'!E20</f>
        <v>216899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1490632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171765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1490632</v>
      </c>
      <c r="D2912" s="2" t="str">
        <f t="shared" si="44"/>
        <v>Error?</v>
      </c>
    </row>
    <row r="2913" spans="1:4" x14ac:dyDescent="0.2">
      <c r="A2913" s="5">
        <v>2852</v>
      </c>
      <c r="B2913" s="138">
        <f>'Assets-Liab 5-6'!I41</f>
        <v>1490632</v>
      </c>
      <c r="C2913" s="2" t="s">
        <v>594</v>
      </c>
      <c r="D2913" s="2" t="str">
        <f t="shared" si="44"/>
        <v>Error?</v>
      </c>
    </row>
    <row r="2914" spans="1:4" x14ac:dyDescent="0.2">
      <c r="A2914" s="5">
        <v>2853</v>
      </c>
      <c r="B2914" s="138">
        <f>'Assets-Liab 5-6'!L33</f>
        <v>171765</v>
      </c>
      <c r="D2914" s="2" t="str">
        <f t="shared" si="44"/>
        <v>Error?</v>
      </c>
    </row>
    <row r="2915" spans="1:4" x14ac:dyDescent="0.2">
      <c r="A2915" s="10">
        <v>2854</v>
      </c>
      <c r="D2915" s="2" t="str">
        <f t="shared" si="44"/>
        <v>OK</v>
      </c>
    </row>
    <row r="2916" spans="1:4" x14ac:dyDescent="0.2">
      <c r="A2916" s="5">
        <v>2855</v>
      </c>
      <c r="B2916" s="138">
        <f>'Assets-Liab 5-6'!L34</f>
        <v>171765</v>
      </c>
      <c r="C2916" s="2" t="s">
        <v>594</v>
      </c>
      <c r="D2916" s="2" t="str">
        <f t="shared" si="44"/>
        <v>Error?</v>
      </c>
    </row>
    <row r="2917" spans="1:4" x14ac:dyDescent="0.2">
      <c r="A2917" s="5">
        <v>2856</v>
      </c>
      <c r="B2917" s="138">
        <f>'Assets-Liab 5-6'!L41</f>
        <v>171765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2385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2385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172818</v>
      </c>
      <c r="D3055" s="2" t="str">
        <f t="shared" si="46"/>
        <v>Error?</v>
      </c>
    </row>
    <row r="3056" spans="1:4" x14ac:dyDescent="0.2">
      <c r="A3056" s="5">
        <v>2995</v>
      </c>
      <c r="B3056" s="138">
        <f>'Expenditures 15-22'!D10</f>
        <v>44352</v>
      </c>
      <c r="D3056" s="2" t="str">
        <f t="shared" si="46"/>
        <v>Error?</v>
      </c>
    </row>
    <row r="3057" spans="1:4" x14ac:dyDescent="0.2">
      <c r="A3057" s="5">
        <v>2996</v>
      </c>
      <c r="B3057" s="138">
        <f>'Expenditures 15-22'!E10</f>
        <v>3981</v>
      </c>
      <c r="D3057" s="2" t="str">
        <f t="shared" si="46"/>
        <v>Error?</v>
      </c>
    </row>
    <row r="3058" spans="1:4" x14ac:dyDescent="0.2">
      <c r="A3058" s="5">
        <v>2997</v>
      </c>
      <c r="B3058" s="138">
        <f>'Expenditures 15-22'!F10</f>
        <v>96221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325171</v>
      </c>
      <c r="C3062" s="2" t="s">
        <v>594</v>
      </c>
      <c r="D3062" s="2" t="str">
        <f t="shared" si="46"/>
        <v>Error?</v>
      </c>
    </row>
    <row r="3063" spans="1:4" x14ac:dyDescent="0.2">
      <c r="A3063" s="10">
        <v>3002</v>
      </c>
      <c r="D3063" s="2" t="str">
        <f t="shared" si="46"/>
        <v>OK</v>
      </c>
    </row>
    <row r="3064" spans="1:4" x14ac:dyDescent="0.2">
      <c r="A3064" s="5">
        <v>3003</v>
      </c>
      <c r="B3064" s="138">
        <f>'Expenditures 15-22'!D219</f>
        <v>1830</v>
      </c>
      <c r="D3064" s="2" t="str">
        <f t="shared" si="46"/>
        <v>Error?</v>
      </c>
    </row>
    <row r="3065" spans="1:4" x14ac:dyDescent="0.2">
      <c r="A3065" s="5">
        <v>3004</v>
      </c>
      <c r="B3065" s="138">
        <f>'Expenditures 15-22'!K219</f>
        <v>1830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87864</v>
      </c>
      <c r="C3225" s="2" t="s">
        <v>594</v>
      </c>
      <c r="D3225" s="2" t="str">
        <f t="shared" si="49"/>
        <v>Error?</v>
      </c>
    </row>
    <row r="3226" spans="1:4" x14ac:dyDescent="0.2">
      <c r="A3226" s="5">
        <v>3165</v>
      </c>
      <c r="B3226" s="138">
        <f>'Acct Summary 7-8'!I8</f>
        <v>87864</v>
      </c>
      <c r="C3226" s="2" t="s">
        <v>594</v>
      </c>
      <c r="D3226" s="2" t="str">
        <f t="shared" si="49"/>
        <v>Error?</v>
      </c>
    </row>
    <row r="3227" spans="1:4" x14ac:dyDescent="0.2">
      <c r="A3227" s="5">
        <v>3166</v>
      </c>
      <c r="B3227" s="138">
        <f>'Acct Summary 7-8'!I20</f>
        <v>87864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867536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12261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26566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241130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216899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87864</v>
      </c>
      <c r="C3320" s="2" t="s">
        <v>594</v>
      </c>
      <c r="D3320" s="2" t="str">
        <f t="shared" si="50"/>
        <v>Error?</v>
      </c>
    </row>
    <row r="3321" spans="1:4" x14ac:dyDescent="0.2">
      <c r="A3321" s="5">
        <v>3260</v>
      </c>
      <c r="B3321" s="138">
        <f>'Acct Summary 7-8'!I79</f>
        <v>1402768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1490632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865717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117977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5318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994770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34737</v>
      </c>
      <c r="D3387" s="2" t="str">
        <f t="shared" si="51"/>
        <v>Error?</v>
      </c>
    </row>
    <row r="3388" spans="1:4" x14ac:dyDescent="0.2">
      <c r="A3388" s="5">
        <v>3327</v>
      </c>
      <c r="B3388" s="138">
        <f>'Expenditures 15-22'!D217</f>
        <v>42347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34737</v>
      </c>
      <c r="C3390" s="2" t="s">
        <v>594</v>
      </c>
      <c r="D3390" s="2" t="str">
        <f t="shared" si="51"/>
        <v>Error?</v>
      </c>
    </row>
    <row r="3391" spans="1:4" x14ac:dyDescent="0.2">
      <c r="A3391" s="5">
        <v>3330</v>
      </c>
      <c r="B3391" s="138">
        <f>'Expenditures 15-22'!K217</f>
        <v>42347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51492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3073355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227513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383349</v>
      </c>
      <c r="D3417" s="2" t="str">
        <f t="shared" si="52"/>
        <v>Error?</v>
      </c>
    </row>
    <row r="3418" spans="1:4" x14ac:dyDescent="0.2">
      <c r="A3418" s="10">
        <v>3357</v>
      </c>
      <c r="D3418" s="2" t="str">
        <f t="shared" si="52"/>
        <v>OK</v>
      </c>
    </row>
    <row r="3419" spans="1:4" x14ac:dyDescent="0.2">
      <c r="A3419" s="5">
        <v>3358</v>
      </c>
      <c r="B3419" s="138">
        <f>'Assets-Liab 5-6'!F4</f>
        <v>545381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683802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1490632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171765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261414</v>
      </c>
      <c r="C3446" s="2" t="s">
        <v>594</v>
      </c>
      <c r="D3446" s="2" t="str">
        <f t="shared" si="52"/>
        <v>Error?</v>
      </c>
    </row>
    <row r="3447" spans="1:4" x14ac:dyDescent="0.2">
      <c r="A3447" s="5">
        <v>3386</v>
      </c>
      <c r="B3447" s="138">
        <f>'Tax Sched 23'!D16</f>
        <v>219158</v>
      </c>
      <c r="C3447" s="2" t="s">
        <v>594</v>
      </c>
      <c r="D3447" s="2" t="str">
        <f t="shared" si="52"/>
        <v>Error?</v>
      </c>
    </row>
    <row r="3448" spans="1:4" x14ac:dyDescent="0.2">
      <c r="A3448" s="5">
        <v>3387</v>
      </c>
      <c r="B3448" s="138">
        <f>'Tax Sched 23'!C16</f>
        <v>42256</v>
      </c>
      <c r="D3448" s="2" t="str">
        <f t="shared" si="52"/>
        <v>Error?</v>
      </c>
    </row>
    <row r="3449" spans="1:4" x14ac:dyDescent="0.2">
      <c r="A3449" s="5">
        <v>3388</v>
      </c>
      <c r="B3449" s="138">
        <f>'Tax Sched 23'!F16</f>
        <v>119188</v>
      </c>
      <c r="C3449" s="2" t="s">
        <v>594</v>
      </c>
      <c r="D3449" s="2" t="str">
        <f t="shared" si="52"/>
        <v>Error?</v>
      </c>
    </row>
    <row r="3450" spans="1:4" x14ac:dyDescent="0.2">
      <c r="A3450" s="5">
        <v>3389</v>
      </c>
      <c r="B3450" s="138">
        <f>'Tax Sched 23'!E16</f>
        <v>161444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122980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122980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122980</v>
      </c>
      <c r="D3567" s="2" t="str">
        <f t="shared" si="54"/>
        <v>Error?</v>
      </c>
    </row>
    <row r="3568" spans="1:4" x14ac:dyDescent="0.2">
      <c r="A3568" s="5">
        <v>3507</v>
      </c>
      <c r="B3568" s="138">
        <f>'Assets-Liab 5-6'!K41</f>
        <v>122980</v>
      </c>
      <c r="C3568" s="2" t="s">
        <v>594</v>
      </c>
      <c r="D3568" s="2" t="str">
        <f t="shared" si="54"/>
        <v>Error?</v>
      </c>
    </row>
    <row r="3569" spans="1:4" x14ac:dyDescent="0.2">
      <c r="A3569" s="5">
        <v>3508</v>
      </c>
      <c r="B3569" s="138">
        <f>'Acct Summary 7-8'!K4</f>
        <v>37518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37518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37518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37518</v>
      </c>
      <c r="C3588" s="2" t="s">
        <v>594</v>
      </c>
      <c r="D3588" s="2" t="str">
        <f t="shared" si="55"/>
        <v>Error?</v>
      </c>
    </row>
    <row r="3589" spans="1:4" x14ac:dyDescent="0.2">
      <c r="A3589" s="5">
        <v>3528</v>
      </c>
      <c r="B3589" s="138">
        <f>'Acct Summary 7-8'!K79</f>
        <v>85462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122980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37518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35804</v>
      </c>
      <c r="C3725" s="2" t="s">
        <v>594</v>
      </c>
      <c r="D3725" s="2" t="str">
        <f t="shared" si="57"/>
        <v>Error?</v>
      </c>
    </row>
    <row r="3726" spans="1:4" x14ac:dyDescent="0.2">
      <c r="A3726" s="5">
        <v>3665</v>
      </c>
      <c r="B3726" s="138">
        <f>'Tax Sched 23'!D13</f>
        <v>27001</v>
      </c>
      <c r="C3726" s="2" t="s">
        <v>594</v>
      </c>
      <c r="D3726" s="2" t="str">
        <f t="shared" si="57"/>
        <v>Error?</v>
      </c>
    </row>
    <row r="3727" spans="1:4" x14ac:dyDescent="0.2">
      <c r="A3727" s="5">
        <v>3666</v>
      </c>
      <c r="B3727" s="138">
        <f>'Tax Sched 23'!C13</f>
        <v>8803</v>
      </c>
      <c r="D3727" s="2" t="str">
        <f t="shared" si="57"/>
        <v>Error?</v>
      </c>
    </row>
    <row r="3728" spans="1:4" x14ac:dyDescent="0.2">
      <c r="A3728" s="5">
        <v>3667</v>
      </c>
      <c r="B3728" s="138">
        <f>'Tax Sched 23'!F13</f>
        <v>24831</v>
      </c>
      <c r="C3728" s="2" t="s">
        <v>594</v>
      </c>
      <c r="D3728" s="2" t="str">
        <f t="shared" si="57"/>
        <v>Error?</v>
      </c>
    </row>
    <row r="3729" spans="1:4" x14ac:dyDescent="0.2">
      <c r="A3729" s="5">
        <v>3668</v>
      </c>
      <c r="B3729" s="138">
        <f>'Tax Sched 23'!E13</f>
        <v>33634</v>
      </c>
      <c r="D3729" s="2" t="str">
        <f t="shared" si="57"/>
        <v>Error?</v>
      </c>
    </row>
    <row r="3730" spans="1:4" x14ac:dyDescent="0.2">
      <c r="A3730" s="5">
        <v>3669</v>
      </c>
      <c r="B3730" s="138">
        <f>'ICR Computation 30'!E10</f>
        <v>232017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3739733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13021315</v>
      </c>
      <c r="C4122" s="2" t="s">
        <v>594</v>
      </c>
      <c r="D4122" s="2" t="str">
        <f t="shared" si="63"/>
        <v>Error?</v>
      </c>
    </row>
    <row r="4123" spans="1:4" x14ac:dyDescent="0.2">
      <c r="A4123" s="5">
        <v>4062</v>
      </c>
      <c r="B4123" s="138">
        <f>'Acct Summary 7-8'!D10</f>
        <v>493997</v>
      </c>
      <c r="C4123" s="2" t="s">
        <v>594</v>
      </c>
      <c r="D4123" s="2" t="str">
        <f t="shared" si="63"/>
        <v>Error?</v>
      </c>
    </row>
    <row r="4124" spans="1:4" x14ac:dyDescent="0.2">
      <c r="A4124" s="5">
        <v>4063</v>
      </c>
      <c r="B4124" s="138">
        <f>'Acct Summary 7-8'!E10</f>
        <v>875406</v>
      </c>
      <c r="C4124" s="2" t="s">
        <v>594</v>
      </c>
      <c r="D4124" s="2" t="str">
        <f t="shared" si="63"/>
        <v>Error?</v>
      </c>
    </row>
    <row r="4125" spans="1:4" x14ac:dyDescent="0.2">
      <c r="A4125" s="5">
        <v>4064</v>
      </c>
      <c r="B4125" s="138">
        <f>'Acct Summary 7-8'!F10</f>
        <v>559997</v>
      </c>
      <c r="C4125" s="2" t="s">
        <v>594</v>
      </c>
      <c r="D4125" s="2" t="str">
        <f t="shared" si="63"/>
        <v>Error?</v>
      </c>
    </row>
    <row r="4126" spans="1:4" x14ac:dyDescent="0.2">
      <c r="A4126" s="5">
        <v>4065</v>
      </c>
      <c r="B4126" s="138">
        <f>'Acct Summary 7-8'!G10</f>
        <v>568543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87864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37518</v>
      </c>
      <c r="C4130" s="2" t="s">
        <v>594</v>
      </c>
      <c r="D4130" s="2" t="str">
        <f t="shared" si="63"/>
        <v>Error?</v>
      </c>
    </row>
    <row r="4131" spans="1:4" x14ac:dyDescent="0.2">
      <c r="A4131" s="5">
        <v>4070</v>
      </c>
      <c r="B4131" s="138">
        <f>'Acct Summary 7-8'!C18</f>
        <v>3739733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12153779</v>
      </c>
      <c r="C4136" s="2" t="s">
        <v>594</v>
      </c>
      <c r="D4136" s="2" t="str">
        <f t="shared" si="63"/>
        <v>Error?</v>
      </c>
    </row>
    <row r="4137" spans="1:4" x14ac:dyDescent="0.2">
      <c r="A4137" s="5">
        <v>4076</v>
      </c>
      <c r="B4137" s="138">
        <f>'Acct Summary 7-8'!D19</f>
        <v>481736</v>
      </c>
      <c r="C4137" s="2" t="s">
        <v>594</v>
      </c>
      <c r="D4137" s="2" t="str">
        <f t="shared" si="63"/>
        <v>Error?</v>
      </c>
    </row>
    <row r="4138" spans="1:4" x14ac:dyDescent="0.2">
      <c r="A4138" s="5">
        <v>4077</v>
      </c>
      <c r="B4138" s="138">
        <f>'Acct Summary 7-8'!E19</f>
        <v>658507</v>
      </c>
      <c r="C4138" s="2" t="s">
        <v>594</v>
      </c>
      <c r="D4138" s="2" t="str">
        <f t="shared" si="63"/>
        <v>Error?</v>
      </c>
    </row>
    <row r="4139" spans="1:4" x14ac:dyDescent="0.2">
      <c r="A4139" s="5">
        <v>4078</v>
      </c>
      <c r="B4139" s="138">
        <f>'Acct Summary 7-8'!F19</f>
        <v>533431</v>
      </c>
      <c r="C4139" s="2" t="s">
        <v>594</v>
      </c>
      <c r="D4139" s="2" t="str">
        <f t="shared" si="63"/>
        <v>Error?</v>
      </c>
    </row>
    <row r="4140" spans="1:4" x14ac:dyDescent="0.2">
      <c r="A4140" s="5">
        <v>4079</v>
      </c>
      <c r="B4140" s="138">
        <f>'Acct Summary 7-8'!G19</f>
        <v>327413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6665000</v>
      </c>
      <c r="C4171" s="2" t="s">
        <v>594</v>
      </c>
      <c r="D4171" s="2" t="str">
        <f t="shared" si="64"/>
        <v>Error?</v>
      </c>
    </row>
    <row r="4172" spans="1:4" x14ac:dyDescent="0.2">
      <c r="A4172" s="5">
        <v>4111</v>
      </c>
      <c r="B4172" s="138">
        <f>'Short-Term Long-Term Debt 24'!J49</f>
        <v>6281651</v>
      </c>
      <c r="C4172" s="2" t="s">
        <v>594</v>
      </c>
      <c r="D4172" s="2" t="str">
        <f t="shared" si="64"/>
        <v>Error?</v>
      </c>
    </row>
    <row r="4173" spans="1:4" x14ac:dyDescent="0.2">
      <c r="A4173" s="5">
        <v>4112</v>
      </c>
      <c r="B4173" s="138">
        <f>'Short-Term Long-Term Debt 24'!H49</f>
        <v>435000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2700</v>
      </c>
      <c r="C4268" s="2" t="s">
        <v>594</v>
      </c>
      <c r="D4268" s="2" t="str">
        <f t="shared" si="65"/>
        <v>Error?</v>
      </c>
    </row>
    <row r="4269" spans="1:5" x14ac:dyDescent="0.2">
      <c r="A4269" s="12">
        <v>4208</v>
      </c>
      <c r="B4269" s="138">
        <f>'FP Info 3'!J16</f>
        <v>5336881</v>
      </c>
      <c r="C4269" s="2" t="s">
        <v>594</v>
      </c>
      <c r="D4269" s="2" t="str">
        <f t="shared" si="65"/>
        <v>Error?</v>
      </c>
    </row>
    <row r="4270" spans="1:5" x14ac:dyDescent="0.2">
      <c r="A4270" s="12">
        <v>4209</v>
      </c>
      <c r="B4270" s="138">
        <f>'FP Info 3'!D24</f>
        <v>12950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35716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18008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19244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120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29.999999999999996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67268311</v>
      </c>
      <c r="D4995" s="2" t="str">
        <f t="shared" si="77"/>
        <v>Error?</v>
      </c>
    </row>
    <row r="4996" spans="1:4" x14ac:dyDescent="0.2">
      <c r="A4996" s="12">
        <v>4935</v>
      </c>
      <c r="B4996" s="138">
        <f>'FP Info 3'!H31</f>
        <v>9283026.9180000015</v>
      </c>
      <c r="D4996" s="2" t="str">
        <f t="shared" si="77"/>
        <v>Error?</v>
      </c>
    </row>
    <row r="4997" spans="1:4" x14ac:dyDescent="0.2">
      <c r="A4997" s="12">
        <v>4936</v>
      </c>
      <c r="B4997" s="138">
        <f>'FP Info 3'!H37</f>
        <v>6665000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35804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1479490</v>
      </c>
      <c r="D5061" s="2" t="str">
        <f t="shared" si="78"/>
        <v>Error?</v>
      </c>
    </row>
    <row r="5062" spans="1:4" x14ac:dyDescent="0.2">
      <c r="A5062" s="10">
        <v>5001</v>
      </c>
      <c r="D5062" s="2" t="str">
        <f t="shared" si="78"/>
        <v>OK</v>
      </c>
    </row>
    <row r="5063" spans="1:4" x14ac:dyDescent="0.2">
      <c r="A5063" s="5">
        <v>5002</v>
      </c>
      <c r="B5063" s="138">
        <f>'Revenues 9-14'!C7</f>
        <v>28687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1543981</v>
      </c>
      <c r="C5066" s="2" t="s">
        <v>594</v>
      </c>
      <c r="D5066" s="2" t="str">
        <f t="shared" si="78"/>
        <v>Error?</v>
      </c>
    </row>
    <row r="5067" spans="1:4" x14ac:dyDescent="0.2">
      <c r="A5067" s="5">
        <v>5006</v>
      </c>
      <c r="B5067" s="138">
        <f>'Revenues 9-14'!C14</f>
        <v>7544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205724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213268</v>
      </c>
      <c r="C5071" s="2" t="s">
        <v>594</v>
      </c>
      <c r="D5071" s="2" t="str">
        <f t="shared" si="78"/>
        <v>Error?</v>
      </c>
    </row>
    <row r="5072" spans="1:4" x14ac:dyDescent="0.2">
      <c r="A5072" s="5">
        <v>5011</v>
      </c>
      <c r="B5072" s="138">
        <f>'Revenues 9-14'!C20</f>
        <v>25617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900</v>
      </c>
      <c r="D5074" s="2" t="str">
        <f t="shared" si="78"/>
        <v>Error?</v>
      </c>
    </row>
    <row r="5075" spans="1:4" x14ac:dyDescent="0.2">
      <c r="A5075" s="5">
        <v>5014</v>
      </c>
      <c r="B5075" s="138">
        <f>'Revenues 9-14'!C24</f>
        <v>1700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28217</v>
      </c>
      <c r="C5087" s="2" t="s">
        <v>594</v>
      </c>
      <c r="D5087" s="2" t="str">
        <f t="shared" si="78"/>
        <v>Error?</v>
      </c>
    </row>
    <row r="5088" spans="1:4" x14ac:dyDescent="0.2">
      <c r="A5088" s="5">
        <v>5027</v>
      </c>
      <c r="B5088" s="138">
        <f>'Revenues 9-14'!C65</f>
        <v>34547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34547</v>
      </c>
      <c r="C5090" s="2" t="s">
        <v>594</v>
      </c>
      <c r="D5090" s="2" t="str">
        <f t="shared" si="78"/>
        <v>Error?</v>
      </c>
    </row>
    <row r="5091" spans="1:4" x14ac:dyDescent="0.2">
      <c r="A5091" s="5">
        <v>5030</v>
      </c>
      <c r="B5091" s="138">
        <f>'Revenues 9-14'!C70</f>
        <v>6900</v>
      </c>
      <c r="D5091" s="2" t="str">
        <f t="shared" si="78"/>
        <v>Error?</v>
      </c>
    </row>
    <row r="5092" spans="1:4" x14ac:dyDescent="0.2">
      <c r="A5092" s="5">
        <v>5031</v>
      </c>
      <c r="B5092" s="138">
        <f>'Revenues 9-14'!C71</f>
        <v>50451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2904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127639</v>
      </c>
      <c r="C5096" s="2" t="s">
        <v>594</v>
      </c>
      <c r="D5096" s="2" t="str">
        <f t="shared" si="78"/>
        <v>Error?</v>
      </c>
    </row>
    <row r="5097" spans="1:4" x14ac:dyDescent="0.2">
      <c r="A5097" s="5">
        <v>5036</v>
      </c>
      <c r="B5097" s="138">
        <f>'Revenues 9-14'!C77</f>
        <v>11162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18604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29766</v>
      </c>
      <c r="C5102" s="2" t="s">
        <v>594</v>
      </c>
      <c r="D5102" s="2" t="str">
        <f t="shared" si="78"/>
        <v>Error?</v>
      </c>
    </row>
    <row r="5103" spans="1:4" x14ac:dyDescent="0.2">
      <c r="A5103" s="5">
        <v>5042</v>
      </c>
      <c r="B5103" s="138">
        <f>'Revenues 9-14'!C84</f>
        <v>41208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41208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44953</v>
      </c>
      <c r="D5119" s="2" t="str">
        <f t="shared" ref="D5119:D5182" si="79">IF(ISBLANK(B5119),"OK",IF(A5119-B5119=0,"OK","Error?"))</f>
        <v>Error?</v>
      </c>
    </row>
    <row r="5120" spans="1:4" x14ac:dyDescent="0.2">
      <c r="A5120" s="5">
        <v>5059</v>
      </c>
      <c r="B5120" s="138">
        <f>'Revenues 9-14'!C108</f>
        <v>50398</v>
      </c>
      <c r="C5120" s="2" t="s">
        <v>594</v>
      </c>
      <c r="D5120" s="2" t="str">
        <f t="shared" si="79"/>
        <v>Error?</v>
      </c>
    </row>
    <row r="5121" spans="1:4" x14ac:dyDescent="0.2">
      <c r="A5121" s="5">
        <v>5060</v>
      </c>
      <c r="B5121" s="138">
        <f>'Revenues 9-14'!C109</f>
        <v>2069024</v>
      </c>
      <c r="C5121" s="2" t="s">
        <v>594</v>
      </c>
      <c r="D5121" s="2" t="str">
        <f t="shared" si="79"/>
        <v>Error?</v>
      </c>
    </row>
    <row r="5122" spans="1:4" x14ac:dyDescent="0.2">
      <c r="A5122" s="5">
        <v>5061</v>
      </c>
      <c r="B5122" s="138">
        <f>'Revenues 9-14'!C111</f>
        <v>51492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51492</v>
      </c>
      <c r="C5125" s="2" t="s">
        <v>594</v>
      </c>
      <c r="D5125" s="2" t="str">
        <f t="shared" si="79"/>
        <v>Error?</v>
      </c>
    </row>
    <row r="5126" spans="1:4" x14ac:dyDescent="0.2">
      <c r="A5126" s="5">
        <v>5065</v>
      </c>
      <c r="B5126" s="138">
        <f>'Revenues 9-14'!C117</f>
        <v>5587906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5587906</v>
      </c>
      <c r="C5132" s="2" t="s">
        <v>594</v>
      </c>
      <c r="D5132" s="2" t="str">
        <f t="shared" si="79"/>
        <v>Error?</v>
      </c>
    </row>
    <row r="5133" spans="1:4" x14ac:dyDescent="0.2">
      <c r="A5133" s="5">
        <v>5072</v>
      </c>
      <c r="B5133" s="138">
        <f>'Revenues 9-14'!C124</f>
        <v>49538</v>
      </c>
      <c r="D5133" s="2" t="str">
        <f t="shared" si="79"/>
        <v>Error?</v>
      </c>
    </row>
    <row r="5134" spans="1:4" x14ac:dyDescent="0.2">
      <c r="A5134" s="5">
        <v>5073</v>
      </c>
      <c r="B5134" s="138">
        <f>'Revenues 9-14'!C125</f>
        <v>71637</v>
      </c>
      <c r="D5134" s="2" t="str">
        <f t="shared" si="79"/>
        <v>Error?</v>
      </c>
    </row>
    <row r="5135" spans="1:4" x14ac:dyDescent="0.2">
      <c r="A5135" s="5">
        <v>5074</v>
      </c>
      <c r="B5135" s="138">
        <f>'Revenues 9-14'!C126</f>
        <v>91757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212932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1320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1320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4928</v>
      </c>
      <c r="D5167" s="2" t="str">
        <f t="shared" si="79"/>
        <v>Error?</v>
      </c>
    </row>
    <row r="5168" spans="1:4" x14ac:dyDescent="0.2">
      <c r="A5168" s="5">
        <v>5107</v>
      </c>
      <c r="B5168" s="138">
        <f>'Revenues 9-14'!C147</f>
        <v>12420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324173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557273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6145179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238807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64868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303675</v>
      </c>
      <c r="C5246" s="2" t="s">
        <v>594</v>
      </c>
      <c r="D5246" s="2" t="str">
        <f t="shared" si="80"/>
        <v>Error?</v>
      </c>
    </row>
    <row r="5247" spans="1:4" x14ac:dyDescent="0.2">
      <c r="A5247" s="5">
        <v>5186</v>
      </c>
      <c r="B5247" s="138">
        <f>'Revenues 9-14'!C203</f>
        <v>407964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407964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13869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208154</v>
      </c>
      <c r="D5278" s="2" t="str">
        <f t="shared" si="81"/>
        <v>Error?</v>
      </c>
    </row>
    <row r="5279" spans="1:4" x14ac:dyDescent="0.2">
      <c r="A5279" s="5">
        <v>5218</v>
      </c>
      <c r="B5279" s="138">
        <f>'Revenues 9-14'!C221</f>
        <v>6257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228280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1015887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1015887</v>
      </c>
      <c r="C5326" s="2" t="s">
        <v>594</v>
      </c>
      <c r="D5326" s="2" t="str">
        <f t="shared" si="82"/>
        <v>Error?</v>
      </c>
    </row>
    <row r="5327" spans="1:4" x14ac:dyDescent="0.2">
      <c r="A5327" s="5">
        <v>5266</v>
      </c>
      <c r="B5327" s="138">
        <f>'Revenues 9-14'!C275</f>
        <v>9281582</v>
      </c>
      <c r="C5327" s="2" t="s">
        <v>594</v>
      </c>
      <c r="D5327" s="2" t="str">
        <f t="shared" si="82"/>
        <v>Error?</v>
      </c>
    </row>
    <row r="5328" spans="1:4" x14ac:dyDescent="0.2">
      <c r="A5328" s="5">
        <v>5267</v>
      </c>
      <c r="B5328" s="138">
        <f>'Revenues 9-14'!D5</f>
        <v>358037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358037</v>
      </c>
      <c r="C5334" s="2" t="s">
        <v>594</v>
      </c>
      <c r="D5334" s="2" t="str">
        <f t="shared" si="82"/>
        <v>Error?</v>
      </c>
    </row>
    <row r="5335" spans="1:4" x14ac:dyDescent="0.2">
      <c r="A5335" s="5">
        <v>5274</v>
      </c>
      <c r="B5335" s="138">
        <f>'Revenues 9-14'!D14</f>
        <v>1732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1732</v>
      </c>
      <c r="C5339" s="2" t="s">
        <v>594</v>
      </c>
      <c r="D5339" s="2" t="str">
        <f t="shared" si="82"/>
        <v>Error?</v>
      </c>
    </row>
    <row r="5340" spans="1:4" x14ac:dyDescent="0.2">
      <c r="A5340" s="5">
        <v>5279</v>
      </c>
      <c r="B5340" s="138">
        <f>'Revenues 9-14'!D65</f>
        <v>3470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3470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23258</v>
      </c>
      <c r="D5354" s="2" t="str">
        <f t="shared" si="82"/>
        <v>Error?</v>
      </c>
    </row>
    <row r="5355" spans="1:4" x14ac:dyDescent="0.2">
      <c r="A5355" s="5">
        <v>5294</v>
      </c>
      <c r="B5355" s="138">
        <f>'Revenues 9-14'!D108</f>
        <v>123258</v>
      </c>
      <c r="C5355" s="2" t="s">
        <v>594</v>
      </c>
      <c r="D5355" s="2" t="str">
        <f t="shared" si="82"/>
        <v>Error?</v>
      </c>
    </row>
    <row r="5356" spans="1:4" x14ac:dyDescent="0.2">
      <c r="A5356" s="5">
        <v>5295</v>
      </c>
      <c r="B5356" s="138">
        <f>'Revenues 9-14'!D109</f>
        <v>486497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7500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7500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7500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7500</v>
      </c>
      <c r="C5507" s="2" t="s">
        <v>594</v>
      </c>
      <c r="D5507" s="2" t="str">
        <f t="shared" si="85"/>
        <v>Error?</v>
      </c>
    </row>
    <row r="5508" spans="1:4" x14ac:dyDescent="0.2">
      <c r="A5508" s="5">
        <v>5447</v>
      </c>
      <c r="B5508" s="138">
        <f>'Revenues 9-14'!D275</f>
        <v>493997</v>
      </c>
      <c r="C5508" s="2" t="s">
        <v>594</v>
      </c>
      <c r="D5508" s="2" t="str">
        <f t="shared" si="85"/>
        <v>Error?</v>
      </c>
    </row>
    <row r="5509" spans="1:4" x14ac:dyDescent="0.2">
      <c r="A5509" s="5">
        <v>5448</v>
      </c>
      <c r="B5509" s="138">
        <f>'Revenues 9-14'!E5</f>
        <v>859093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859093</v>
      </c>
      <c r="C5513" s="2" t="s">
        <v>594</v>
      </c>
      <c r="D5513" s="2" t="str">
        <f t="shared" si="85"/>
        <v>Error?</v>
      </c>
    </row>
    <row r="5514" spans="1:4" x14ac:dyDescent="0.2">
      <c r="A5514" s="5">
        <v>5453</v>
      </c>
      <c r="B5514" s="138">
        <f>'Revenues 9-14'!E14</f>
        <v>4265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7265</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11530</v>
      </c>
      <c r="C5518" s="2" t="s">
        <v>594</v>
      </c>
      <c r="D5518" s="2" t="str">
        <f t="shared" si="85"/>
        <v>Error?</v>
      </c>
    </row>
    <row r="5519" spans="1:4" x14ac:dyDescent="0.2">
      <c r="A5519" s="5">
        <v>5458</v>
      </c>
      <c r="B5519" s="138">
        <f>'Revenues 9-14'!E65</f>
        <v>4783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4783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875406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875406</v>
      </c>
      <c r="C5552" s="2" t="s">
        <v>594</v>
      </c>
      <c r="D5552" s="2" t="str">
        <f t="shared" si="85"/>
        <v>Error?</v>
      </c>
    </row>
    <row r="5553" spans="1:4" x14ac:dyDescent="0.2">
      <c r="A5553" s="5">
        <v>5492</v>
      </c>
      <c r="B5553" s="138">
        <f>'Revenues 9-14'!F5</f>
        <v>143215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143215</v>
      </c>
      <c r="C5557" s="2" t="s">
        <v>594</v>
      </c>
      <c r="D5557" s="2" t="str">
        <f t="shared" si="85"/>
        <v>Error?</v>
      </c>
    </row>
    <row r="5558" spans="1:4" x14ac:dyDescent="0.2">
      <c r="A5558" s="5">
        <v>5497</v>
      </c>
      <c r="B5558" s="138">
        <f>'Revenues 9-14'!F14</f>
        <v>693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693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6940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150848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176070</v>
      </c>
      <c r="D5615" s="2" t="str">
        <f t="shared" si="86"/>
        <v>Error?</v>
      </c>
    </row>
    <row r="5616" spans="1:4" x14ac:dyDescent="0.2">
      <c r="A5616" s="10">
        <v>5555</v>
      </c>
      <c r="D5616" s="2" t="str">
        <f t="shared" si="86"/>
        <v>OK</v>
      </c>
    </row>
    <row r="5617" spans="1:4" x14ac:dyDescent="0.2">
      <c r="A5617" s="5">
        <v>5556</v>
      </c>
      <c r="B5617" s="138">
        <f>'Revenues 9-14'!F152</f>
        <v>213859</v>
      </c>
      <c r="D5617" s="2" t="str">
        <f t="shared" si="86"/>
        <v>Error?</v>
      </c>
    </row>
    <row r="5618" spans="1:4" x14ac:dyDescent="0.2">
      <c r="A5618" s="5">
        <v>5557</v>
      </c>
      <c r="B5618" s="138">
        <f>'Revenues 9-14'!F154</f>
        <v>389929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19220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409149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409149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559997</v>
      </c>
      <c r="C5720" s="2" t="s">
        <v>594</v>
      </c>
      <c r="D5720" s="2" t="str">
        <f t="shared" si="88"/>
        <v>Error?</v>
      </c>
    </row>
    <row r="5721" spans="1:4" x14ac:dyDescent="0.2">
      <c r="A5721" s="5">
        <v>5660</v>
      </c>
      <c r="B5721" s="138">
        <f>'Revenues 9-14'!G5</f>
        <v>233232</v>
      </c>
      <c r="D5721" s="2" t="str">
        <f t="shared" si="88"/>
        <v>Error?</v>
      </c>
    </row>
    <row r="5722" spans="1:4" x14ac:dyDescent="0.2">
      <c r="A5722" s="5">
        <v>5661</v>
      </c>
      <c r="B5722" s="138">
        <f>'Revenues 9-14'!G7</f>
        <v>0</v>
      </c>
      <c r="D5722" s="2" t="str">
        <f t="shared" si="88"/>
        <v>Error?</v>
      </c>
    </row>
    <row r="5723" spans="1:4" x14ac:dyDescent="0.2">
      <c r="A5723" s="5">
        <v>5662</v>
      </c>
      <c r="B5723" s="138">
        <f>'Revenues 9-14'!G8</f>
        <v>261414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494646</v>
      </c>
      <c r="C5725" s="2" t="s">
        <v>594</v>
      </c>
      <c r="D5725" s="2" t="str">
        <f t="shared" si="88"/>
        <v>Error?</v>
      </c>
    </row>
    <row r="5726" spans="1:4" x14ac:dyDescent="0.2">
      <c r="A5726" s="5">
        <v>5665</v>
      </c>
      <c r="B5726" s="138">
        <f>'Revenues 9-14'!G14</f>
        <v>2676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28388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31064</v>
      </c>
      <c r="C5730" s="2" t="s">
        <v>594</v>
      </c>
      <c r="D5730" s="2" t="str">
        <f t="shared" si="88"/>
        <v>Error?</v>
      </c>
    </row>
    <row r="5731" spans="1:4" x14ac:dyDescent="0.2">
      <c r="A5731" s="5">
        <v>5670</v>
      </c>
      <c r="B5731" s="138">
        <f>'Revenues 9-14'!G65</f>
        <v>8385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8385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7047</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7047</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7047</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1501</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1501</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25780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25780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27401</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27401</v>
      </c>
      <c r="C5869" s="2" t="s">
        <v>594</v>
      </c>
      <c r="D5869" s="2" t="str">
        <f t="shared" si="90"/>
        <v>Error?</v>
      </c>
    </row>
    <row r="5870" spans="1:4" x14ac:dyDescent="0.2">
      <c r="A5870" s="5">
        <v>5809</v>
      </c>
      <c r="B5870" s="138">
        <f>'Revenues 9-14'!G275</f>
        <v>568543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5282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5282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18190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18190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64392</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87864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35804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35804</v>
      </c>
      <c r="C5987" s="2" t="s">
        <v>594</v>
      </c>
      <c r="D5987" s="2" t="str">
        <f t="shared" si="92"/>
        <v>Error?</v>
      </c>
    </row>
    <row r="5988" spans="1:4" x14ac:dyDescent="0.2">
      <c r="A5988" s="5">
        <v>5927</v>
      </c>
      <c r="B5988" s="138">
        <f>'Revenues 9-14'!K14</f>
        <v>173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173</v>
      </c>
      <c r="C5992" s="2" t="s">
        <v>594</v>
      </c>
      <c r="D5992" s="2" t="str">
        <f t="shared" si="92"/>
        <v>Error?</v>
      </c>
    </row>
    <row r="5993" spans="1:4" x14ac:dyDescent="0.2">
      <c r="A5993" s="5">
        <v>5932</v>
      </c>
      <c r="B5993" s="138">
        <f>'Revenues 9-14'!K65</f>
        <v>1541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1541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37518</v>
      </c>
      <c r="C6023" s="2" t="s">
        <v>594</v>
      </c>
      <c r="D6023" s="2" t="str">
        <f t="shared" si="93"/>
        <v>Error?</v>
      </c>
    </row>
    <row r="6024" spans="1:5" x14ac:dyDescent="0.2">
      <c r="A6024" s="5">
        <v>5963</v>
      </c>
      <c r="B6024" s="138">
        <f>'Revenues 9-14'!G109</f>
        <v>534095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87864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37518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67384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40731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906.39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68849</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55899</v>
      </c>
      <c r="D6078" s="2" t="str">
        <f t="shared" si="93"/>
        <v>Error?</v>
      </c>
      <c r="E6078" s="2" t="s">
        <v>987</v>
      </c>
    </row>
    <row r="6079" spans="1:5" x14ac:dyDescent="0.2">
      <c r="A6079">
        <v>6018</v>
      </c>
      <c r="B6079" s="138">
        <f>'Short-Term Long-Term Debt 24'!F27</f>
        <v>12950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151522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151522</v>
      </c>
      <c r="D6215" s="2" t="str">
        <f t="shared" si="96"/>
        <v>Error?</v>
      </c>
      <c r="E6215" s="2" t="s">
        <v>199</v>
      </c>
    </row>
    <row r="6216" spans="1:5" x14ac:dyDescent="0.2">
      <c r="A6216">
        <v>6155</v>
      </c>
      <c r="B6216" s="138">
        <f>'Assets-Liab 5-6'!J41</f>
        <v>151522</v>
      </c>
      <c r="D6216" s="2" t="str">
        <f t="shared" si="96"/>
        <v>Error?</v>
      </c>
      <c r="E6216" s="2" t="s">
        <v>199</v>
      </c>
    </row>
    <row r="6217" spans="1:5" x14ac:dyDescent="0.2">
      <c r="A6217">
        <v>6156</v>
      </c>
      <c r="B6217" s="138">
        <f>'Assets-Liab 5-6'!J4</f>
        <v>151522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494526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494526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494526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415821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415821</v>
      </c>
      <c r="D6229" s="2" t="str">
        <f t="shared" si="96"/>
        <v>Error?</v>
      </c>
      <c r="E6229" s="2" t="s">
        <v>199</v>
      </c>
    </row>
    <row r="6230" spans="1:5" x14ac:dyDescent="0.2">
      <c r="A6230">
        <v>6169</v>
      </c>
      <c r="B6230" s="138">
        <f>'Acct Summary 7-8'!J20</f>
        <v>78705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78705</v>
      </c>
      <c r="D6263" s="2" t="str">
        <f t="shared" si="96"/>
        <v>Error?</v>
      </c>
      <c r="E6263" s="2" t="s">
        <v>199</v>
      </c>
    </row>
    <row r="6264" spans="1:5" x14ac:dyDescent="0.2">
      <c r="A6264">
        <v>6203</v>
      </c>
      <c r="B6264" s="138">
        <f>'Acct Summary 7-8'!J79</f>
        <v>72817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151522</v>
      </c>
      <c r="D6266" s="2" t="str">
        <f t="shared" si="96"/>
        <v>Error?</v>
      </c>
      <c r="E6266" s="2" t="s">
        <v>199</v>
      </c>
    </row>
    <row r="6267" spans="1:5" x14ac:dyDescent="0.2">
      <c r="A6267">
        <v>6206</v>
      </c>
      <c r="B6267" s="138">
        <f>'Acct Summary 7-8'!C82</f>
        <v>3073355</v>
      </c>
      <c r="D6267" s="2" t="str">
        <f t="shared" si="96"/>
        <v>Error?</v>
      </c>
      <c r="E6267" s="2" t="s">
        <v>199</v>
      </c>
    </row>
    <row r="6268" spans="1:5" x14ac:dyDescent="0.2">
      <c r="A6268">
        <v>6207</v>
      </c>
      <c r="B6268" s="138">
        <f>'Acct Summary 7-8'!D82</f>
        <v>12261</v>
      </c>
      <c r="D6268" s="2" t="str">
        <f t="shared" si="96"/>
        <v>Error?</v>
      </c>
      <c r="E6268" s="2" t="s">
        <v>199</v>
      </c>
    </row>
    <row r="6269" spans="1:5" x14ac:dyDescent="0.2">
      <c r="A6269">
        <v>6208</v>
      </c>
      <c r="B6269" s="138">
        <f>'Acct Summary 7-8'!E82</f>
        <v>216899</v>
      </c>
      <c r="D6269" s="2" t="str">
        <f t="shared" si="96"/>
        <v>Error?</v>
      </c>
      <c r="E6269" s="2" t="s">
        <v>199</v>
      </c>
    </row>
    <row r="6270" spans="1:5" x14ac:dyDescent="0.2">
      <c r="A6270">
        <v>6209</v>
      </c>
      <c r="B6270" s="138">
        <f>'Acct Summary 7-8'!F82</f>
        <v>26566</v>
      </c>
      <c r="D6270" s="2" t="str">
        <f t="shared" si="96"/>
        <v>Error?</v>
      </c>
      <c r="E6270" s="2" t="s">
        <v>199</v>
      </c>
    </row>
    <row r="6271" spans="1:5" x14ac:dyDescent="0.2">
      <c r="A6271">
        <v>6210</v>
      </c>
      <c r="B6271" s="138">
        <f>'Acct Summary 7-8'!G82</f>
        <v>241130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87864</v>
      </c>
      <c r="D6273" s="2" t="str">
        <f t="shared" si="97"/>
        <v>Error?</v>
      </c>
      <c r="E6273" s="2" t="s">
        <v>199</v>
      </c>
    </row>
    <row r="6274" spans="1:5" x14ac:dyDescent="0.2">
      <c r="A6274">
        <v>6213</v>
      </c>
      <c r="B6274" s="138">
        <f>'Acct Summary 7-8'!J82</f>
        <v>78705</v>
      </c>
      <c r="D6274" s="2" t="str">
        <f t="shared" si="97"/>
        <v>Error?</v>
      </c>
      <c r="E6274" s="2" t="s">
        <v>199</v>
      </c>
    </row>
    <row r="6275" spans="1:5" x14ac:dyDescent="0.2">
      <c r="A6275">
        <v>6214</v>
      </c>
      <c r="B6275" s="138">
        <f>'Acct Summary 7-8'!K82</f>
        <v>37518</v>
      </c>
      <c r="D6275" s="2" t="str">
        <f t="shared" si="97"/>
        <v>Error?</v>
      </c>
      <c r="E6275" s="2" t="s">
        <v>199</v>
      </c>
    </row>
    <row r="6276" spans="1:5" x14ac:dyDescent="0.2">
      <c r="A6276">
        <v>6215</v>
      </c>
      <c r="B6276" s="138">
        <f>'Acct Summary 7-8'!C83</f>
        <v>1</v>
      </c>
      <c r="D6276" s="2" t="str">
        <f t="shared" si="97"/>
        <v>Error?</v>
      </c>
      <c r="E6276" s="2" t="s">
        <v>199</v>
      </c>
    </row>
    <row r="6277" spans="1:5" x14ac:dyDescent="0.2">
      <c r="A6277">
        <v>6216</v>
      </c>
      <c r="B6277" s="138">
        <f>'Acct Summary 7-8'!D83</f>
        <v>5.3891425984449237E-2</v>
      </c>
      <c r="D6277" s="2" t="str">
        <f t="shared" si="97"/>
        <v>Error?</v>
      </c>
      <c r="E6277" s="2" t="s">
        <v>199</v>
      </c>
    </row>
    <row r="6278" spans="1:5" x14ac:dyDescent="0.2">
      <c r="A6278">
        <v>6217</v>
      </c>
      <c r="B6278" s="138">
        <f>'Acct Summary 7-8'!E83</f>
        <v>0.56580035424639163</v>
      </c>
      <c r="D6278" s="2" t="str">
        <f t="shared" si="97"/>
        <v>Error?</v>
      </c>
      <c r="E6278" s="2" t="s">
        <v>199</v>
      </c>
    </row>
    <row r="6279" spans="1:5" x14ac:dyDescent="0.2">
      <c r="A6279">
        <v>6218</v>
      </c>
      <c r="B6279" s="138">
        <f>'Acct Summary 7-8'!F83</f>
        <v>4.8710901186509982E-2</v>
      </c>
      <c r="D6279" s="2" t="str">
        <f t="shared" si="97"/>
        <v>Error?</v>
      </c>
      <c r="E6279" s="2" t="s">
        <v>199</v>
      </c>
    </row>
    <row r="6280" spans="1:5" x14ac:dyDescent="0.2">
      <c r="A6280">
        <v>6219</v>
      </c>
      <c r="B6280" s="138">
        <f>'Acct Summary 7-8'!G83</f>
        <v>0.35263131725265501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5.8944125713120341E-2</v>
      </c>
      <c r="D6282" s="2" t="str">
        <f t="shared" si="97"/>
        <v>Error?</v>
      </c>
      <c r="E6282" s="2" t="s">
        <v>199</v>
      </c>
    </row>
    <row r="6283" spans="1:5" x14ac:dyDescent="0.2">
      <c r="A6283">
        <v>6222</v>
      </c>
      <c r="B6283" s="138">
        <f>'Acct Summary 7-8'!J83</f>
        <v>0.5194295217856153</v>
      </c>
      <c r="D6283" s="2" t="str">
        <f t="shared" si="97"/>
        <v>Error?</v>
      </c>
      <c r="E6283" s="2" t="s">
        <v>199</v>
      </c>
    </row>
    <row r="6284" spans="1:5" x14ac:dyDescent="0.2">
      <c r="A6284">
        <v>6223</v>
      </c>
      <c r="B6284" s="138">
        <f>'Acct Summary 7-8'!K83</f>
        <v>0.30507399577167021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490141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490141</v>
      </c>
      <c r="D6301" s="2" t="str">
        <f t="shared" si="97"/>
        <v>Error?</v>
      </c>
      <c r="E6301" s="2" t="s">
        <v>199</v>
      </c>
    </row>
    <row r="6302" spans="1:5" x14ac:dyDescent="0.2">
      <c r="A6302">
        <v>6241</v>
      </c>
      <c r="B6302" s="138">
        <f>'Revenues 9-14'!J14</f>
        <v>2071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2071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2314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100000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64392</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5445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494526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135817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6240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192340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17025</v>
      </c>
      <c r="D6853" s="2" t="str">
        <f t="shared" si="106"/>
        <v>Error?</v>
      </c>
    </row>
    <row r="6854" spans="1:4" x14ac:dyDescent="0.2">
      <c r="A6854">
        <v>6793</v>
      </c>
      <c r="B6854" s="138">
        <f>'Expenditures 15-22'!I10</f>
        <v>7799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63818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202072</v>
      </c>
      <c r="D6880" s="2" t="str">
        <f t="shared" si="106"/>
        <v>Error?</v>
      </c>
    </row>
    <row r="6881" spans="1:4" x14ac:dyDescent="0.2">
      <c r="A6881">
        <v>6820</v>
      </c>
      <c r="B6881" s="138">
        <f>'Expenditures 15-22'!K22</f>
        <v>202072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14039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22751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22751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168769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168769</v>
      </c>
      <c r="D6940" s="2" t="str">
        <f t="shared" si="107"/>
        <v>Error?</v>
      </c>
    </row>
    <row r="6941" spans="1:4" x14ac:dyDescent="0.2">
      <c r="A6941">
        <v>6880</v>
      </c>
      <c r="B6941" s="138">
        <f>'Expenditures 15-22'!L52</f>
        <v>118500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74122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74122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96873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7983</v>
      </c>
      <c r="D6983" s="2" t="str">
        <f t="shared" si="108"/>
        <v>Error?</v>
      </c>
    </row>
    <row r="6984" spans="1:4" x14ac:dyDescent="0.2">
      <c r="A6984">
        <v>6923</v>
      </c>
      <c r="B6984" s="138">
        <f>'Expenditures 15-22'!K86</f>
        <v>7983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71497</v>
      </c>
      <c r="D6987" s="2" t="str">
        <f t="shared" si="108"/>
        <v>Error?</v>
      </c>
    </row>
    <row r="6988" spans="1:4" x14ac:dyDescent="0.2">
      <c r="A6988">
        <v>6927</v>
      </c>
      <c r="B6988" s="138">
        <f>'Expenditures 15-22'!K88</f>
        <v>71497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4613</v>
      </c>
      <c r="D6993" s="2" t="str">
        <f t="shared" si="108"/>
        <v>Error?</v>
      </c>
    </row>
    <row r="6994" spans="1:4" x14ac:dyDescent="0.2">
      <c r="A6994">
        <v>6933</v>
      </c>
      <c r="B6994" s="138">
        <f>'Expenditures 15-22'!K91</f>
        <v>4613</v>
      </c>
      <c r="D6994" s="2" t="str">
        <f t="shared" si="108"/>
        <v>Error?</v>
      </c>
    </row>
    <row r="6995" spans="1:4" x14ac:dyDescent="0.2">
      <c r="A6995">
        <v>6934</v>
      </c>
      <c r="B6995" s="138">
        <f>'Expenditures 15-22'!H92</f>
        <v>84093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110912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415821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494526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7748</v>
      </c>
      <c r="D7073" s="2" t="str">
        <f t="shared" si="109"/>
        <v>Error?</v>
      </c>
    </row>
    <row r="7074" spans="1:4" x14ac:dyDescent="0.2">
      <c r="A7074">
        <v>7013</v>
      </c>
      <c r="B7074" s="138">
        <f>'Expenditures 15-22'!K216</f>
        <v>7748</v>
      </c>
      <c r="D7074" s="2" t="str">
        <f t="shared" si="109"/>
        <v>Error?</v>
      </c>
    </row>
    <row r="7075" spans="1:4" x14ac:dyDescent="0.2">
      <c r="A7075">
        <v>7014</v>
      </c>
      <c r="B7075" s="138">
        <f>'Expenditures 15-22'!D218</f>
        <v>2901</v>
      </c>
      <c r="D7075" s="2" t="str">
        <f t="shared" si="109"/>
        <v>Error?</v>
      </c>
    </row>
    <row r="7076" spans="1:4" x14ac:dyDescent="0.2">
      <c r="A7076">
        <v>7015</v>
      </c>
      <c r="B7076" s="138">
        <f>'Expenditures 15-22'!K218</f>
        <v>2901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734</v>
      </c>
      <c r="D7079" s="2" t="str">
        <f t="shared" si="109"/>
        <v>Error?</v>
      </c>
    </row>
    <row r="7080" spans="1:4" x14ac:dyDescent="0.2">
      <c r="A7080">
        <v>7019</v>
      </c>
      <c r="B7080" s="138">
        <f>'Expenditures 15-22'!K226</f>
        <v>734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24755</v>
      </c>
      <c r="D7093" s="2" t="str">
        <f t="shared" si="109"/>
        <v>Error?</v>
      </c>
    </row>
    <row r="7094" spans="1:4" x14ac:dyDescent="0.2">
      <c r="A7094">
        <v>7033</v>
      </c>
      <c r="B7094" s="138">
        <f>'Expenditures 15-22'!K254</f>
        <v>24755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365850</v>
      </c>
      <c r="D7172" s="2" t="str">
        <f t="shared" si="111"/>
        <v>Error?</v>
      </c>
    </row>
    <row r="7173" spans="1:4" x14ac:dyDescent="0.2">
      <c r="A7173">
        <v>7112</v>
      </c>
      <c r="B7173" s="138">
        <f>'Expenditures 15-22'!D325</f>
        <v>49971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415821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365850</v>
      </c>
      <c r="D7199" s="2" t="str">
        <f t="shared" si="111"/>
        <v>Error?</v>
      </c>
    </row>
    <row r="7200" spans="1:4" x14ac:dyDescent="0.2">
      <c r="A7200">
        <v>7139</v>
      </c>
      <c r="B7200" s="138">
        <f>'Expenditures 15-22'!D330</f>
        <v>49971</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415821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365850</v>
      </c>
      <c r="D7216" s="2" t="str">
        <f t="shared" si="111"/>
        <v>Error?</v>
      </c>
    </row>
    <row r="7217" spans="1:4" x14ac:dyDescent="0.2">
      <c r="A7217">
        <v>7156</v>
      </c>
      <c r="B7217" s="138">
        <f>'Expenditures 15-22'!D342</f>
        <v>49971</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415821</v>
      </c>
      <c r="D7224" s="2" t="str">
        <f t="shared" si="111"/>
        <v>Error?</v>
      </c>
    </row>
    <row r="7225" spans="1:4" x14ac:dyDescent="0.2">
      <c r="A7225">
        <v>7164</v>
      </c>
      <c r="B7225" s="138">
        <f>'Expenditures 15-22'!K343</f>
        <v>78705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25707</v>
      </c>
      <c r="D7246" s="2" t="str">
        <f t="shared" si="112"/>
        <v>Error?</v>
      </c>
    </row>
    <row r="7247" spans="1:4" x14ac:dyDescent="0.2">
      <c r="A7247">
        <f t="shared" si="113"/>
        <v>7186</v>
      </c>
      <c r="B7247" s="138">
        <f>'Expenditures 15-22'!E7</f>
        <v>5203</v>
      </c>
      <c r="D7247" s="2" t="str">
        <f t="shared" si="112"/>
        <v>Error?</v>
      </c>
    </row>
    <row r="7248" spans="1:4" x14ac:dyDescent="0.2">
      <c r="A7248">
        <f t="shared" si="113"/>
        <v>7187</v>
      </c>
      <c r="B7248" s="138">
        <f>'Expenditures 15-22'!F7</f>
        <v>19373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17025</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52497</v>
      </c>
      <c r="D7263" s="2" t="str">
        <f t="shared" si="112"/>
        <v>Error?</v>
      </c>
    </row>
    <row r="7264" spans="1:4" x14ac:dyDescent="0.2">
      <c r="A7264">
        <f t="shared" si="113"/>
        <v>7203</v>
      </c>
      <c r="B7264" s="138">
        <f>'Expenditures 15-22'!D17</f>
        <v>10699</v>
      </c>
      <c r="D7264" s="2" t="str">
        <f t="shared" si="112"/>
        <v>Error?</v>
      </c>
    </row>
    <row r="7265" spans="1:5" x14ac:dyDescent="0.2">
      <c r="A7265">
        <f t="shared" si="113"/>
        <v>7204</v>
      </c>
      <c r="B7265" s="138">
        <f>'Expenditures 15-22'!E17</f>
        <v>71</v>
      </c>
      <c r="D7265" s="2" t="str">
        <f t="shared" si="112"/>
        <v>Error?</v>
      </c>
    </row>
    <row r="7266" spans="1:5" x14ac:dyDescent="0.2">
      <c r="A7266">
        <f t="shared" si="113"/>
        <v>7205</v>
      </c>
      <c r="B7266" s="138">
        <f>'Expenditures 15-22'!F17</f>
        <v>551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110912</v>
      </c>
      <c r="D7624" s="2" t="str">
        <f t="shared" si="124"/>
        <v>Error?</v>
      </c>
      <c r="E7624" s="2" t="s">
        <v>19</v>
      </c>
    </row>
    <row r="7625" spans="1:5" x14ac:dyDescent="0.2">
      <c r="A7625">
        <f t="shared" si="123"/>
        <v>7564</v>
      </c>
      <c r="B7625" s="138">
        <f>'Cap Outlay Deprec 26'!I17</f>
        <v>11091.2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426605.2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5445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12420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17865</v>
      </c>
      <c r="D7719" s="2" t="str">
        <f t="shared" si="126"/>
        <v>Error?</v>
      </c>
      <c r="E7719" s="2" t="s">
        <v>881</v>
      </c>
    </row>
    <row r="7720" spans="1:6" x14ac:dyDescent="0.2">
      <c r="A7720">
        <v>7659</v>
      </c>
      <c r="B7720" s="138">
        <f>'Rest Tax Levies-Tort Im 25'!H14</f>
        <v>28687</v>
      </c>
      <c r="D7720" s="2" t="str">
        <f t="shared" si="126"/>
        <v>Error?</v>
      </c>
      <c r="E7720" s="2" t="s">
        <v>881</v>
      </c>
    </row>
    <row r="7721" spans="1:6" x14ac:dyDescent="0.2">
      <c r="A7721">
        <v>7660</v>
      </c>
      <c r="B7721" s="138">
        <f>'Rest Tax Levies-Tort Im 25'!K14</f>
        <v>17865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393356</v>
      </c>
      <c r="D7797" s="2" t="str">
        <f t="shared" si="127"/>
        <v>Error?</v>
      </c>
      <c r="E7797" s="4" t="s">
        <v>2017</v>
      </c>
    </row>
    <row r="7798" spans="1:5" x14ac:dyDescent="0.2">
      <c r="A7798">
        <v>7737</v>
      </c>
      <c r="B7798" s="138">
        <f>'Contracts Paid in CY 29'!F141</f>
        <v>61594</v>
      </c>
      <c r="D7798" s="2" t="str">
        <f t="shared" si="127"/>
        <v>Error?</v>
      </c>
      <c r="E7798" s="4" t="s">
        <v>2017</v>
      </c>
    </row>
    <row r="7799" spans="1:5" x14ac:dyDescent="0.2">
      <c r="A7799">
        <v>7738</v>
      </c>
      <c r="B7799" s="138">
        <f>'Contracts Paid in CY 29'!G141</f>
        <v>331762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C30" sqref="C3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5" t="s">
        <v>1253</v>
      </c>
      <c r="B2" s="2435"/>
      <c r="C2" s="2435"/>
      <c r="D2" s="2435"/>
      <c r="E2" s="2435"/>
      <c r="F2" s="2435"/>
      <c r="G2" s="2435"/>
      <c r="H2" s="2435"/>
      <c r="I2" s="2435"/>
      <c r="J2" s="2435"/>
      <c r="K2" s="2435"/>
      <c r="L2" s="2435"/>
    </row>
    <row r="3" spans="1:29" ht="13.5" customHeight="1" x14ac:dyDescent="0.2">
      <c r="A3" s="2421" t="s">
        <v>1252</v>
      </c>
      <c r="B3" s="2421"/>
      <c r="C3" s="2421"/>
      <c r="D3" s="2421"/>
      <c r="E3" s="2421"/>
      <c r="F3" s="2421"/>
      <c r="G3" s="2421"/>
      <c r="H3" s="2421"/>
      <c r="I3" s="2421"/>
      <c r="J3" s="2421"/>
      <c r="K3" s="2421"/>
      <c r="L3" s="2421"/>
    </row>
    <row r="4" spans="1:29" ht="13.5" customHeight="1" x14ac:dyDescent="0.2">
      <c r="A4" s="2435" t="s">
        <v>1799</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5" t="str">
        <f>COVER!A17</f>
        <v>Dupo Community Unit School District No. 196</v>
      </c>
      <c r="B7" s="2416"/>
      <c r="C7" s="2416"/>
      <c r="D7" s="2453"/>
      <c r="E7" s="2454" t="str">
        <f>COVER!A13</f>
        <v>50-082-1960-26</v>
      </c>
      <c r="F7" s="2455"/>
      <c r="G7" s="2422" t="str">
        <f>COVER!T23</f>
        <v>065-009532</v>
      </c>
      <c r="H7" s="2423"/>
      <c r="I7" s="2423"/>
      <c r="J7" s="2423"/>
      <c r="K7" s="2423"/>
      <c r="L7" s="242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5"/>
      <c r="B9" s="2426"/>
      <c r="C9" s="2426"/>
      <c r="D9" s="2426"/>
      <c r="E9" s="2426"/>
      <c r="F9" s="2427"/>
      <c r="G9" s="2428" t="str">
        <f>COVER!T13</f>
        <v>Scheffel Boyle</v>
      </c>
      <c r="H9" s="2429"/>
      <c r="I9" s="2429"/>
      <c r="J9" s="2429"/>
      <c r="K9" s="2429"/>
      <c r="L9" s="2430"/>
    </row>
    <row r="10" spans="1:29" ht="13.5" customHeight="1" x14ac:dyDescent="0.2">
      <c r="A10" s="2412" t="str">
        <f>COVER!A38</f>
        <v>Dr. Kelly Carpenter</v>
      </c>
      <c r="B10" s="2413"/>
      <c r="C10" s="2413"/>
      <c r="D10" s="2413"/>
      <c r="E10" s="2413"/>
      <c r="F10" s="2414"/>
      <c r="G10" s="2428" t="str">
        <f>COVER!T17</f>
        <v>222 East Main St</v>
      </c>
      <c r="H10" s="2441"/>
      <c r="I10" s="2441"/>
      <c r="J10" s="2441"/>
      <c r="K10" s="2441"/>
      <c r="L10" s="2442"/>
    </row>
    <row r="11" spans="1:29" ht="13.5" customHeight="1" x14ac:dyDescent="0.2">
      <c r="A11" s="1185" t="s">
        <v>1599</v>
      </c>
      <c r="B11" s="1186"/>
      <c r="C11" s="1187"/>
      <c r="D11" s="1192"/>
      <c r="E11" s="1187"/>
      <c r="F11" s="1191"/>
      <c r="G11" s="2428" t="str">
        <f>COVER!T19</f>
        <v>Belleville</v>
      </c>
      <c r="H11" s="2441"/>
      <c r="I11" s="2441"/>
      <c r="J11" s="2441"/>
      <c r="K11" s="2441"/>
      <c r="L11" s="2442"/>
    </row>
    <row r="12" spans="1:29" ht="13.5" customHeight="1" x14ac:dyDescent="0.2">
      <c r="A12" s="2446" t="s">
        <v>1598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1600</v>
      </c>
      <c r="H13" s="2437"/>
      <c r="I13" s="2449" t="str">
        <f>COVER!T25</f>
        <v>henry.siekmann@scheffelboyle.com</v>
      </c>
      <c r="J13" s="2450"/>
      <c r="K13" s="2450"/>
      <c r="L13" s="2451"/>
    </row>
    <row r="14" spans="1:29" ht="13.5" customHeight="1" x14ac:dyDescent="0.2">
      <c r="A14" s="2428" t="str">
        <f>COVER!A19</f>
        <v>600 Louisa</v>
      </c>
      <c r="B14" s="2441"/>
      <c r="C14" s="2441"/>
      <c r="D14" s="2441"/>
      <c r="E14" s="2441"/>
      <c r="F14" s="2442"/>
      <c r="G14" s="1196" t="s">
        <v>1247</v>
      </c>
      <c r="H14" s="1194"/>
      <c r="I14" s="1194"/>
      <c r="J14" s="1194"/>
      <c r="K14" s="1194"/>
      <c r="L14" s="1195"/>
    </row>
    <row r="15" spans="1:29" ht="13.5" customHeight="1" x14ac:dyDescent="0.2">
      <c r="A15" s="2428" t="str">
        <f>COVER!A21</f>
        <v xml:space="preserve">Dupo  </v>
      </c>
      <c r="B15" s="2441"/>
      <c r="C15" s="2441"/>
      <c r="D15" s="2441"/>
      <c r="E15" s="2441"/>
      <c r="F15" s="2442"/>
      <c r="G15" s="2438" t="str">
        <f>COVER!T15</f>
        <v>Henry Siekmann</v>
      </c>
      <c r="H15" s="2439"/>
      <c r="I15" s="2439"/>
      <c r="J15" s="2439"/>
      <c r="K15" s="2439"/>
      <c r="L15" s="2440"/>
    </row>
    <row r="16" spans="1:29" ht="12.2" customHeight="1" x14ac:dyDescent="0.2">
      <c r="A16" s="2418">
        <f>COVER!A25</f>
        <v>62239</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96" t="s">
        <v>1246</v>
      </c>
      <c r="H17" s="1194"/>
      <c r="I17" s="1194"/>
      <c r="J17" s="1194"/>
      <c r="K17" s="1198" t="s">
        <v>1245</v>
      </c>
      <c r="L17" s="1191"/>
      <c r="M17" s="1184"/>
    </row>
    <row r="18" spans="1:13" ht="12.2" customHeight="1" x14ac:dyDescent="0.2">
      <c r="A18" s="2412"/>
      <c r="B18" s="2413"/>
      <c r="C18" s="2413"/>
      <c r="D18" s="2413"/>
      <c r="E18" s="2413"/>
      <c r="F18" s="2414"/>
      <c r="G18" s="2415" t="str">
        <f>COVER!T21</f>
        <v>618-233-2641</v>
      </c>
      <c r="H18" s="2416"/>
      <c r="I18" s="2416"/>
      <c r="J18" s="2416"/>
      <c r="K18" s="2415" t="str">
        <f>COVER!X21</f>
        <v>618-233-6334</v>
      </c>
      <c r="L18" s="241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C30" sqref="C3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6" t="str">
        <f>'Single Audit Cover'!A7</f>
        <v>Dupo Community Unit School District No. 196</v>
      </c>
      <c r="B1" s="2452"/>
      <c r="C1" s="2452"/>
      <c r="D1" s="2452"/>
    </row>
    <row r="2" spans="1:11" s="1215" customFormat="1" ht="12.75" x14ac:dyDescent="0.2">
      <c r="A2" s="2457" t="str">
        <f>'Single Audit Cover'!E7</f>
        <v>50-082-1960-26</v>
      </c>
      <c r="B2" s="2458"/>
      <c r="C2" s="2458"/>
      <c r="D2" s="2458"/>
    </row>
    <row r="3" spans="1:11" s="1215" customFormat="1" ht="12.75" x14ac:dyDescent="0.2">
      <c r="A3" s="2456" t="s">
        <v>1593</v>
      </c>
      <c r="B3" s="2452"/>
      <c r="C3" s="2452"/>
      <c r="D3" s="245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N19" sqref="N9:N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0" t="str">
        <f>'Single Audit Cover'!A7</f>
        <v>Dupo Community Unit School District No. 196</v>
      </c>
      <c r="B1" s="2460"/>
      <c r="C1" s="2460"/>
      <c r="D1" s="2460"/>
      <c r="E1" s="2460"/>
    </row>
    <row r="2" spans="1:5" x14ac:dyDescent="0.2">
      <c r="A2" s="2461" t="str">
        <f>'Single Audit Cover'!E7</f>
        <v>50-082-1960-26</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60" t="s">
        <v>1305</v>
      </c>
    </row>
    <row r="10" spans="1:5" x14ac:dyDescent="0.2">
      <c r="A10" s="1261" t="s">
        <v>1304</v>
      </c>
      <c r="B10" s="1262" t="s">
        <v>1303</v>
      </c>
      <c r="C10" s="1262"/>
      <c r="D10" s="1263">
        <f>SUM('Acct Summary 7-8'!C7:K7)</f>
        <v>1050788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40731</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-18008</v>
      </c>
    </row>
    <row r="19" spans="1:4" ht="13.5" thickBot="1" x14ac:dyDescent="0.25">
      <c r="A19" s="1265" t="s">
        <v>1297</v>
      </c>
      <c r="D19" s="1266">
        <f>SUM(D10:D17)</f>
        <v>1073511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2"/>
      <c r="B24" s="2462"/>
      <c r="D24" s="1268"/>
    </row>
    <row r="25" spans="1:4" x14ac:dyDescent="0.2">
      <c r="A25" s="2459"/>
      <c r="B25" s="2459"/>
      <c r="D25" s="1268"/>
    </row>
    <row r="26" spans="1:4" x14ac:dyDescent="0.2">
      <c r="A26" s="2459"/>
      <c r="B26" s="2459"/>
      <c r="D26" s="1268"/>
    </row>
    <row r="27" spans="1:4" x14ac:dyDescent="0.2">
      <c r="A27" s="2459"/>
      <c r="B27" s="2459"/>
      <c r="D27" s="1268"/>
    </row>
    <row r="28" spans="1:4" x14ac:dyDescent="0.2">
      <c r="A28" s="2459"/>
      <c r="B28" s="2459"/>
      <c r="D28" s="1268"/>
    </row>
    <row r="29" spans="1:4" x14ac:dyDescent="0.2">
      <c r="A29" s="2459"/>
      <c r="B29" s="2459"/>
      <c r="D29" s="1268"/>
    </row>
    <row r="30" spans="1:4" x14ac:dyDescent="0.2">
      <c r="A30" s="2459"/>
      <c r="B30" s="2459"/>
      <c r="D30" s="1268"/>
    </row>
    <row r="32" spans="1:4" x14ac:dyDescent="0.2">
      <c r="A32" s="1260" t="s">
        <v>1295</v>
      </c>
      <c r="D32" s="1263">
        <f>SUM(D19:D30)</f>
        <v>1073511</v>
      </c>
    </row>
    <row r="33" spans="1:4" x14ac:dyDescent="0.2">
      <c r="D33" s="1269"/>
    </row>
    <row r="34" spans="1:4" x14ac:dyDescent="0.2">
      <c r="A34" s="317" t="s">
        <v>1294</v>
      </c>
    </row>
    <row r="35" spans="1:4" x14ac:dyDescent="0.2">
      <c r="A35" s="317" t="s">
        <v>1293</v>
      </c>
      <c r="B35" s="1258" t="s">
        <v>1292</v>
      </c>
      <c r="D35" s="1270">
        <v>1073511</v>
      </c>
    </row>
    <row r="37" spans="1:4" x14ac:dyDescent="0.2">
      <c r="A37" s="1260" t="s">
        <v>1291</v>
      </c>
    </row>
    <row r="39" spans="1:4" ht="13.35" customHeight="1" x14ac:dyDescent="0.2">
      <c r="A39" s="1267" t="s">
        <v>1290</v>
      </c>
    </row>
    <row r="40" spans="1:4" x14ac:dyDescent="0.2">
      <c r="A40" s="2459"/>
      <c r="B40" s="2459"/>
      <c r="D40" s="1268"/>
    </row>
    <row r="41" spans="1:4" x14ac:dyDescent="0.2">
      <c r="A41" s="2459"/>
      <c r="B41" s="2459"/>
      <c r="D41" s="1271"/>
    </row>
    <row r="42" spans="1:4" x14ac:dyDescent="0.2">
      <c r="A42" s="2459"/>
      <c r="B42" s="2459"/>
      <c r="D42" s="1271"/>
    </row>
    <row r="43" spans="1:4" x14ac:dyDescent="0.2">
      <c r="A43" s="2459"/>
      <c r="B43" s="2459"/>
      <c r="D43" s="1271"/>
    </row>
    <row r="44" spans="1:4" x14ac:dyDescent="0.2">
      <c r="A44" s="2459"/>
      <c r="B44" s="2459"/>
      <c r="D44" s="1271"/>
    </row>
    <row r="45" spans="1:4" x14ac:dyDescent="0.2">
      <c r="A45" s="2459"/>
      <c r="B45" s="2459"/>
      <c r="D45" s="1271"/>
    </row>
    <row r="47" spans="1:4" x14ac:dyDescent="0.2">
      <c r="B47" s="1272" t="s">
        <v>1289</v>
      </c>
      <c r="C47" s="1272"/>
      <c r="D47" s="1273">
        <f>SUM(D35:D45)</f>
        <v>1073511</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30" sqref="C3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Dupo Community Unit School District No. 196</v>
      </c>
      <c r="B1" s="2465"/>
      <c r="C1" s="2465"/>
      <c r="D1" s="2465"/>
      <c r="E1" s="2465"/>
      <c r="F1" s="2465"/>
    </row>
    <row r="2" spans="1:7" ht="13.5" customHeight="1" x14ac:dyDescent="0.2">
      <c r="A2" s="2466" t="str">
        <f>'Single Audit Cover'!E7</f>
        <v>50-082-1960-26</v>
      </c>
      <c r="B2" s="2466"/>
      <c r="C2" s="2466"/>
      <c r="D2" s="2466"/>
      <c r="E2" s="2466"/>
      <c r="F2" s="2466"/>
      <c r="G2" s="1275"/>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1831</v>
      </c>
      <c r="C6" s="317"/>
      <c r="D6" s="317"/>
    </row>
    <row r="7" spans="1:7" ht="60.95" customHeight="1" x14ac:dyDescent="0.2">
      <c r="A7" s="2464" t="s">
        <v>2142</v>
      </c>
      <c r="B7" s="2464"/>
      <c r="C7" s="2464"/>
      <c r="D7" s="2464"/>
      <c r="E7" s="2464"/>
      <c r="F7" s="246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4" t="s">
        <v>2143</v>
      </c>
      <c r="B13" s="2464"/>
      <c r="C13" s="2464"/>
      <c r="D13" s="2464"/>
      <c r="E13" s="2464"/>
      <c r="F13" s="2464"/>
    </row>
    <row r="14" spans="1:7" ht="9.75" customHeight="1" x14ac:dyDescent="0.2">
      <c r="C14" s="1260"/>
      <c r="D14" s="1260"/>
    </row>
    <row r="15" spans="1:7" ht="13.5" customHeight="1" x14ac:dyDescent="0.2">
      <c r="C15" s="1871" t="s">
        <v>1332</v>
      </c>
      <c r="D15" s="2470" t="s">
        <v>1331</v>
      </c>
      <c r="E15" s="2470"/>
      <c r="F15" s="2470"/>
    </row>
    <row r="16" spans="1:7" ht="13.5" customHeight="1" x14ac:dyDescent="0.2">
      <c r="A16" s="1282"/>
      <c r="B16" s="1276" t="s">
        <v>1330</v>
      </c>
      <c r="C16" s="1871" t="s">
        <v>1329</v>
      </c>
      <c r="D16" s="2471" t="s">
        <v>1670</v>
      </c>
      <c r="E16" s="2471"/>
      <c r="F16" s="2471"/>
    </row>
    <row r="17" spans="1:6" ht="20.45" customHeight="1" x14ac:dyDescent="0.2">
      <c r="A17" s="1283"/>
      <c r="B17" s="1284" t="s">
        <v>2144</v>
      </c>
      <c r="C17" s="1285"/>
      <c r="D17" s="2469"/>
      <c r="E17" s="2469"/>
      <c r="F17" s="2469"/>
    </row>
    <row r="18" spans="1:6" ht="20.65" customHeight="1" x14ac:dyDescent="0.2">
      <c r="A18" s="1283"/>
      <c r="B18" s="1284"/>
      <c r="C18" s="1285"/>
      <c r="D18" s="2469"/>
      <c r="E18" s="2469"/>
      <c r="F18" s="2469"/>
    </row>
    <row r="19" spans="1:6" ht="20.65" customHeight="1" x14ac:dyDescent="0.2">
      <c r="A19" s="1283"/>
      <c r="B19" s="1284"/>
      <c r="C19" s="1285"/>
      <c r="D19" s="2469"/>
      <c r="E19" s="2469"/>
      <c r="F19" s="2469"/>
    </row>
    <row r="20" spans="1:6" ht="20.65" customHeight="1" x14ac:dyDescent="0.2">
      <c r="A20" s="1283"/>
      <c r="B20" s="1284"/>
      <c r="C20" s="1285"/>
      <c r="D20" s="2469"/>
      <c r="E20" s="2469"/>
      <c r="F20" s="2469"/>
    </row>
    <row r="21" spans="1:6" ht="20.65" customHeight="1" x14ac:dyDescent="0.2">
      <c r="A21" s="1283"/>
      <c r="B21" s="1284"/>
      <c r="C21" s="1285"/>
      <c r="D21" s="2469"/>
      <c r="E21" s="2469"/>
      <c r="F21" s="2469"/>
    </row>
    <row r="22" spans="1:6" ht="20.65" customHeight="1" x14ac:dyDescent="0.2">
      <c r="A22" s="1283"/>
      <c r="B22" s="1284"/>
      <c r="C22" s="1285"/>
      <c r="D22" s="2469"/>
      <c r="E22" s="2469"/>
      <c r="F22" s="2469"/>
    </row>
    <row r="23" spans="1:6" ht="20.65" customHeight="1" x14ac:dyDescent="0.2">
      <c r="A23" s="1283"/>
      <c r="B23" s="1284"/>
      <c r="C23" s="1285"/>
      <c r="D23" s="2469"/>
      <c r="E23" s="2469"/>
      <c r="F23" s="2469"/>
    </row>
    <row r="24" spans="1:6" ht="20.65" customHeight="1" x14ac:dyDescent="0.2">
      <c r="A24" s="1283"/>
      <c r="B24" s="1284"/>
      <c r="C24" s="1285"/>
      <c r="D24" s="2469"/>
      <c r="E24" s="2469"/>
      <c r="F24" s="2469"/>
    </row>
    <row r="25" spans="1:6" ht="20.65" customHeight="1" x14ac:dyDescent="0.2">
      <c r="A25" s="1283"/>
      <c r="B25" s="1284"/>
      <c r="C25" s="1285"/>
      <c r="D25" s="2469"/>
      <c r="E25" s="2469"/>
      <c r="F25" s="2469"/>
    </row>
    <row r="26" spans="1:6" ht="20.65" customHeight="1" x14ac:dyDescent="0.2">
      <c r="A26" s="1283"/>
      <c r="B26" s="1284"/>
      <c r="C26" s="1285"/>
      <c r="D26" s="2469"/>
      <c r="E26" s="2469"/>
      <c r="F26" s="2469"/>
    </row>
    <row r="27" spans="1:6" ht="20.65" customHeight="1" x14ac:dyDescent="0.2">
      <c r="A27" s="1283"/>
      <c r="B27" s="1284"/>
      <c r="C27" s="1285"/>
      <c r="D27" s="2469"/>
      <c r="E27" s="2469"/>
      <c r="F27" s="2469"/>
    </row>
    <row r="28" spans="1:6" ht="20.65" customHeight="1" x14ac:dyDescent="0.2">
      <c r="A28" s="1283"/>
      <c r="B28" s="1284"/>
      <c r="C28" s="1285"/>
      <c r="D28" s="2469"/>
      <c r="E28" s="2469"/>
      <c r="F28" s="2469"/>
    </row>
    <row r="29" spans="1:6" ht="20.65" customHeight="1" x14ac:dyDescent="0.2">
      <c r="A29" s="1283"/>
      <c r="B29" s="1284"/>
      <c r="C29" s="1285"/>
      <c r="D29" s="2469"/>
      <c r="E29" s="2469"/>
      <c r="F29" s="246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3" t="s">
        <v>1833</v>
      </c>
      <c r="B32" s="2473"/>
      <c r="C32" s="2473"/>
      <c r="D32" s="2473"/>
      <c r="E32" s="2473"/>
      <c r="F32" s="2473"/>
    </row>
    <row r="33" spans="1:6" ht="13.5" customHeight="1" x14ac:dyDescent="0.2">
      <c r="A33" s="328" t="s">
        <v>1509</v>
      </c>
      <c r="B33" s="328"/>
      <c r="C33" s="1288">
        <v>40731</v>
      </c>
      <c r="D33" s="1928"/>
      <c r="E33" s="1286"/>
    </row>
    <row r="34" spans="1:6" ht="13.5" customHeight="1" x14ac:dyDescent="0.2">
      <c r="A34" s="328" t="s">
        <v>1946</v>
      </c>
      <c r="B34" s="328"/>
      <c r="C34" s="1289">
        <v>0</v>
      </c>
      <c r="D34" s="1928" t="s">
        <v>1671</v>
      </c>
      <c r="E34" s="2474">
        <f>+C33+C34</f>
        <v>40731</v>
      </c>
      <c r="F34" s="247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6" t="s">
        <v>1672</v>
      </c>
      <c r="C49" s="2476"/>
      <c r="D49" s="2476"/>
      <c r="E49" s="1399"/>
    </row>
    <row r="50" spans="1:5" s="1300" customFormat="1" ht="3.75" customHeight="1" x14ac:dyDescent="0.2">
      <c r="A50" s="1299"/>
      <c r="B50" s="1870"/>
      <c r="C50" s="1870"/>
      <c r="D50" s="1870"/>
      <c r="E50" s="1399"/>
    </row>
    <row r="51" spans="1:5" s="1300" customFormat="1" ht="20.25" customHeight="1" x14ac:dyDescent="0.2">
      <c r="A51" s="1301">
        <v>6</v>
      </c>
      <c r="B51" s="2472" t="s">
        <v>1632</v>
      </c>
      <c r="C51" s="2472"/>
      <c r="D51" s="2472"/>
    </row>
    <row r="52" spans="1:5" ht="14.25" customHeight="1" x14ac:dyDescent="0.2">
      <c r="A52" s="1301"/>
      <c r="B52" s="2472"/>
      <c r="C52" s="2472"/>
      <c r="D52" s="24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30" sqref="C3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1" t="str">
        <f>'Single Audit Cover'!A7</f>
        <v>Dupo Community Unit School District No. 196</v>
      </c>
      <c r="C1" s="2477"/>
      <c r="D1" s="2477"/>
      <c r="E1" s="2477"/>
      <c r="F1" s="2477"/>
      <c r="G1" s="2477"/>
      <c r="H1" s="2477"/>
      <c r="I1" s="2477"/>
      <c r="J1" s="2477"/>
      <c r="K1" s="2477"/>
      <c r="L1" s="2477"/>
      <c r="M1" s="2477"/>
    </row>
    <row r="2" spans="2:14" ht="15" x14ac:dyDescent="0.2">
      <c r="B2" s="2466" t="str">
        <f>'Single Audit Cover'!E7</f>
        <v>50-082-1960-26</v>
      </c>
      <c r="C2" s="2466"/>
      <c r="D2" s="2466"/>
      <c r="E2" s="2466"/>
      <c r="F2" s="2466"/>
      <c r="G2" s="2466"/>
      <c r="H2" s="2466"/>
      <c r="I2" s="2466"/>
      <c r="J2" s="2466"/>
      <c r="K2" s="2466"/>
      <c r="L2" s="2466"/>
      <c r="M2" s="2466"/>
      <c r="N2" s="1302"/>
    </row>
    <row r="3" spans="2:14" ht="15" x14ac:dyDescent="0.2">
      <c r="B3" s="2478" t="s">
        <v>1281</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2215</v>
      </c>
      <c r="C11" s="1338"/>
      <c r="D11" s="1339"/>
      <c r="E11" s="1340"/>
      <c r="F11" s="1340"/>
      <c r="G11" s="1340"/>
      <c r="H11" s="1340"/>
      <c r="I11" s="1340"/>
      <c r="J11" s="1340"/>
      <c r="K11" s="1340"/>
      <c r="L11" s="1340" t="s">
        <v>1231</v>
      </c>
      <c r="M11" s="1340"/>
    </row>
    <row r="12" spans="2:14" ht="20.100000000000001" customHeight="1" x14ac:dyDescent="0.2">
      <c r="B12" s="1337" t="s">
        <v>2094</v>
      </c>
      <c r="C12" s="1341">
        <v>10.555</v>
      </c>
      <c r="D12" s="1342" t="s">
        <v>2098</v>
      </c>
      <c r="E12" s="1343"/>
      <c r="F12" s="1343">
        <v>189153</v>
      </c>
      <c r="G12" s="1343"/>
      <c r="H12" s="1343"/>
      <c r="I12" s="1343">
        <v>189153</v>
      </c>
      <c r="J12" s="1343"/>
      <c r="K12" s="1343"/>
      <c r="L12" s="1340">
        <f t="shared" ref="L12:L25" si="0">+G12+I12+K12</f>
        <v>189153</v>
      </c>
      <c r="M12" s="1343" t="s">
        <v>2121</v>
      </c>
    </row>
    <row r="13" spans="2:14" ht="20.100000000000001" customHeight="1" x14ac:dyDescent="0.2">
      <c r="B13" s="1337" t="s">
        <v>2095</v>
      </c>
      <c r="C13" s="1341">
        <v>10.555</v>
      </c>
      <c r="D13" s="1342" t="s">
        <v>2099</v>
      </c>
      <c r="E13" s="1343">
        <v>211109</v>
      </c>
      <c r="F13" s="1343">
        <v>49654</v>
      </c>
      <c r="G13" s="1343">
        <v>211109</v>
      </c>
      <c r="H13" s="1343"/>
      <c r="I13" s="1343">
        <v>49654</v>
      </c>
      <c r="J13" s="1343"/>
      <c r="K13" s="1343"/>
      <c r="L13" s="1340">
        <f t="shared" si="0"/>
        <v>260763</v>
      </c>
      <c r="M13" s="1343" t="s">
        <v>2121</v>
      </c>
    </row>
    <row r="14" spans="2:14" ht="20.100000000000001" customHeight="1" x14ac:dyDescent="0.2">
      <c r="B14" s="1337" t="s">
        <v>2096</v>
      </c>
      <c r="C14" s="1341">
        <v>10.553000000000001</v>
      </c>
      <c r="D14" s="1342" t="s">
        <v>2100</v>
      </c>
      <c r="E14" s="1343"/>
      <c r="F14" s="1343">
        <v>51131</v>
      </c>
      <c r="G14" s="1343"/>
      <c r="H14" s="1343"/>
      <c r="I14" s="1343">
        <v>51131</v>
      </c>
      <c r="J14" s="1343"/>
      <c r="K14" s="1343"/>
      <c r="L14" s="1340">
        <f t="shared" si="0"/>
        <v>51131</v>
      </c>
      <c r="M14" s="1343" t="s">
        <v>2121</v>
      </c>
    </row>
    <row r="15" spans="2:14" ht="20.100000000000001" customHeight="1" x14ac:dyDescent="0.2">
      <c r="B15" s="1337" t="s">
        <v>2097</v>
      </c>
      <c r="C15" s="1341">
        <v>10.553000000000001</v>
      </c>
      <c r="D15" s="1342" t="s">
        <v>2101</v>
      </c>
      <c r="E15" s="1343">
        <v>59368</v>
      </c>
      <c r="F15" s="1343">
        <v>13737</v>
      </c>
      <c r="G15" s="1343">
        <v>59368</v>
      </c>
      <c r="H15" s="1343"/>
      <c r="I15" s="1343">
        <v>13737</v>
      </c>
      <c r="J15" s="1343"/>
      <c r="K15" s="1343"/>
      <c r="L15" s="1340">
        <f t="shared" si="0"/>
        <v>73105</v>
      </c>
      <c r="M15" s="1343" t="s">
        <v>2121</v>
      </c>
    </row>
    <row r="16" spans="2:14" ht="20.100000000000001" customHeight="1" x14ac:dyDescent="0.2">
      <c r="B16" s="1337" t="s">
        <v>2216</v>
      </c>
      <c r="C16" s="1341"/>
      <c r="D16" s="1342"/>
      <c r="E16" s="1343">
        <f>+E12+E13+E14+E15</f>
        <v>270477</v>
      </c>
      <c r="F16" s="1343">
        <f>+F12+F13+F14+F15</f>
        <v>303675</v>
      </c>
      <c r="G16" s="1343">
        <f>+G12+G13+G14+G15</f>
        <v>270477</v>
      </c>
      <c r="H16" s="1343"/>
      <c r="I16" s="1343">
        <f>+I12+I13+I15+I14</f>
        <v>303675</v>
      </c>
      <c r="J16" s="1343"/>
      <c r="K16" s="1343"/>
      <c r="L16" s="1340">
        <f t="shared" si="0"/>
        <v>574152</v>
      </c>
      <c r="M16" s="1343" t="s">
        <v>2121</v>
      </c>
    </row>
    <row r="17" spans="2:14" ht="20.100000000000001" customHeight="1" x14ac:dyDescent="0.2">
      <c r="B17" s="1337"/>
      <c r="C17" s="1341"/>
      <c r="D17" s="1342"/>
      <c r="E17" s="1343"/>
      <c r="F17" s="1343"/>
      <c r="G17" s="1343"/>
      <c r="H17" s="1343"/>
      <c r="I17" s="1343"/>
      <c r="J17" s="1343"/>
      <c r="K17" s="1343"/>
      <c r="L17" s="1340" t="s">
        <v>1231</v>
      </c>
      <c r="M17" s="1343" t="s">
        <v>1231</v>
      </c>
    </row>
    <row r="18" spans="2:14" ht="31.15" customHeight="1" x14ac:dyDescent="0.2">
      <c r="B18" s="1337" t="s">
        <v>2232</v>
      </c>
      <c r="C18" s="1341"/>
      <c r="D18" s="1342"/>
      <c r="E18" s="1343"/>
      <c r="F18" s="1343"/>
      <c r="G18" s="1343"/>
      <c r="H18" s="1343"/>
      <c r="I18" s="1343"/>
      <c r="J18" s="1343"/>
      <c r="K18" s="1343"/>
      <c r="L18" s="1340" t="s">
        <v>1231</v>
      </c>
      <c r="M18" s="1343"/>
    </row>
    <row r="19" spans="2:14" ht="20.100000000000001" customHeight="1" x14ac:dyDescent="0.2">
      <c r="B19" s="1337" t="s">
        <v>2102</v>
      </c>
      <c r="C19" s="1341">
        <v>93.778000000000006</v>
      </c>
      <c r="D19" s="1342" t="s">
        <v>2104</v>
      </c>
      <c r="E19" s="1343">
        <v>0</v>
      </c>
      <c r="F19" s="1343">
        <v>28643</v>
      </c>
      <c r="G19" s="1343"/>
      <c r="H19" s="1343"/>
      <c r="I19" s="1343">
        <v>28643</v>
      </c>
      <c r="J19" s="1343"/>
      <c r="K19" s="1343"/>
      <c r="L19" s="1340">
        <f t="shared" si="0"/>
        <v>28643</v>
      </c>
      <c r="M19" s="1343" t="s">
        <v>2121</v>
      </c>
    </row>
    <row r="20" spans="2:14" ht="20.100000000000001" customHeight="1" x14ac:dyDescent="0.2">
      <c r="B20" s="1337" t="s">
        <v>2103</v>
      </c>
      <c r="C20" s="1341">
        <v>93.778000000000006</v>
      </c>
      <c r="D20" s="1342" t="s">
        <v>2105</v>
      </c>
      <c r="E20" s="1343">
        <v>20288</v>
      </c>
      <c r="F20" s="1343">
        <v>7073</v>
      </c>
      <c r="G20" s="1343">
        <v>27361</v>
      </c>
      <c r="H20" s="1343"/>
      <c r="I20" s="1343">
        <v>0</v>
      </c>
      <c r="J20" s="1343"/>
      <c r="K20" s="1343"/>
      <c r="L20" s="1340">
        <f t="shared" si="0"/>
        <v>27361</v>
      </c>
      <c r="M20" s="1343" t="s">
        <v>2121</v>
      </c>
    </row>
    <row r="21" spans="2:14" ht="31.9" customHeight="1" x14ac:dyDescent="0.2">
      <c r="B21" s="1337" t="s">
        <v>2233</v>
      </c>
      <c r="C21" s="1341"/>
      <c r="D21" s="1342"/>
      <c r="E21" s="1343">
        <f>+E19+E20</f>
        <v>20288</v>
      </c>
      <c r="F21" s="1343">
        <f>+F19+F20</f>
        <v>35716</v>
      </c>
      <c r="G21" s="1343">
        <f>+G19+G20</f>
        <v>27361</v>
      </c>
      <c r="H21" s="1343"/>
      <c r="I21" s="1343">
        <f>+I19+I20</f>
        <v>28643</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2217</v>
      </c>
      <c r="C23" s="1341"/>
      <c r="D23" s="1342"/>
      <c r="E23" s="1343"/>
      <c r="F23" s="1343"/>
      <c r="G23" s="1343"/>
      <c r="H23" s="1343"/>
      <c r="I23" s="1343"/>
      <c r="J23" s="1343"/>
      <c r="K23" s="1343"/>
      <c r="L23" s="1340"/>
      <c r="M23" s="1343"/>
    </row>
    <row r="24" spans="2:14" ht="20.100000000000001" customHeight="1" x14ac:dyDescent="0.2">
      <c r="B24" s="1337" t="s">
        <v>2137</v>
      </c>
      <c r="C24" s="1341">
        <v>84.01</v>
      </c>
      <c r="D24" s="1342" t="s">
        <v>2106</v>
      </c>
      <c r="E24" s="1343"/>
      <c r="F24" s="1343">
        <v>263402</v>
      </c>
      <c r="G24" s="1343"/>
      <c r="H24" s="1343"/>
      <c r="I24" s="1343">
        <v>330862</v>
      </c>
      <c r="J24" s="1343"/>
      <c r="K24" s="1343"/>
      <c r="L24" s="1340">
        <f t="shared" si="0"/>
        <v>330862</v>
      </c>
      <c r="M24" s="1343">
        <v>374673</v>
      </c>
    </row>
    <row r="25" spans="2:14" ht="20.100000000000001" customHeight="1" x14ac:dyDescent="0.2">
      <c r="B25" s="1337" t="s">
        <v>2138</v>
      </c>
      <c r="C25" s="1341">
        <v>84.01</v>
      </c>
      <c r="D25" s="1342" t="s">
        <v>2107</v>
      </c>
      <c r="E25" s="1343">
        <v>243814</v>
      </c>
      <c r="F25" s="1343">
        <v>146063</v>
      </c>
      <c r="G25" s="1343">
        <v>357949</v>
      </c>
      <c r="H25" s="1343"/>
      <c r="I25" s="1343">
        <v>31928</v>
      </c>
      <c r="J25" s="1343"/>
      <c r="K25" s="1343"/>
      <c r="L25" s="1340">
        <f t="shared" si="0"/>
        <v>389877</v>
      </c>
      <c r="M25" s="1343">
        <v>406979</v>
      </c>
    </row>
    <row r="26" spans="2:14" ht="20.100000000000001" customHeight="1" x14ac:dyDescent="0.2">
      <c r="B26" s="1337" t="s">
        <v>2108</v>
      </c>
      <c r="C26" s="1341"/>
      <c r="D26" s="1342"/>
      <c r="E26" s="1343">
        <f>+E24+E25</f>
        <v>243814</v>
      </c>
      <c r="F26" s="1343">
        <f>+F24+F25</f>
        <v>409465</v>
      </c>
      <c r="G26" s="1343">
        <f>+G24+G25</f>
        <v>357949</v>
      </c>
      <c r="H26" s="1343"/>
      <c r="I26" s="1343">
        <f>+I24+I25</f>
        <v>362790</v>
      </c>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ht="8.4499999999999993" customHeight="1"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1230</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9" t="s">
        <v>1731</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9" t="s">
        <v>331</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1390</v>
      </c>
      <c r="B70" s="2102"/>
      <c r="C70" s="2102"/>
      <c r="D70" s="2102"/>
      <c r="E70" s="2103"/>
      <c r="F70" s="2103"/>
      <c r="G70" s="2103"/>
      <c r="H70" s="2103"/>
      <c r="I70" s="210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1387</v>
      </c>
      <c r="B83" s="2104"/>
      <c r="C83" s="2104"/>
      <c r="D83" s="210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2085</v>
      </c>
      <c r="D114" s="209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1397</v>
      </c>
      <c r="D117" s="2097"/>
      <c r="E117" s="2098"/>
      <c r="F117" s="2098"/>
      <c r="G117" s="2098"/>
      <c r="H117" s="209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30" sqref="C3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1" t="str">
        <f>'Single Audit Cover'!A7</f>
        <v>Dupo Community Unit School District No. 196</v>
      </c>
      <c r="C1" s="2477"/>
      <c r="D1" s="2477"/>
      <c r="E1" s="2477"/>
      <c r="F1" s="2477"/>
      <c r="G1" s="2477"/>
      <c r="H1" s="2477"/>
      <c r="I1" s="2477"/>
      <c r="J1" s="2477"/>
      <c r="K1" s="2477"/>
      <c r="L1" s="2477"/>
      <c r="M1" s="2477"/>
    </row>
    <row r="2" spans="2:14" ht="15" x14ac:dyDescent="0.2">
      <c r="B2" s="2466" t="str">
        <f>'Single Audit Cover'!E7</f>
        <v>50-082-1960-26</v>
      </c>
      <c r="C2" s="2466"/>
      <c r="D2" s="2466"/>
      <c r="E2" s="2466"/>
      <c r="F2" s="2466"/>
      <c r="G2" s="2466"/>
      <c r="H2" s="2466"/>
      <c r="I2" s="2466"/>
      <c r="J2" s="2466"/>
      <c r="K2" s="2466"/>
      <c r="L2" s="2466"/>
      <c r="M2" s="2466"/>
      <c r="N2" s="1302"/>
    </row>
    <row r="3" spans="2:14" ht="15" x14ac:dyDescent="0.2">
      <c r="B3" s="2478" t="s">
        <v>1281</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2220</v>
      </c>
      <c r="C11" s="1338"/>
      <c r="D11" s="1339"/>
      <c r="E11" s="1340"/>
      <c r="F11" s="1340"/>
      <c r="G11" s="1340"/>
      <c r="H11" s="1340"/>
      <c r="I11" s="1340"/>
      <c r="J11" s="1340"/>
      <c r="K11" s="1340"/>
      <c r="L11" s="1340" t="s">
        <v>1231</v>
      </c>
      <c r="M11" s="1340"/>
    </row>
    <row r="12" spans="2:14" ht="20.100000000000001" customHeight="1" x14ac:dyDescent="0.2">
      <c r="B12" s="1337" t="s">
        <v>2109</v>
      </c>
      <c r="C12" s="1341">
        <v>84.173000000000002</v>
      </c>
      <c r="D12" s="1342" t="s">
        <v>2111</v>
      </c>
      <c r="E12" s="1343"/>
      <c r="F12" s="1343">
        <v>10084</v>
      </c>
      <c r="G12" s="1343"/>
      <c r="H12" s="1343"/>
      <c r="I12" s="1343">
        <v>14406</v>
      </c>
      <c r="J12" s="1343"/>
      <c r="K12" s="1343"/>
      <c r="L12" s="1340">
        <f t="shared" ref="L12:L26" si="0">+G12+I12+K12</f>
        <v>14406</v>
      </c>
      <c r="M12" s="1343">
        <v>16000</v>
      </c>
    </row>
    <row r="13" spans="2:14" ht="20.100000000000001" customHeight="1" x14ac:dyDescent="0.2">
      <c r="B13" s="1337" t="s">
        <v>2110</v>
      </c>
      <c r="C13" s="1341">
        <v>84.173000000000002</v>
      </c>
      <c r="D13" s="1342" t="s">
        <v>2112</v>
      </c>
      <c r="E13" s="1343">
        <v>10500</v>
      </c>
      <c r="F13" s="1343">
        <v>3785</v>
      </c>
      <c r="G13" s="1343">
        <v>14285</v>
      </c>
      <c r="H13" s="1343"/>
      <c r="I13" s="1343">
        <v>0</v>
      </c>
      <c r="J13" s="1343"/>
      <c r="K13" s="1343"/>
      <c r="L13" s="1340">
        <f t="shared" si="0"/>
        <v>14285</v>
      </c>
      <c r="M13" s="1343">
        <v>15811</v>
      </c>
    </row>
    <row r="14" spans="2:14" ht="20.100000000000001" customHeight="1" x14ac:dyDescent="0.2">
      <c r="B14" s="1337" t="s">
        <v>2221</v>
      </c>
      <c r="C14" s="1341">
        <v>84.027000000000001</v>
      </c>
      <c r="D14" s="1342" t="s">
        <v>2113</v>
      </c>
      <c r="E14" s="1343"/>
      <c r="F14" s="1343">
        <v>185141</v>
      </c>
      <c r="G14" s="1343"/>
      <c r="H14" s="1343"/>
      <c r="I14" s="1343">
        <v>247146</v>
      </c>
      <c r="J14" s="1343"/>
      <c r="K14" s="1343"/>
      <c r="L14" s="1340">
        <f t="shared" si="0"/>
        <v>247146</v>
      </c>
      <c r="M14" s="1343">
        <v>284315</v>
      </c>
    </row>
    <row r="15" spans="2:14" ht="20.100000000000001" customHeight="1" x14ac:dyDescent="0.2">
      <c r="B15" s="1337" t="s">
        <v>2222</v>
      </c>
      <c r="C15" s="1341">
        <v>84.027000000000001</v>
      </c>
      <c r="D15" s="1342" t="s">
        <v>2114</v>
      </c>
      <c r="E15" s="1343">
        <v>218712</v>
      </c>
      <c r="F15" s="1343">
        <v>56293</v>
      </c>
      <c r="G15" s="1343">
        <v>275005</v>
      </c>
      <c r="H15" s="1343"/>
      <c r="I15" s="1343">
        <v>0</v>
      </c>
      <c r="J15" s="1343"/>
      <c r="K15" s="1343"/>
      <c r="L15" s="1340">
        <f t="shared" si="0"/>
        <v>275005</v>
      </c>
      <c r="M15" s="1343">
        <v>288387</v>
      </c>
    </row>
    <row r="16" spans="2:14" ht="20.100000000000001" customHeight="1" x14ac:dyDescent="0.2">
      <c r="B16" s="1337" t="s">
        <v>2115</v>
      </c>
      <c r="C16" s="1341">
        <v>84.027000000000001</v>
      </c>
      <c r="D16" s="1342" t="s">
        <v>2116</v>
      </c>
      <c r="E16" s="1343"/>
      <c r="F16" s="1343">
        <v>6257</v>
      </c>
      <c r="G16" s="1343">
        <v>6257</v>
      </c>
      <c r="H16" s="1343"/>
      <c r="I16" s="1343">
        <v>0</v>
      </c>
      <c r="J16" s="1343"/>
      <c r="K16" s="1343"/>
      <c r="L16" s="1340">
        <f>+G16</f>
        <v>6257</v>
      </c>
      <c r="M16" s="1343" t="s">
        <v>2121</v>
      </c>
    </row>
    <row r="17" spans="2:14" ht="20.100000000000001" customHeight="1" x14ac:dyDescent="0.2">
      <c r="B17" s="1337" t="s">
        <v>2128</v>
      </c>
      <c r="C17" s="1341"/>
      <c r="D17" s="1342"/>
      <c r="E17" s="1343">
        <f>+E12+E13+E14+E15+E16</f>
        <v>229212</v>
      </c>
      <c r="F17" s="1343">
        <f>+F12+F13+F14+F15+F16</f>
        <v>261560</v>
      </c>
      <c r="G17" s="1343">
        <f>+G12+G13+G14+G15+G16</f>
        <v>295547</v>
      </c>
      <c r="H17" s="1343"/>
      <c r="I17" s="1343">
        <f>+I12+I13+I15+I14+I16</f>
        <v>261552</v>
      </c>
      <c r="J17" s="1343"/>
      <c r="K17" s="1343"/>
      <c r="L17" s="1340"/>
      <c r="M17" s="1343"/>
    </row>
    <row r="18" spans="2:14" ht="16.899999999999999" customHeight="1" x14ac:dyDescent="0.2">
      <c r="B18" s="1337"/>
      <c r="C18" s="1341"/>
      <c r="D18" s="1342"/>
      <c r="E18" s="1343"/>
      <c r="F18" s="1343"/>
      <c r="G18" s="1343"/>
      <c r="H18" s="1343"/>
      <c r="I18" s="1343"/>
      <c r="J18" s="1343"/>
      <c r="K18" s="1343"/>
      <c r="L18" s="1340"/>
      <c r="M18" s="1343"/>
    </row>
    <row r="19" spans="2:14" ht="20.100000000000001" customHeight="1" x14ac:dyDescent="0.2">
      <c r="B19" s="1337" t="s">
        <v>2117</v>
      </c>
      <c r="C19" s="1341">
        <v>84.367000000000004</v>
      </c>
      <c r="D19" s="1342" t="s">
        <v>2119</v>
      </c>
      <c r="E19" s="1343">
        <v>0</v>
      </c>
      <c r="F19" s="1343">
        <v>16351</v>
      </c>
      <c r="G19" s="1343"/>
      <c r="H19" s="1343"/>
      <c r="I19" s="1343">
        <v>20318</v>
      </c>
      <c r="J19" s="1343"/>
      <c r="K19" s="1343"/>
      <c r="L19" s="1340">
        <f t="shared" si="0"/>
        <v>20318</v>
      </c>
      <c r="M19" s="1343">
        <v>29701</v>
      </c>
    </row>
    <row r="20" spans="2:14" ht="20.100000000000001" customHeight="1" x14ac:dyDescent="0.2">
      <c r="B20" s="1337" t="s">
        <v>2118</v>
      </c>
      <c r="C20" s="1341">
        <v>84.367000000000004</v>
      </c>
      <c r="D20" s="1342" t="s">
        <v>2120</v>
      </c>
      <c r="E20" s="1343">
        <v>19106</v>
      </c>
      <c r="F20" s="1343">
        <v>3013</v>
      </c>
      <c r="G20" s="1343">
        <v>21765</v>
      </c>
      <c r="H20" s="1343"/>
      <c r="I20" s="1343">
        <v>354</v>
      </c>
      <c r="J20" s="1343"/>
      <c r="K20" s="1343"/>
      <c r="L20" s="1340">
        <f t="shared" si="0"/>
        <v>22119</v>
      </c>
      <c r="M20" s="1343">
        <v>28086</v>
      </c>
    </row>
    <row r="21" spans="2:14" ht="31.9" customHeight="1" x14ac:dyDescent="0.2">
      <c r="B21" s="1337" t="s">
        <v>2129</v>
      </c>
      <c r="C21" s="1341"/>
      <c r="D21" s="1342"/>
      <c r="E21" s="1343">
        <f>+E19+E20</f>
        <v>19106</v>
      </c>
      <c r="F21" s="1343">
        <f>+F19+F20</f>
        <v>19364</v>
      </c>
      <c r="G21" s="1343">
        <f>+G19+G20</f>
        <v>21765</v>
      </c>
      <c r="H21" s="1343"/>
      <c r="I21" s="1343">
        <f>+I19+I20</f>
        <v>20672</v>
      </c>
      <c r="J21" s="1343"/>
      <c r="K21" s="1343"/>
      <c r="L21" s="1340">
        <f t="shared" si="0"/>
        <v>42437</v>
      </c>
      <c r="M21" s="1343"/>
    </row>
    <row r="22" spans="2:14" ht="20.100000000000001" customHeight="1" x14ac:dyDescent="0.2">
      <c r="B22" s="1337"/>
      <c r="C22" s="1341"/>
      <c r="D22" s="1342"/>
      <c r="E22" s="1343"/>
      <c r="F22" s="1343"/>
      <c r="G22" s="1343"/>
      <c r="H22" s="1343"/>
      <c r="I22" s="1343"/>
      <c r="J22" s="1343"/>
      <c r="K22" s="1343"/>
      <c r="L22" s="1340" t="s">
        <v>1231</v>
      </c>
      <c r="M22" s="1343"/>
    </row>
    <row r="23" spans="2:14" ht="20.100000000000001" customHeight="1" x14ac:dyDescent="0.2">
      <c r="B23" s="1337" t="s">
        <v>2223</v>
      </c>
      <c r="C23" s="1341"/>
      <c r="D23" s="1342"/>
      <c r="E23" s="1343">
        <f>+' SEFA (2)'!E26+' SEFA (3)'!E17+' SEFA (3)'!E21</f>
        <v>492132</v>
      </c>
      <c r="F23" s="1343">
        <f>+' SEFA (2)'!F26+' SEFA (3)'!F17+' SEFA (3)'!F21</f>
        <v>690389</v>
      </c>
      <c r="G23" s="1343">
        <f>+' SEFA (2)'!G26+' SEFA (3)'!G17+' SEFA (3)'!G21</f>
        <v>675261</v>
      </c>
      <c r="H23" s="1343"/>
      <c r="I23" s="1343">
        <f>+' SEFA (2)'!I26+' SEFA (3)'!I17+' SEFA (3)'!I21</f>
        <v>645014</v>
      </c>
      <c r="J23" s="1343"/>
      <c r="K23" s="1343"/>
      <c r="L23" s="1340">
        <f t="shared" si="0"/>
        <v>1320275</v>
      </c>
      <c r="M23" s="1343"/>
    </row>
    <row r="24" spans="2:14" ht="20.100000000000001" customHeight="1" x14ac:dyDescent="0.2">
      <c r="B24" s="1337"/>
      <c r="C24" s="1341"/>
      <c r="D24" s="1342"/>
      <c r="E24" s="1343"/>
      <c r="F24" s="1343"/>
      <c r="G24" s="1343"/>
      <c r="H24" s="1343"/>
      <c r="I24" s="1343"/>
      <c r="J24" s="1343"/>
      <c r="K24" s="1343"/>
      <c r="L24" s="1340" t="s">
        <v>1231</v>
      </c>
      <c r="M24" s="1343"/>
    </row>
    <row r="25" spans="2:14" ht="20.100000000000001" customHeight="1" x14ac:dyDescent="0.2">
      <c r="B25" s="1337" t="s">
        <v>2224</v>
      </c>
      <c r="C25" s="1341"/>
      <c r="D25" s="1342"/>
      <c r="E25" s="1343"/>
      <c r="F25" s="1343"/>
      <c r="G25" s="1343"/>
      <c r="H25" s="1343"/>
      <c r="I25" s="1343"/>
      <c r="J25" s="1343"/>
      <c r="K25" s="1343"/>
      <c r="L25" s="1340" t="s">
        <v>1231</v>
      </c>
      <c r="M25" s="1343"/>
    </row>
    <row r="26" spans="2:14" ht="20.100000000000001" customHeight="1" x14ac:dyDescent="0.2">
      <c r="B26" s="1337" t="s">
        <v>2130</v>
      </c>
      <c r="C26" s="1341">
        <v>84.366</v>
      </c>
      <c r="D26" s="1342" t="s">
        <v>2131</v>
      </c>
      <c r="E26" s="1343"/>
      <c r="F26" s="1343">
        <v>1500</v>
      </c>
      <c r="G26" s="1343"/>
      <c r="H26" s="1343"/>
      <c r="I26" s="1343">
        <v>1500</v>
      </c>
      <c r="J26" s="1343"/>
      <c r="K26" s="1343"/>
      <c r="L26" s="1340">
        <f t="shared" si="0"/>
        <v>1500</v>
      </c>
      <c r="M26" s="1343" t="s">
        <v>2121</v>
      </c>
    </row>
    <row r="27" spans="2:14" ht="20.100000000000001" customHeight="1" x14ac:dyDescent="0.2">
      <c r="B27" s="1337"/>
      <c r="C27" s="1341"/>
      <c r="D27" s="1342"/>
      <c r="E27" s="1343"/>
      <c r="F27" s="1343"/>
      <c r="G27" s="1343"/>
      <c r="H27" s="1343"/>
      <c r="I27" s="1343"/>
      <c r="J27" s="1343"/>
      <c r="K27" s="1343"/>
      <c r="L27" s="1340" t="s">
        <v>1231</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43" right="0" top="0.5" bottom="0.5" header="0.25" footer="0.25"/>
  <pageSetup scale="80"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30" sqref="C3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1" t="str">
        <f>'Single Audit Cover'!A7</f>
        <v>Dupo Community Unit School District No. 196</v>
      </c>
      <c r="C1" s="2477"/>
      <c r="D1" s="2477"/>
      <c r="E1" s="2477"/>
      <c r="F1" s="2477"/>
      <c r="G1" s="2477"/>
      <c r="H1" s="2477"/>
      <c r="I1" s="2477"/>
      <c r="J1" s="2477"/>
      <c r="K1" s="2477"/>
      <c r="L1" s="2477"/>
      <c r="M1" s="2477"/>
    </row>
    <row r="2" spans="2:14" ht="15" x14ac:dyDescent="0.2">
      <c r="B2" s="2466" t="str">
        <f>'Single Audit Cover'!E7</f>
        <v>50-082-1960-26</v>
      </c>
      <c r="C2" s="2466"/>
      <c r="D2" s="2466"/>
      <c r="E2" s="2466"/>
      <c r="F2" s="2466"/>
      <c r="G2" s="2466"/>
      <c r="H2" s="2466"/>
      <c r="I2" s="2466"/>
      <c r="J2" s="2466"/>
      <c r="K2" s="2466"/>
      <c r="L2" s="2466"/>
      <c r="M2" s="2466"/>
      <c r="N2" s="1302"/>
    </row>
    <row r="3" spans="2:14" ht="15" x14ac:dyDescent="0.2">
      <c r="B3" s="2478" t="s">
        <v>1281</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2234</v>
      </c>
      <c r="C11" s="1338"/>
      <c r="D11" s="1339"/>
      <c r="E11" s="1340"/>
      <c r="F11" s="1340"/>
      <c r="G11" s="1340"/>
      <c r="H11" s="1340"/>
      <c r="I11" s="1340"/>
      <c r="J11" s="1340"/>
      <c r="K11" s="1340"/>
      <c r="L11" s="1340" t="s">
        <v>1231</v>
      </c>
      <c r="M11" s="1340"/>
    </row>
    <row r="12" spans="2:14" ht="20.100000000000001" customHeight="1" x14ac:dyDescent="0.2">
      <c r="B12" s="1337" t="s">
        <v>2130</v>
      </c>
      <c r="C12" s="1341">
        <v>84.366</v>
      </c>
      <c r="D12" s="1342" t="s">
        <v>2131</v>
      </c>
      <c r="E12" s="1343"/>
      <c r="F12" s="1343">
        <v>1500</v>
      </c>
      <c r="G12" s="1343"/>
      <c r="H12" s="1343"/>
      <c r="I12" s="1343">
        <v>1500</v>
      </c>
      <c r="J12" s="1343"/>
      <c r="K12" s="1343"/>
      <c r="L12" s="1340">
        <f t="shared" ref="L12:L23" si="0">+G12+I12+K12</f>
        <v>1500</v>
      </c>
      <c r="M12" s="1343" t="s">
        <v>2121</v>
      </c>
    </row>
    <row r="13" spans="2:14" ht="20.100000000000001" customHeight="1" x14ac:dyDescent="0.2">
      <c r="B13" s="1337"/>
      <c r="C13" s="1341"/>
      <c r="D13" s="1342"/>
      <c r="E13" s="1343"/>
      <c r="F13" s="1343"/>
      <c r="G13" s="1343"/>
      <c r="H13" s="1343"/>
      <c r="I13" s="1343"/>
      <c r="J13" s="1343"/>
      <c r="K13" s="1343"/>
      <c r="L13" s="1340" t="s">
        <v>1231</v>
      </c>
      <c r="M13" s="1343"/>
    </row>
    <row r="14" spans="2:14" ht="20.100000000000001" customHeight="1" x14ac:dyDescent="0.2">
      <c r="B14" s="1337" t="s">
        <v>2132</v>
      </c>
      <c r="C14" s="1341"/>
      <c r="D14" s="1342"/>
      <c r="E14" s="1343"/>
      <c r="F14" s="1343">
        <f>+' SEFA (2)'!F16+' SEFA (2)'!F21+' SEFA (3)'!F23+' SEFA (3)'!F26+' SEFA'!F12</f>
        <v>1032780</v>
      </c>
      <c r="G14" s="1343"/>
      <c r="H14" s="1343"/>
      <c r="I14" s="1343">
        <f>+' SEFA (2)'!I16+' SEFA (2)'!I21+' SEFA (3)'!I23+' SEFA (3)'!I26+' SEFA'!I12</f>
        <v>980332</v>
      </c>
      <c r="J14" s="1343"/>
      <c r="K14" s="1343"/>
      <c r="L14" s="1340">
        <f t="shared" si="0"/>
        <v>980332</v>
      </c>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2133</v>
      </c>
      <c r="C16" s="1341"/>
      <c r="D16" s="1342"/>
      <c r="E16" s="1343"/>
      <c r="F16" s="1343"/>
      <c r="G16" s="1343"/>
      <c r="H16" s="1343"/>
      <c r="I16" s="1343" t="s">
        <v>1231</v>
      </c>
      <c r="J16" s="1343"/>
      <c r="K16" s="1343"/>
      <c r="L16" s="1340"/>
      <c r="M16" s="1343"/>
    </row>
    <row r="17" spans="2:14" ht="20.100000000000001" customHeight="1" x14ac:dyDescent="0.2">
      <c r="B17" s="1337" t="s">
        <v>2134</v>
      </c>
      <c r="C17" s="1341">
        <v>10.555</v>
      </c>
      <c r="D17" s="1342"/>
      <c r="E17" s="1343"/>
      <c r="F17" s="1343">
        <v>40731</v>
      </c>
      <c r="G17" s="1343"/>
      <c r="H17" s="1343"/>
      <c r="I17" s="1343">
        <v>40731</v>
      </c>
      <c r="J17" s="1343"/>
      <c r="K17" s="1343"/>
      <c r="L17" s="1340">
        <f t="shared" si="0"/>
        <v>40731</v>
      </c>
      <c r="M17" s="1343"/>
    </row>
    <row r="18" spans="2:14" ht="31.15" customHeight="1" x14ac:dyDescent="0.2">
      <c r="B18" s="1337"/>
      <c r="C18" s="1341"/>
      <c r="D18" s="1342"/>
      <c r="E18" s="1343"/>
      <c r="F18" s="1343"/>
      <c r="G18" s="1343"/>
      <c r="H18" s="1343"/>
      <c r="I18" s="1343"/>
      <c r="J18" s="1343"/>
      <c r="K18" s="1343"/>
      <c r="L18" s="1340"/>
      <c r="M18" s="1343"/>
    </row>
    <row r="19" spans="2:14" ht="20.100000000000001" customHeight="1" x14ac:dyDescent="0.2">
      <c r="B19" s="1337" t="s">
        <v>2135</v>
      </c>
      <c r="C19" s="1341"/>
      <c r="D19" s="1342"/>
      <c r="E19" s="1343" t="s">
        <v>1231</v>
      </c>
      <c r="F19" s="1343">
        <f>+F14+F17</f>
        <v>1073511</v>
      </c>
      <c r="G19" s="1343"/>
      <c r="H19" s="1343"/>
      <c r="I19" s="1343">
        <f>+I14+I17</f>
        <v>1021063</v>
      </c>
      <c r="J19" s="1343"/>
      <c r="K19" s="1343"/>
      <c r="L19" s="1340">
        <f t="shared" si="0"/>
        <v>1021063</v>
      </c>
      <c r="M19" s="1343"/>
    </row>
    <row r="20" spans="2:14" ht="20.100000000000001" customHeight="1" x14ac:dyDescent="0.2">
      <c r="B20" s="1337"/>
      <c r="C20" s="1341"/>
      <c r="D20" s="1342"/>
      <c r="E20" s="1343"/>
      <c r="F20" s="1343"/>
      <c r="G20" s="1343"/>
      <c r="H20" s="1343"/>
      <c r="I20" s="1343"/>
      <c r="J20" s="1343"/>
      <c r="K20" s="1343"/>
      <c r="L20" s="1340"/>
      <c r="M20" s="1343"/>
    </row>
    <row r="21" spans="2:14" ht="31.9" customHeight="1" x14ac:dyDescent="0.2">
      <c r="B21" s="1337"/>
      <c r="C21" s="1341"/>
      <c r="D21" s="1342"/>
      <c r="E21" s="1343" t="s">
        <v>1231</v>
      </c>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2136</v>
      </c>
      <c r="C23" s="1341"/>
      <c r="D23" s="1342"/>
      <c r="E23" s="1343"/>
      <c r="F23" s="1343">
        <f>+' SEFA (2)'!F16+' SEFA'!F17</f>
        <v>344406</v>
      </c>
      <c r="G23" s="1343"/>
      <c r="H23" s="1343"/>
      <c r="I23" s="1343">
        <f>+' SEFA (2)'!I16+' SEFA'!I17</f>
        <v>344406</v>
      </c>
      <c r="J23" s="1343"/>
      <c r="K23" s="1343"/>
      <c r="L23" s="1340">
        <f t="shared" si="0"/>
        <v>344406</v>
      </c>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ht="7.15" customHeight="1"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43" right="0" top="0.5" bottom="0.5" header="0.25"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C30" sqref="C3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Dupo Community Unit School District No. 196</v>
      </c>
      <c r="C1" s="2485"/>
      <c r="D1" s="2485"/>
      <c r="E1" s="2485"/>
      <c r="F1" s="2485"/>
      <c r="G1" s="2485"/>
      <c r="H1" s="2485"/>
      <c r="I1" s="2485"/>
      <c r="J1" s="1422"/>
    </row>
    <row r="2" spans="2:10" s="317" customFormat="1" ht="12.75" customHeight="1" x14ac:dyDescent="0.2">
      <c r="B2" s="2486" t="str">
        <f>'Single Audit Cover'!E7</f>
        <v>50-082-1960-26</v>
      </c>
      <c r="C2" s="2487"/>
      <c r="D2" s="2487"/>
      <c r="E2" s="2487"/>
      <c r="F2" s="2487"/>
      <c r="G2" s="2487"/>
      <c r="H2" s="2487"/>
      <c r="I2" s="2487"/>
      <c r="J2" s="1422"/>
    </row>
    <row r="3" spans="2:10" s="317" customFormat="1" ht="12.75" customHeight="1" x14ac:dyDescent="0.2">
      <c r="B3" s="2488" t="s">
        <v>1347</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1346</v>
      </c>
      <c r="C7" s="2489"/>
      <c r="D7" s="2489"/>
      <c r="E7" s="2489"/>
      <c r="F7" s="2489"/>
      <c r="G7" s="2489"/>
      <c r="H7" s="2489"/>
      <c r="I7" s="248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0" t="s">
        <v>2139</v>
      </c>
      <c r="D11" s="249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2084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t="s">
        <v>2084</v>
      </c>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2084</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1" t="s">
        <v>2139</v>
      </c>
      <c r="E29" s="2491"/>
      <c r="F29" s="2491"/>
      <c r="G29" s="2491"/>
      <c r="H29" s="2491"/>
      <c r="I29" s="2491"/>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2075</v>
      </c>
      <c r="F33" s="1300" t="s">
        <v>940</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92" t="s">
        <v>1852</v>
      </c>
      <c r="D37" s="2493"/>
      <c r="E37" s="2493"/>
      <c r="F37" s="2494"/>
      <c r="G37" s="2492" t="s">
        <v>1674</v>
      </c>
      <c r="H37" s="2493"/>
      <c r="I37" s="2494"/>
    </row>
    <row r="38" spans="2:9" ht="16.5" customHeight="1" x14ac:dyDescent="0.2">
      <c r="B38" s="1444" t="s">
        <v>2140</v>
      </c>
      <c r="C38" s="2480" t="s">
        <v>2141</v>
      </c>
      <c r="D38" s="2481"/>
      <c r="E38" s="2481"/>
      <c r="F38" s="2482"/>
      <c r="G38" s="2495">
        <v>303675</v>
      </c>
      <c r="H38" s="2496"/>
      <c r="I38" s="2497"/>
    </row>
    <row r="39" spans="2:9" ht="16.5" customHeight="1" x14ac:dyDescent="0.2">
      <c r="B39" s="1444">
        <v>84.01</v>
      </c>
      <c r="C39" s="2480" t="s">
        <v>974</v>
      </c>
      <c r="D39" s="2481"/>
      <c r="E39" s="2481"/>
      <c r="F39" s="2482"/>
      <c r="G39" s="2483">
        <v>362790</v>
      </c>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98" t="s">
        <v>1675</v>
      </c>
      <c r="D43" s="2499"/>
      <c r="E43" s="2499"/>
      <c r="F43" s="2500"/>
      <c r="G43" s="2501">
        <f>SUM(G38:I42)</f>
        <v>666465</v>
      </c>
      <c r="H43" s="2501"/>
      <c r="I43" s="2501"/>
    </row>
    <row r="44" spans="2:9" ht="12.75" customHeight="1" x14ac:dyDescent="0.2"/>
    <row r="45" spans="2:9" ht="12.75" customHeight="1" x14ac:dyDescent="0.2">
      <c r="B45" s="1435" t="s">
        <v>1949</v>
      </c>
      <c r="D45" s="2502">
        <v>1021063</v>
      </c>
      <c r="E45" s="2503"/>
    </row>
    <row r="46" spans="2:9" ht="5.25" customHeight="1" x14ac:dyDescent="0.2">
      <c r="B46" s="1445"/>
      <c r="D46" s="1446"/>
      <c r="E46" s="1447"/>
    </row>
    <row r="47" spans="2:9" ht="12.75" customHeight="1" x14ac:dyDescent="0.2">
      <c r="B47" s="1300" t="s">
        <v>1676</v>
      </c>
      <c r="C47" s="1300"/>
      <c r="D47" s="1448">
        <f>+G43/D45</f>
        <v>0.6527168255044008</v>
      </c>
      <c r="E47" s="1449"/>
      <c r="F47" s="1450"/>
      <c r="I47" s="1451"/>
    </row>
    <row r="48" spans="2:9" ht="9.9499999999999993" customHeight="1" x14ac:dyDescent="0.2"/>
    <row r="49" spans="1:9" x14ac:dyDescent="0.2">
      <c r="B49" s="1368" t="s">
        <v>1335</v>
      </c>
      <c r="C49" s="1282"/>
      <c r="D49" s="1282"/>
      <c r="E49" s="2504">
        <v>750000</v>
      </c>
      <c r="F49" s="2504"/>
      <c r="G49" s="2504"/>
      <c r="H49" s="322"/>
    </row>
    <row r="51" spans="1:9" ht="13.5" customHeight="1" x14ac:dyDescent="0.2">
      <c r="B51" s="1368" t="s">
        <v>1334</v>
      </c>
      <c r="C51" s="1282"/>
      <c r="E51" s="1438"/>
      <c r="F51" s="1300" t="s">
        <v>940</v>
      </c>
      <c r="G51" s="1438" t="s">
        <v>2084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30" sqref="C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Dupo Community Unit School District No. 196</v>
      </c>
      <c r="C1" s="2484"/>
      <c r="D1" s="2484"/>
      <c r="E1" s="2484"/>
      <c r="F1" s="2484"/>
      <c r="G1" s="2484"/>
      <c r="H1" s="2484"/>
      <c r="I1" s="2484"/>
      <c r="J1" s="2484"/>
      <c r="K1" s="2484"/>
      <c r="L1" s="1374"/>
      <c r="M1" s="1374"/>
    </row>
    <row r="2" spans="1:13" ht="12" customHeight="1" x14ac:dyDescent="0.2">
      <c r="B2" s="2486" t="str">
        <f>'Single Audit Cover'!E7</f>
        <v>50-082-1960-26</v>
      </c>
      <c r="C2" s="2486"/>
      <c r="D2" s="2486"/>
      <c r="E2" s="2486"/>
      <c r="F2" s="2486"/>
      <c r="G2" s="2486"/>
      <c r="H2" s="2486"/>
      <c r="I2" s="2486"/>
      <c r="J2" s="2486"/>
      <c r="K2" s="2486"/>
      <c r="L2" s="1375"/>
      <c r="M2" s="1376"/>
    </row>
    <row r="3" spans="1:13" ht="10.35" customHeight="1" x14ac:dyDescent="0.2">
      <c r="B3" s="2507" t="s">
        <v>1347</v>
      </c>
      <c r="C3" s="2507"/>
      <c r="D3" s="2507"/>
      <c r="E3" s="2507"/>
      <c r="F3" s="2507"/>
      <c r="G3" s="2507"/>
      <c r="H3" s="2507"/>
      <c r="I3" s="2507"/>
      <c r="J3" s="2507"/>
      <c r="K3" s="2507"/>
      <c r="L3" s="1957"/>
      <c r="M3" s="1957"/>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1363</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1</v>
      </c>
      <c r="E10" s="322"/>
      <c r="F10" s="1387" t="s">
        <v>1362</v>
      </c>
      <c r="G10" s="1388"/>
      <c r="H10" s="1389" t="s">
        <v>1361</v>
      </c>
      <c r="I10" s="1388" t="s">
        <v>2084</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6" t="s">
        <v>2145</v>
      </c>
      <c r="C14" s="2506"/>
      <c r="D14" s="2506"/>
      <c r="E14" s="2506"/>
      <c r="F14" s="2506"/>
      <c r="G14" s="2506"/>
      <c r="H14" s="2506"/>
      <c r="I14" s="2506"/>
      <c r="J14" s="2506"/>
      <c r="K14" s="250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6" t="s">
        <v>2146</v>
      </c>
      <c r="C17" s="2506"/>
      <c r="D17" s="2506"/>
      <c r="E17" s="2506"/>
      <c r="F17" s="2506"/>
      <c r="G17" s="2506"/>
      <c r="H17" s="2506"/>
      <c r="I17" s="2506"/>
      <c r="J17" s="2506"/>
      <c r="K17" s="2506"/>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10" t="s">
        <v>2147</v>
      </c>
      <c r="C20" s="2510"/>
      <c r="D20" s="2506"/>
      <c r="E20" s="2506"/>
      <c r="F20" s="2506"/>
      <c r="G20" s="2506"/>
      <c r="H20" s="2506"/>
      <c r="I20" s="2506"/>
      <c r="J20" s="2506"/>
      <c r="K20" s="250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6" t="s">
        <v>2149</v>
      </c>
      <c r="C23" s="2506"/>
      <c r="D23" s="2506"/>
      <c r="E23" s="2506"/>
      <c r="F23" s="2506"/>
      <c r="G23" s="2506"/>
      <c r="H23" s="2506"/>
      <c r="I23" s="2506"/>
      <c r="J23" s="2506"/>
      <c r="K23" s="250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52.9" customHeight="1" x14ac:dyDescent="0.2">
      <c r="B26" s="2506" t="s">
        <v>2148</v>
      </c>
      <c r="C26" s="2506"/>
      <c r="D26" s="2506"/>
      <c r="E26" s="2506"/>
      <c r="F26" s="2506"/>
      <c r="G26" s="2506"/>
      <c r="H26" s="2506"/>
      <c r="I26" s="2506"/>
      <c r="J26" s="2506"/>
      <c r="K26" s="250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2150</v>
      </c>
      <c r="C29" s="2511"/>
      <c r="D29" s="2506"/>
      <c r="E29" s="2506"/>
      <c r="F29" s="2506"/>
      <c r="G29" s="2506"/>
      <c r="H29" s="2506"/>
      <c r="I29" s="2506"/>
      <c r="J29" s="2506"/>
      <c r="K29" s="250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54" customHeight="1" x14ac:dyDescent="0.2">
      <c r="B32" s="2505" t="s">
        <v>2151</v>
      </c>
      <c r="C32" s="2505"/>
      <c r="D32" s="2506"/>
      <c r="E32" s="2506"/>
      <c r="F32" s="2506"/>
      <c r="G32" s="2506"/>
      <c r="H32" s="2506"/>
      <c r="I32" s="2506"/>
      <c r="J32" s="2506"/>
      <c r="K32" s="250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6999999999999995"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30" sqref="C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Dupo Community Unit School District No. 196</v>
      </c>
      <c r="C1" s="2484"/>
      <c r="D1" s="2484"/>
      <c r="E1" s="2484"/>
      <c r="F1" s="2484"/>
      <c r="G1" s="2484"/>
      <c r="H1" s="2484"/>
      <c r="I1" s="2484"/>
      <c r="J1" s="2484"/>
      <c r="K1" s="2484"/>
      <c r="L1" s="1374"/>
      <c r="M1" s="1374"/>
    </row>
    <row r="2" spans="1:13" ht="12" customHeight="1" x14ac:dyDescent="0.2">
      <c r="B2" s="2486" t="str">
        <f>'Single Audit Cover'!E7</f>
        <v>50-082-1960-26</v>
      </c>
      <c r="C2" s="2486"/>
      <c r="D2" s="2486"/>
      <c r="E2" s="2486"/>
      <c r="F2" s="2486"/>
      <c r="G2" s="2486"/>
      <c r="H2" s="2486"/>
      <c r="I2" s="2486"/>
      <c r="J2" s="2486"/>
      <c r="K2" s="2486"/>
      <c r="L2" s="1375"/>
      <c r="M2" s="1376"/>
    </row>
    <row r="3" spans="1:13" ht="10.35" customHeight="1" x14ac:dyDescent="0.2">
      <c r="B3" s="2507" t="s">
        <v>1347</v>
      </c>
      <c r="C3" s="2507"/>
      <c r="D3" s="2507"/>
      <c r="E3" s="2507"/>
      <c r="F3" s="2507"/>
      <c r="G3" s="2507"/>
      <c r="H3" s="2507"/>
      <c r="I3" s="2507"/>
      <c r="J3" s="2507"/>
      <c r="K3" s="2507"/>
      <c r="L3" s="1957"/>
      <c r="M3" s="1957"/>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1363</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2</v>
      </c>
      <c r="E10" s="322"/>
      <c r="F10" s="1387" t="s">
        <v>1362</v>
      </c>
      <c r="G10" s="1388"/>
      <c r="H10" s="1389" t="s">
        <v>1361</v>
      </c>
      <c r="I10" s="1388" t="s">
        <v>2084</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6" t="s">
        <v>2155</v>
      </c>
      <c r="C14" s="2506"/>
      <c r="D14" s="2506"/>
      <c r="E14" s="2506"/>
      <c r="F14" s="2506"/>
      <c r="G14" s="2506"/>
      <c r="H14" s="2506"/>
      <c r="I14" s="2506"/>
      <c r="J14" s="2506"/>
      <c r="K14" s="250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6" t="s">
        <v>2156</v>
      </c>
      <c r="C17" s="2506"/>
      <c r="D17" s="2506"/>
      <c r="E17" s="2506"/>
      <c r="F17" s="2506"/>
      <c r="G17" s="2506"/>
      <c r="H17" s="2506"/>
      <c r="I17" s="2506"/>
      <c r="J17" s="2506"/>
      <c r="K17" s="2506"/>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10" t="s">
        <v>2157</v>
      </c>
      <c r="C20" s="2510"/>
      <c r="D20" s="2506"/>
      <c r="E20" s="2506"/>
      <c r="F20" s="2506"/>
      <c r="G20" s="2506"/>
      <c r="H20" s="2506"/>
      <c r="I20" s="2506"/>
      <c r="J20" s="2506"/>
      <c r="K20" s="250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6" t="s">
        <v>2158</v>
      </c>
      <c r="C23" s="2506"/>
      <c r="D23" s="2506"/>
      <c r="E23" s="2506"/>
      <c r="F23" s="2506"/>
      <c r="G23" s="2506"/>
      <c r="H23" s="2506"/>
      <c r="I23" s="2506"/>
      <c r="J23" s="2506"/>
      <c r="K23" s="250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6" t="s">
        <v>2152</v>
      </c>
      <c r="C26" s="2506"/>
      <c r="D26" s="2506"/>
      <c r="E26" s="2506"/>
      <c r="F26" s="2506"/>
      <c r="G26" s="2506"/>
      <c r="H26" s="2506"/>
      <c r="I26" s="2506"/>
      <c r="J26" s="2506"/>
      <c r="K26" s="250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8.6" customHeight="1" x14ac:dyDescent="0.2">
      <c r="B29" s="2511" t="s">
        <v>2153</v>
      </c>
      <c r="C29" s="2511"/>
      <c r="D29" s="2506"/>
      <c r="E29" s="2506"/>
      <c r="F29" s="2506"/>
      <c r="G29" s="2506"/>
      <c r="H29" s="2506"/>
      <c r="I29" s="2506"/>
      <c r="J29" s="2506"/>
      <c r="K29" s="250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55.9" customHeight="1" x14ac:dyDescent="0.2">
      <c r="B32" s="2505" t="s">
        <v>2154</v>
      </c>
      <c r="C32" s="2505"/>
      <c r="D32" s="2506"/>
      <c r="E32" s="2506"/>
      <c r="F32" s="2506"/>
      <c r="G32" s="2506"/>
      <c r="H32" s="2506"/>
      <c r="I32" s="2506"/>
      <c r="J32" s="2506"/>
      <c r="K32" s="250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6999999999999995"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30" sqref="C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Dupo Community Unit School District No. 196</v>
      </c>
      <c r="C1" s="2484"/>
      <c r="D1" s="2484"/>
      <c r="E1" s="2484"/>
      <c r="F1" s="2484"/>
      <c r="G1" s="2484"/>
      <c r="H1" s="2484"/>
      <c r="I1" s="2484"/>
      <c r="J1" s="2484"/>
      <c r="K1" s="2484"/>
      <c r="L1" s="1374"/>
      <c r="M1" s="1374"/>
    </row>
    <row r="2" spans="1:13" ht="12" customHeight="1" x14ac:dyDescent="0.2">
      <c r="B2" s="2486" t="str">
        <f>'Single Audit Cover'!E7</f>
        <v>50-082-1960-26</v>
      </c>
      <c r="C2" s="2486"/>
      <c r="D2" s="2486"/>
      <c r="E2" s="2486"/>
      <c r="F2" s="2486"/>
      <c r="G2" s="2486"/>
      <c r="H2" s="2486"/>
      <c r="I2" s="2486"/>
      <c r="J2" s="2486"/>
      <c r="K2" s="2486"/>
      <c r="L2" s="1375"/>
      <c r="M2" s="1376"/>
    </row>
    <row r="3" spans="1:13" ht="10.35" customHeight="1" x14ac:dyDescent="0.2">
      <c r="B3" s="2507" t="s">
        <v>1347</v>
      </c>
      <c r="C3" s="2507"/>
      <c r="D3" s="2507"/>
      <c r="E3" s="2507"/>
      <c r="F3" s="2507"/>
      <c r="G3" s="2507"/>
      <c r="H3" s="2507"/>
      <c r="I3" s="2507"/>
      <c r="J3" s="2507"/>
      <c r="K3" s="2507"/>
      <c r="L3" s="1377"/>
      <c r="M3" s="1377"/>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1363</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3</v>
      </c>
      <c r="E10" s="322"/>
      <c r="F10" s="1387" t="s">
        <v>1362</v>
      </c>
      <c r="G10" s="1388" t="s">
        <v>2084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3" t="s">
        <v>2188</v>
      </c>
      <c r="C14" s="2513"/>
      <c r="D14" s="2513"/>
      <c r="E14" s="2513"/>
      <c r="F14" s="2513"/>
      <c r="G14" s="2513"/>
      <c r="H14" s="2513"/>
      <c r="I14" s="2513"/>
      <c r="J14" s="2513"/>
      <c r="K14" s="251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3" t="s">
        <v>2189</v>
      </c>
      <c r="C17" s="2513"/>
      <c r="D17" s="2513"/>
      <c r="E17" s="2513"/>
      <c r="F17" s="2513"/>
      <c r="G17" s="2513"/>
      <c r="H17" s="2513"/>
      <c r="I17" s="2513"/>
      <c r="J17" s="2513"/>
      <c r="K17" s="2513"/>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14" t="s">
        <v>2190</v>
      </c>
      <c r="C20" s="2514"/>
      <c r="D20" s="2513"/>
      <c r="E20" s="2513"/>
      <c r="F20" s="2513"/>
      <c r="G20" s="2513"/>
      <c r="H20" s="2513"/>
      <c r="I20" s="2513"/>
      <c r="J20" s="2513"/>
      <c r="K20" s="251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3" t="s">
        <v>2191</v>
      </c>
      <c r="C23" s="2513"/>
      <c r="D23" s="2513"/>
      <c r="E23" s="2513"/>
      <c r="F23" s="2513"/>
      <c r="G23" s="2513"/>
      <c r="H23" s="2513"/>
      <c r="I23" s="2513"/>
      <c r="J23" s="2513"/>
      <c r="K23" s="251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3" t="s">
        <v>2192</v>
      </c>
      <c r="C26" s="2513"/>
      <c r="D26" s="2513"/>
      <c r="E26" s="2513"/>
      <c r="F26" s="2513"/>
      <c r="G26" s="2513"/>
      <c r="H26" s="2513"/>
      <c r="I26" s="2513"/>
      <c r="J26" s="2513"/>
      <c r="K26" s="251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2" t="s">
        <v>2193</v>
      </c>
      <c r="C29" s="2512"/>
      <c r="D29" s="2513"/>
      <c r="E29" s="2513"/>
      <c r="F29" s="2513"/>
      <c r="G29" s="2513"/>
      <c r="H29" s="2513"/>
      <c r="I29" s="2513"/>
      <c r="J29" s="2513"/>
      <c r="K29" s="251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512" t="s">
        <v>2194</v>
      </c>
      <c r="C32" s="2512"/>
      <c r="D32" s="2513"/>
      <c r="E32" s="2513"/>
      <c r="F32" s="2513"/>
      <c r="G32" s="2513"/>
      <c r="H32" s="2513"/>
      <c r="I32" s="2513"/>
      <c r="J32" s="2513"/>
      <c r="K32" s="251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6999999999999995"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110" zoomScaleNormal="110" workbookViewId="0">
      <selection activeCell="C30" sqref="C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Dupo Community Unit School District No. 196</v>
      </c>
      <c r="C1" s="2518"/>
      <c r="D1" s="2518"/>
      <c r="E1" s="2518"/>
      <c r="F1" s="2518"/>
      <c r="G1" s="2518"/>
      <c r="H1" s="2518"/>
      <c r="I1" s="2518"/>
      <c r="J1" s="2518"/>
      <c r="K1" s="2518"/>
      <c r="L1" s="1465"/>
    </row>
    <row r="2" spans="1:12" ht="12.75" customHeight="1" x14ac:dyDescent="0.2">
      <c r="B2" s="2519" t="str">
        <f>'Single Audit Cover'!E7</f>
        <v>50-082-1960-26</v>
      </c>
      <c r="C2" s="2519"/>
      <c r="D2" s="2519"/>
      <c r="E2" s="2519"/>
      <c r="F2" s="2519"/>
      <c r="G2" s="2519"/>
      <c r="H2" s="2519"/>
      <c r="I2" s="2519"/>
      <c r="J2" s="2519"/>
      <c r="K2" s="2519"/>
      <c r="L2" s="1466"/>
    </row>
    <row r="3" spans="1:12" ht="12.75" customHeight="1" x14ac:dyDescent="0.2">
      <c r="B3" s="2507" t="s">
        <v>1347</v>
      </c>
      <c r="C3" s="2507"/>
      <c r="D3" s="2507"/>
      <c r="E3" s="2507"/>
      <c r="F3" s="2507"/>
      <c r="G3" s="2507"/>
      <c r="H3" s="2507"/>
      <c r="I3" s="2507"/>
      <c r="J3" s="2507"/>
      <c r="K3" s="2507"/>
      <c r="L3" s="1957"/>
    </row>
    <row r="4" spans="1:12" ht="12.75" customHeight="1" x14ac:dyDescent="0.2">
      <c r="B4" s="2507" t="str">
        <f>'Single Audit Cover'!A4</f>
        <v>Year Ending June 30, 2018</v>
      </c>
      <c r="C4" s="2507"/>
      <c r="D4" s="2507"/>
      <c r="E4" s="2507"/>
      <c r="F4" s="2507"/>
      <c r="G4" s="2507"/>
      <c r="H4" s="2507"/>
      <c r="I4" s="2507"/>
      <c r="J4" s="2507"/>
      <c r="K4" s="2507"/>
      <c r="L4" s="1957"/>
    </row>
    <row r="5" spans="1:12" ht="5.25" customHeight="1" x14ac:dyDescent="0.2">
      <c r="B5" s="1260" t="s">
        <v>1231</v>
      </c>
      <c r="C5" s="1260"/>
      <c r="L5" s="322"/>
    </row>
    <row r="6" spans="1:12" ht="30.75" customHeight="1" x14ac:dyDescent="0.2">
      <c r="A6" s="322"/>
      <c r="B6" s="2520" t="s">
        <v>1375</v>
      </c>
      <c r="C6" s="2520"/>
      <c r="D6" s="2520"/>
      <c r="E6" s="2520"/>
      <c r="F6" s="2520"/>
      <c r="G6" s="2520"/>
      <c r="H6" s="2520"/>
      <c r="I6" s="2520"/>
      <c r="J6" s="2520"/>
      <c r="K6" s="2520"/>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4</v>
      </c>
      <c r="E8" s="322"/>
      <c r="F8" s="1384" t="s">
        <v>1362</v>
      </c>
      <c r="G8" s="1469"/>
      <c r="H8" s="1470" t="s">
        <v>1374</v>
      </c>
      <c r="I8" s="1469" t="s">
        <v>2075</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2203</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5" t="s">
        <v>2119</v>
      </c>
      <c r="E14" s="2515"/>
      <c r="F14" s="2515"/>
      <c r="H14" s="1475" t="s">
        <v>1370</v>
      </c>
      <c r="I14" s="2516">
        <v>84.367000000000004</v>
      </c>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t="s">
        <v>2185</v>
      </c>
      <c r="E16" s="2516"/>
      <c r="F16" s="2516"/>
      <c r="G16" s="2516"/>
      <c r="H16" s="2516"/>
      <c r="I16" s="2516"/>
      <c r="J16" s="2516"/>
      <c r="K16" s="2516"/>
      <c r="L16" s="322"/>
    </row>
    <row r="17" spans="2:12" ht="13.5" customHeight="1" x14ac:dyDescent="0.2">
      <c r="B17" s="1387" t="s">
        <v>1368</v>
      </c>
      <c r="C17" s="1387"/>
      <c r="D17" s="2517" t="s">
        <v>2186</v>
      </c>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3" t="s">
        <v>2187</v>
      </c>
      <c r="C20" s="2506"/>
      <c r="D20" s="2506"/>
      <c r="E20" s="2506"/>
      <c r="F20" s="2506"/>
      <c r="G20" s="2506"/>
      <c r="H20" s="2506"/>
      <c r="I20" s="2506"/>
      <c r="J20" s="2506"/>
      <c r="K20" s="250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41.45" customHeight="1" x14ac:dyDescent="0.2">
      <c r="B23" s="2513" t="s">
        <v>2195</v>
      </c>
      <c r="C23" s="2506"/>
      <c r="D23" s="2506"/>
      <c r="E23" s="2506"/>
      <c r="F23" s="2506"/>
      <c r="G23" s="2506"/>
      <c r="H23" s="2506"/>
      <c r="I23" s="2506"/>
      <c r="J23" s="2506"/>
      <c r="K23" s="250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13" t="s">
        <v>2196</v>
      </c>
      <c r="C26" s="2513"/>
      <c r="D26" s="2513"/>
      <c r="E26" s="2513"/>
      <c r="F26" s="2513"/>
      <c r="G26" s="2513"/>
      <c r="H26" s="2513"/>
      <c r="I26" s="2513"/>
      <c r="J26" s="2513"/>
      <c r="K26" s="251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13" t="s">
        <v>2197</v>
      </c>
      <c r="C29" s="2513"/>
      <c r="D29" s="2513"/>
      <c r="E29" s="2513"/>
      <c r="F29" s="2513"/>
      <c r="G29" s="2513"/>
      <c r="H29" s="2513"/>
      <c r="I29" s="2513"/>
      <c r="J29" s="2513"/>
      <c r="K29" s="251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3" t="s">
        <v>2198</v>
      </c>
      <c r="C32" s="2513"/>
      <c r="D32" s="2513"/>
      <c r="E32" s="2513"/>
      <c r="F32" s="2513"/>
      <c r="G32" s="2513"/>
      <c r="H32" s="2513"/>
      <c r="I32" s="2513"/>
      <c r="J32" s="2513"/>
      <c r="K32" s="251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3" t="s">
        <v>2235</v>
      </c>
      <c r="C35" s="2513"/>
      <c r="D35" s="2513"/>
      <c r="E35" s="2513"/>
      <c r="F35" s="2513"/>
      <c r="G35" s="2513"/>
      <c r="H35" s="2513"/>
      <c r="I35" s="2513"/>
      <c r="J35" s="2513"/>
      <c r="K35" s="251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3" t="s">
        <v>2199</v>
      </c>
      <c r="C38" s="2513"/>
      <c r="D38" s="2513"/>
      <c r="E38" s="2513"/>
      <c r="F38" s="2513"/>
      <c r="G38" s="2513"/>
      <c r="H38" s="2513"/>
      <c r="I38" s="2513"/>
      <c r="J38" s="2513"/>
      <c r="K38" s="251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13" t="s">
        <v>2200</v>
      </c>
      <c r="C41" s="2513"/>
      <c r="D41" s="2513"/>
      <c r="E41" s="2513"/>
      <c r="F41" s="2513"/>
      <c r="G41" s="2513"/>
      <c r="H41" s="2513"/>
      <c r="I41" s="2513"/>
      <c r="J41" s="2513"/>
      <c r="K41" s="251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6999999999999995"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2" zoomScale="110" zoomScaleNormal="110" workbookViewId="0">
      <selection activeCell="C30" sqref="C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Dupo Community Unit School District No. 196</v>
      </c>
      <c r="C1" s="2518"/>
      <c r="D1" s="2518"/>
      <c r="E1" s="2518"/>
      <c r="F1" s="2518"/>
      <c r="G1" s="2518"/>
      <c r="H1" s="2518"/>
      <c r="I1" s="2518"/>
      <c r="J1" s="2518"/>
      <c r="K1" s="2518"/>
      <c r="L1" s="1465"/>
    </row>
    <row r="2" spans="1:12" ht="12.75" customHeight="1" x14ac:dyDescent="0.2">
      <c r="B2" s="2519" t="str">
        <f>'Single Audit Cover'!E7</f>
        <v>50-082-1960-26</v>
      </c>
      <c r="C2" s="2519"/>
      <c r="D2" s="2519"/>
      <c r="E2" s="2519"/>
      <c r="F2" s="2519"/>
      <c r="G2" s="2519"/>
      <c r="H2" s="2519"/>
      <c r="I2" s="2519"/>
      <c r="J2" s="2519"/>
      <c r="K2" s="2519"/>
      <c r="L2" s="1466"/>
    </row>
    <row r="3" spans="1:12" ht="12.75" customHeight="1" x14ac:dyDescent="0.2">
      <c r="B3" s="2507" t="s">
        <v>1347</v>
      </c>
      <c r="C3" s="2507"/>
      <c r="D3" s="2507"/>
      <c r="E3" s="2507"/>
      <c r="F3" s="2507"/>
      <c r="G3" s="2507"/>
      <c r="H3" s="2507"/>
      <c r="I3" s="2507"/>
      <c r="J3" s="2507"/>
      <c r="K3" s="2507"/>
      <c r="L3" s="1969"/>
    </row>
    <row r="4" spans="1:12" ht="12.75" customHeight="1" x14ac:dyDescent="0.2">
      <c r="B4" s="2507" t="str">
        <f>'Single Audit Cover'!A4</f>
        <v>Year Ending June 30, 2018</v>
      </c>
      <c r="C4" s="2507"/>
      <c r="D4" s="2507"/>
      <c r="E4" s="2507"/>
      <c r="F4" s="2507"/>
      <c r="G4" s="2507"/>
      <c r="H4" s="2507"/>
      <c r="I4" s="2507"/>
      <c r="J4" s="2507"/>
      <c r="K4" s="2507"/>
      <c r="L4" s="1969"/>
    </row>
    <row r="5" spans="1:12" ht="5.25" customHeight="1" x14ac:dyDescent="0.2">
      <c r="B5" s="1260" t="s">
        <v>1231</v>
      </c>
      <c r="C5" s="1260"/>
      <c r="L5" s="322"/>
    </row>
    <row r="6" spans="1:12" ht="30.75" customHeight="1" x14ac:dyDescent="0.2">
      <c r="A6" s="322"/>
      <c r="B6" s="2520" t="s">
        <v>1375</v>
      </c>
      <c r="C6" s="2520"/>
      <c r="D6" s="2520"/>
      <c r="E6" s="2520"/>
      <c r="F6" s="2520"/>
      <c r="G6" s="2520"/>
      <c r="H6" s="2520"/>
      <c r="I6" s="2520"/>
      <c r="J6" s="2520"/>
      <c r="K6" s="2520"/>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5</v>
      </c>
      <c r="E8" s="322"/>
      <c r="F8" s="1384" t="s">
        <v>1362</v>
      </c>
      <c r="G8" s="1469" t="s">
        <v>2075</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2204</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5" t="s">
        <v>2106</v>
      </c>
      <c r="E14" s="2515"/>
      <c r="F14" s="2515"/>
      <c r="H14" s="1475" t="s">
        <v>1370</v>
      </c>
      <c r="I14" s="2521" t="s">
        <v>2207</v>
      </c>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t="s">
        <v>2185</v>
      </c>
      <c r="E16" s="2516"/>
      <c r="F16" s="2516"/>
      <c r="G16" s="2516"/>
      <c r="H16" s="2516"/>
      <c r="I16" s="2516"/>
      <c r="J16" s="2516"/>
      <c r="K16" s="2516"/>
      <c r="L16" s="322"/>
    </row>
    <row r="17" spans="2:12" ht="13.5" customHeight="1" x14ac:dyDescent="0.2">
      <c r="B17" s="1387" t="s">
        <v>1368</v>
      </c>
      <c r="C17" s="1387"/>
      <c r="D17" s="2517" t="s">
        <v>2186</v>
      </c>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3" t="s">
        <v>2187</v>
      </c>
      <c r="C20" s="2506"/>
      <c r="D20" s="2506"/>
      <c r="E20" s="2506"/>
      <c r="F20" s="2506"/>
      <c r="G20" s="2506"/>
      <c r="H20" s="2506"/>
      <c r="I20" s="2506"/>
      <c r="J20" s="2506"/>
      <c r="K20" s="250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40.9" customHeight="1" x14ac:dyDescent="0.2">
      <c r="B23" s="2513" t="s">
        <v>2195</v>
      </c>
      <c r="C23" s="2506"/>
      <c r="D23" s="2506"/>
      <c r="E23" s="2506"/>
      <c r="F23" s="2506"/>
      <c r="G23" s="2506"/>
      <c r="H23" s="2506"/>
      <c r="I23" s="2506"/>
      <c r="J23" s="2506"/>
      <c r="K23" s="250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13" t="s">
        <v>2201</v>
      </c>
      <c r="C26" s="2513"/>
      <c r="D26" s="2513"/>
      <c r="E26" s="2513"/>
      <c r="F26" s="2513"/>
      <c r="G26" s="2513"/>
      <c r="H26" s="2513"/>
      <c r="I26" s="2513"/>
      <c r="J26" s="2513"/>
      <c r="K26" s="251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13" t="s">
        <v>2197</v>
      </c>
      <c r="C29" s="2513"/>
      <c r="D29" s="2513"/>
      <c r="E29" s="2513"/>
      <c r="F29" s="2513"/>
      <c r="G29" s="2513"/>
      <c r="H29" s="2513"/>
      <c r="I29" s="2513"/>
      <c r="J29" s="2513"/>
      <c r="K29" s="251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3" t="s">
        <v>2198</v>
      </c>
      <c r="C32" s="2513"/>
      <c r="D32" s="2513"/>
      <c r="E32" s="2513"/>
      <c r="F32" s="2513"/>
      <c r="G32" s="2513"/>
      <c r="H32" s="2513"/>
      <c r="I32" s="2513"/>
      <c r="J32" s="2513"/>
      <c r="K32" s="251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3" t="s">
        <v>2235</v>
      </c>
      <c r="C35" s="2513"/>
      <c r="D35" s="2513"/>
      <c r="E35" s="2513"/>
      <c r="F35" s="2513"/>
      <c r="G35" s="2513"/>
      <c r="H35" s="2513"/>
      <c r="I35" s="2513"/>
      <c r="J35" s="2513"/>
      <c r="K35" s="251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3" t="s">
        <v>2199</v>
      </c>
      <c r="C38" s="2513"/>
      <c r="D38" s="2513"/>
      <c r="E38" s="2513"/>
      <c r="F38" s="2513"/>
      <c r="G38" s="2513"/>
      <c r="H38" s="2513"/>
      <c r="I38" s="2513"/>
      <c r="J38" s="2513"/>
      <c r="K38" s="251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13" t="s">
        <v>2200</v>
      </c>
      <c r="C41" s="2513"/>
      <c r="D41" s="2513"/>
      <c r="E41" s="2513"/>
      <c r="F41" s="2513"/>
      <c r="G41" s="2513"/>
      <c r="H41" s="2513"/>
      <c r="I41" s="2513"/>
      <c r="J41" s="2513"/>
      <c r="K41" s="251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6999999999999995"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C30" sqref="C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Dupo Community Unit School District No. 196</v>
      </c>
      <c r="C1" s="2518"/>
      <c r="D1" s="2518"/>
      <c r="E1" s="2518"/>
      <c r="F1" s="2518"/>
      <c r="G1" s="2518"/>
      <c r="H1" s="2518"/>
      <c r="I1" s="2518"/>
      <c r="J1" s="2518"/>
      <c r="K1" s="2518"/>
      <c r="L1" s="1465"/>
    </row>
    <row r="2" spans="1:12" ht="12.75" customHeight="1" x14ac:dyDescent="0.2">
      <c r="B2" s="2519" t="str">
        <f>'Single Audit Cover'!E7</f>
        <v>50-082-1960-26</v>
      </c>
      <c r="C2" s="2519"/>
      <c r="D2" s="2519"/>
      <c r="E2" s="2519"/>
      <c r="F2" s="2519"/>
      <c r="G2" s="2519"/>
      <c r="H2" s="2519"/>
      <c r="I2" s="2519"/>
      <c r="J2" s="2519"/>
      <c r="K2" s="2519"/>
      <c r="L2" s="1466"/>
    </row>
    <row r="3" spans="1:12" ht="12.75" customHeight="1" x14ac:dyDescent="0.2">
      <c r="B3" s="2507" t="s">
        <v>1347</v>
      </c>
      <c r="C3" s="2507"/>
      <c r="D3" s="2507"/>
      <c r="E3" s="2507"/>
      <c r="F3" s="2507"/>
      <c r="G3" s="2507"/>
      <c r="H3" s="2507"/>
      <c r="I3" s="2507"/>
      <c r="J3" s="2507"/>
      <c r="K3" s="2507"/>
      <c r="L3" s="1377"/>
    </row>
    <row r="4" spans="1:12" ht="12.75" customHeight="1" x14ac:dyDescent="0.2">
      <c r="B4" s="2507" t="str">
        <f>'Single Audit Cover'!A4</f>
        <v>Year Ending June 30, 2018</v>
      </c>
      <c r="C4" s="2507"/>
      <c r="D4" s="2507"/>
      <c r="E4" s="2507"/>
      <c r="F4" s="2507"/>
      <c r="G4" s="2507"/>
      <c r="H4" s="2507"/>
      <c r="I4" s="2507"/>
      <c r="J4" s="2507"/>
      <c r="K4" s="2507"/>
      <c r="L4" s="1377"/>
    </row>
    <row r="5" spans="1:12" ht="5.25" customHeight="1" x14ac:dyDescent="0.2">
      <c r="B5" s="1260" t="s">
        <v>1231</v>
      </c>
      <c r="C5" s="1260"/>
      <c r="L5" s="322"/>
    </row>
    <row r="6" spans="1:12" ht="30.75" customHeight="1" x14ac:dyDescent="0.2">
      <c r="A6" s="322"/>
      <c r="B6" s="2520" t="s">
        <v>1375</v>
      </c>
      <c r="C6" s="2520"/>
      <c r="D6" s="2520"/>
      <c r="E6" s="2520"/>
      <c r="F6" s="2520"/>
      <c r="G6" s="2520"/>
      <c r="H6" s="2520"/>
      <c r="I6" s="2520"/>
      <c r="J6" s="2520"/>
      <c r="K6" s="2520"/>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6</v>
      </c>
      <c r="E8" s="322"/>
      <c r="F8" s="1384" t="s">
        <v>1362</v>
      </c>
      <c r="G8" s="1469" t="s">
        <v>2075</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2202</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5" t="s">
        <v>2205</v>
      </c>
      <c r="E14" s="2515"/>
      <c r="F14" s="2515"/>
      <c r="H14" s="1475" t="s">
        <v>1370</v>
      </c>
      <c r="I14" s="2516" t="s">
        <v>2206</v>
      </c>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t="s">
        <v>2185</v>
      </c>
      <c r="E16" s="2516"/>
      <c r="F16" s="2516"/>
      <c r="G16" s="2516"/>
      <c r="H16" s="2516"/>
      <c r="I16" s="2516"/>
      <c r="J16" s="2516"/>
      <c r="K16" s="2516"/>
      <c r="L16" s="322"/>
    </row>
    <row r="17" spans="2:12" ht="13.5" customHeight="1" x14ac:dyDescent="0.2">
      <c r="B17" s="1387" t="s">
        <v>1368</v>
      </c>
      <c r="C17" s="1387"/>
      <c r="D17" s="2517" t="s">
        <v>2186</v>
      </c>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3" t="s">
        <v>2208</v>
      </c>
      <c r="C20" s="2506"/>
      <c r="D20" s="2506"/>
      <c r="E20" s="2506"/>
      <c r="F20" s="2506"/>
      <c r="G20" s="2506"/>
      <c r="H20" s="2506"/>
      <c r="I20" s="2506"/>
      <c r="J20" s="2506"/>
      <c r="K20" s="250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40.9" customHeight="1" x14ac:dyDescent="0.2">
      <c r="B23" s="2513" t="s">
        <v>2236</v>
      </c>
      <c r="C23" s="2506"/>
      <c r="D23" s="2506"/>
      <c r="E23" s="2506"/>
      <c r="F23" s="2506"/>
      <c r="G23" s="2506"/>
      <c r="H23" s="2506"/>
      <c r="I23" s="2506"/>
      <c r="J23" s="2506"/>
      <c r="K23" s="250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13" t="s">
        <v>2209</v>
      </c>
      <c r="C26" s="2513"/>
      <c r="D26" s="2513"/>
      <c r="E26" s="2513"/>
      <c r="F26" s="2513"/>
      <c r="G26" s="2513"/>
      <c r="H26" s="2513"/>
      <c r="I26" s="2513"/>
      <c r="J26" s="2513"/>
      <c r="K26" s="251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13" t="s">
        <v>2210</v>
      </c>
      <c r="C29" s="2513"/>
      <c r="D29" s="2513"/>
      <c r="E29" s="2513"/>
      <c r="F29" s="2513"/>
      <c r="G29" s="2513"/>
      <c r="H29" s="2513"/>
      <c r="I29" s="2513"/>
      <c r="J29" s="2513"/>
      <c r="K29" s="251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3" t="s">
        <v>2211</v>
      </c>
      <c r="C32" s="2513"/>
      <c r="D32" s="2513"/>
      <c r="E32" s="2513"/>
      <c r="F32" s="2513"/>
      <c r="G32" s="2513"/>
      <c r="H32" s="2513"/>
      <c r="I32" s="2513"/>
      <c r="J32" s="2513"/>
      <c r="K32" s="251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3" t="s">
        <v>2212</v>
      </c>
      <c r="C35" s="2513"/>
      <c r="D35" s="2513"/>
      <c r="E35" s="2513"/>
      <c r="F35" s="2513"/>
      <c r="G35" s="2513"/>
      <c r="H35" s="2513"/>
      <c r="I35" s="2513"/>
      <c r="J35" s="2513"/>
      <c r="K35" s="251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3" t="s">
        <v>2213</v>
      </c>
      <c r="C38" s="2513"/>
      <c r="D38" s="2513"/>
      <c r="E38" s="2513"/>
      <c r="F38" s="2513"/>
      <c r="G38" s="2513"/>
      <c r="H38" s="2513"/>
      <c r="I38" s="2513"/>
      <c r="J38" s="2513"/>
      <c r="K38" s="251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13" t="s">
        <v>2214</v>
      </c>
      <c r="C41" s="2513"/>
      <c r="D41" s="2513"/>
      <c r="E41" s="2513"/>
      <c r="F41" s="2513"/>
      <c r="G41" s="2513"/>
      <c r="H41" s="2513"/>
      <c r="I41" s="2513"/>
      <c r="J41" s="2513"/>
      <c r="K41" s="251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3" right="0.27" top="0.44" bottom="0.5" header="0.26" footer="0.18"/>
  <pageSetup scale="95"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4" zoomScale="110" zoomScaleNormal="110" workbookViewId="0">
      <selection activeCell="C30" sqref="C3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Dupo Community Unit School District No. 196</v>
      </c>
      <c r="C1" s="2484"/>
      <c r="D1" s="2484"/>
      <c r="E1" s="1491"/>
    </row>
    <row r="2" spans="2:5" s="1282" customFormat="1" ht="12.75" customHeight="1" x14ac:dyDescent="0.2">
      <c r="B2" s="2486" t="str">
        <f>'Single Audit Cover'!E7</f>
        <v>50-082-1960-26</v>
      </c>
      <c r="C2" s="2486"/>
      <c r="D2" s="2486"/>
      <c r="E2" s="1492"/>
    </row>
    <row r="3" spans="2:5" ht="12.75" customHeight="1" x14ac:dyDescent="0.2">
      <c r="B3" s="2507" t="s">
        <v>1867</v>
      </c>
      <c r="C3" s="2507"/>
      <c r="D3" s="2507"/>
      <c r="E3" s="1274"/>
    </row>
    <row r="4" spans="2:5" s="1282" customFormat="1" ht="12.75" customHeight="1" x14ac:dyDescent="0.2">
      <c r="B4" s="2522" t="str">
        <f>'Single Audit Cover'!A4</f>
        <v>Year Ending June 30, 2018</v>
      </c>
      <c r="C4" s="2522"/>
      <c r="D4" s="2522"/>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t="s">
        <v>2159</v>
      </c>
      <c r="C9" s="1965" t="s">
        <v>2160</v>
      </c>
      <c r="D9" s="1966" t="s">
        <v>2161</v>
      </c>
      <c r="E9" s="323"/>
    </row>
    <row r="10" spans="2:5" ht="13.5" customHeight="1" x14ac:dyDescent="0.2">
      <c r="B10" s="1496"/>
      <c r="C10" s="323"/>
      <c r="D10" s="1966" t="s">
        <v>2162</v>
      </c>
      <c r="E10" s="323"/>
    </row>
    <row r="11" spans="2:5" ht="13.5" customHeight="1" x14ac:dyDescent="0.2">
      <c r="B11" s="1496"/>
      <c r="C11" s="323"/>
      <c r="D11" s="1966" t="s">
        <v>2163</v>
      </c>
      <c r="E11" s="323"/>
    </row>
    <row r="12" spans="2:5" ht="13.5" customHeight="1" x14ac:dyDescent="0.2">
      <c r="B12" s="1496"/>
      <c r="C12" s="323"/>
      <c r="D12" s="1966" t="s">
        <v>2164</v>
      </c>
      <c r="E12" s="323"/>
    </row>
    <row r="13" spans="2:5" ht="13.5" customHeight="1" x14ac:dyDescent="0.2">
      <c r="B13" s="1496"/>
      <c r="C13" s="323"/>
      <c r="D13" s="1966" t="s">
        <v>2165</v>
      </c>
      <c r="E13" s="323"/>
    </row>
    <row r="14" spans="2:5" ht="13.5" customHeight="1" x14ac:dyDescent="0.2">
      <c r="B14" s="1496"/>
      <c r="C14" s="323"/>
      <c r="D14" s="323"/>
      <c r="E14" s="323"/>
    </row>
    <row r="15" spans="2:5" ht="13.5" customHeight="1" x14ac:dyDescent="0.2">
      <c r="B15" s="1496" t="s">
        <v>2166</v>
      </c>
      <c r="C15" s="1967" t="s">
        <v>2167</v>
      </c>
      <c r="D15" s="1968" t="s">
        <v>2168</v>
      </c>
      <c r="E15" s="323"/>
    </row>
    <row r="16" spans="2:5" ht="13.5" customHeight="1" x14ac:dyDescent="0.2">
      <c r="B16" s="1496"/>
      <c r="C16" s="323"/>
      <c r="D16" s="1968" t="s">
        <v>2169</v>
      </c>
      <c r="E16" s="323"/>
    </row>
    <row r="17" spans="2:5" ht="13.5" customHeight="1" x14ac:dyDescent="0.2">
      <c r="B17" s="1496"/>
      <c r="C17" s="323"/>
      <c r="D17" s="1968" t="s">
        <v>2170</v>
      </c>
      <c r="E17" s="323"/>
    </row>
    <row r="18" spans="2:5" ht="13.5" customHeight="1" x14ac:dyDescent="0.2">
      <c r="B18" s="1496"/>
      <c r="C18" s="323"/>
      <c r="D18" s="1968" t="s">
        <v>2171</v>
      </c>
      <c r="E18" s="323"/>
    </row>
    <row r="19" spans="2:5" ht="13.5" customHeight="1" x14ac:dyDescent="0.2">
      <c r="B19" s="1496"/>
      <c r="C19" s="323"/>
      <c r="D19" s="323"/>
      <c r="E19" s="323"/>
    </row>
    <row r="20" spans="2:5" ht="13.5" customHeight="1" x14ac:dyDescent="0.2">
      <c r="B20" s="1496" t="s">
        <v>2172</v>
      </c>
      <c r="C20" s="323" t="s">
        <v>2173</v>
      </c>
      <c r="D20" s="323" t="s">
        <v>2174</v>
      </c>
      <c r="E20" s="323"/>
    </row>
    <row r="21" spans="2:5" ht="13.5" customHeight="1" x14ac:dyDescent="0.2">
      <c r="B21" s="1496" t="s">
        <v>1231</v>
      </c>
      <c r="C21" s="323"/>
      <c r="D21" s="323" t="s">
        <v>2175</v>
      </c>
      <c r="E21" s="323"/>
    </row>
    <row r="22" spans="2:5" ht="13.5" customHeight="1" x14ac:dyDescent="0.2">
      <c r="B22" s="1496"/>
      <c r="C22" s="323"/>
      <c r="D22" s="323" t="s">
        <v>2176</v>
      </c>
      <c r="E22" s="323"/>
    </row>
    <row r="23" spans="2:5" ht="13.5" customHeight="1" x14ac:dyDescent="0.2">
      <c r="B23" s="1496"/>
      <c r="C23" s="323"/>
      <c r="D23" s="323"/>
      <c r="E23" s="323"/>
    </row>
    <row r="24" spans="2:5" ht="13.5" customHeight="1" x14ac:dyDescent="0.2">
      <c r="B24" s="1496" t="s">
        <v>2177</v>
      </c>
      <c r="C24" s="323" t="s">
        <v>2179</v>
      </c>
      <c r="D24" s="323" t="s">
        <v>2180</v>
      </c>
      <c r="E24" s="323"/>
    </row>
    <row r="25" spans="2:5" ht="13.5" customHeight="1" x14ac:dyDescent="0.2">
      <c r="B25" s="1496" t="s">
        <v>2178</v>
      </c>
      <c r="C25" s="323"/>
      <c r="D25" s="323" t="s">
        <v>2181</v>
      </c>
      <c r="E25" s="323"/>
    </row>
    <row r="26" spans="2:5" ht="13.5" customHeight="1" x14ac:dyDescent="0.2">
      <c r="B26" s="1496"/>
      <c r="C26" s="323"/>
      <c r="D26" s="323" t="s">
        <v>2182</v>
      </c>
      <c r="E26" s="323"/>
    </row>
    <row r="27" spans="2:5" ht="13.5" customHeight="1" x14ac:dyDescent="0.2">
      <c r="B27" s="1496"/>
      <c r="C27" s="323"/>
      <c r="D27" s="323" t="s">
        <v>2183</v>
      </c>
      <c r="E27" s="323"/>
    </row>
    <row r="28" spans="2:5" ht="13.5" customHeight="1" x14ac:dyDescent="0.2">
      <c r="B28" s="1496"/>
      <c r="C28" s="323"/>
      <c r="D28" s="323" t="s">
        <v>2184</v>
      </c>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56999999999999995" right="0.27"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1" colorId="8" zoomScale="110" zoomScaleNormal="110" workbookViewId="0">
      <selection activeCell="C30" sqref="C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404</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67268311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0.02</v>
      </c>
      <c r="E10" s="356" t="s">
        <v>1062</v>
      </c>
      <c r="F10" s="355">
        <v>5.0000000000000001E-3</v>
      </c>
      <c r="G10" s="356" t="s">
        <v>1062</v>
      </c>
      <c r="H10" s="355">
        <v>2E-3</v>
      </c>
      <c r="I10" s="356" t="s">
        <v>1063</v>
      </c>
      <c r="J10" s="1754">
        <f>ROUND(D10+F10+H10,5)</f>
        <v>2.7E-2</v>
      </c>
      <c r="K10" s="222"/>
      <c r="L10" s="355">
        <v>2.9999999999999997E-4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10423440</v>
      </c>
      <c r="E16" s="356"/>
      <c r="F16" s="1755">
        <f>SUM('Acct Summary 7-8'!C17,'Acct Summary 7-8'!D17,'Acct Summary 7-8'!F17)</f>
        <v>9429213</v>
      </c>
      <c r="G16" s="356"/>
      <c r="H16" s="1755">
        <f>SUM(D16-F16)</f>
        <v>994227</v>
      </c>
      <c r="I16" s="222"/>
      <c r="J16" s="1755">
        <f>SUM('Acct Summary 7-8'!C81,'Acct Summary 7-8'!D81,'Acct Summary 7-8'!F81,'Acct Summary 7-8'!I81)</f>
        <v>5336881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12950</v>
      </c>
      <c r="E24" s="356" t="s">
        <v>1063</v>
      </c>
      <c r="F24" s="1756">
        <f>SUM(D22,F22,H22,J22,L22, D24)</f>
        <v>12950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9283026.9180000015</v>
      </c>
      <c r="I31" s="368"/>
      <c r="J31" s="222"/>
      <c r="K31" s="222"/>
      <c r="L31" s="222"/>
      <c r="M31" s="222"/>
    </row>
    <row r="32" spans="1:13" ht="13.35" customHeight="1" x14ac:dyDescent="0.2">
      <c r="B32" s="369" t="s">
        <v>2075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6665000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C30" sqref="C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577</v>
      </c>
      <c r="B2" s="2134"/>
      <c r="C2" s="2134"/>
      <c r="D2" s="2134"/>
      <c r="E2" s="2134"/>
      <c r="F2" s="2134"/>
      <c r="G2" s="2134"/>
      <c r="H2" s="2134"/>
      <c r="I2" s="2134"/>
      <c r="J2" s="2134"/>
      <c r="K2" s="2134"/>
      <c r="L2" s="2134"/>
      <c r="M2" s="2134"/>
      <c r="N2" s="2134"/>
      <c r="O2" s="2134"/>
      <c r="P2" s="2134"/>
      <c r="Q2" s="2134"/>
      <c r="R2" s="2134"/>
    </row>
    <row r="3" spans="1:18" ht="12.75" x14ac:dyDescent="0.2">
      <c r="A3" s="2135" t="s">
        <v>1480</v>
      </c>
      <c r="B3" s="2135"/>
      <c r="C3" s="2135"/>
      <c r="D3" s="2135"/>
      <c r="E3" s="2135"/>
      <c r="F3" s="2135"/>
      <c r="G3" s="2135"/>
      <c r="H3" s="2135"/>
      <c r="I3" s="2135"/>
      <c r="J3" s="2135"/>
      <c r="K3" s="2135"/>
      <c r="L3" s="2135"/>
      <c r="M3" s="2135"/>
      <c r="N3" s="2135"/>
      <c r="O3" s="2135"/>
      <c r="P3" s="2135"/>
      <c r="Q3" s="2135"/>
      <c r="R3" s="2135"/>
    </row>
    <row r="4" spans="1:18" x14ac:dyDescent="0.2">
      <c r="A4" s="2136" t="s">
        <v>1635</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Dupo Community Unit School District No. 196</v>
      </c>
      <c r="E7" s="391"/>
      <c r="G7" s="252"/>
      <c r="H7" s="387"/>
      <c r="I7" s="387"/>
      <c r="J7" s="387"/>
      <c r="K7" s="387"/>
      <c r="L7" s="329"/>
      <c r="M7" s="329"/>
      <c r="N7" s="329"/>
      <c r="O7" s="329"/>
      <c r="P7" s="329"/>
    </row>
    <row r="8" spans="1:18" ht="12.75" x14ac:dyDescent="0.2">
      <c r="A8" s="329"/>
      <c r="B8" s="329"/>
      <c r="C8" s="389" t="s">
        <v>1187</v>
      </c>
      <c r="D8" s="392" t="str">
        <f>COVER!A13</f>
        <v>50-082-1960-26</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5336881</v>
      </c>
      <c r="I12" s="404"/>
      <c r="J12" s="404"/>
      <c r="K12" s="405">
        <f>TRUNC((H12/H13*100000),5)/100000</f>
        <v>0.51200764809999999</v>
      </c>
      <c r="L12" s="406"/>
      <c r="M12" s="360" t="s">
        <v>1206</v>
      </c>
      <c r="N12" s="360"/>
      <c r="O12" s="407">
        <v>0.35</v>
      </c>
      <c r="P12" s="218"/>
      <c r="Q12" s="218"/>
    </row>
    <row r="13" spans="1:18" s="408" customFormat="1" ht="12.75" x14ac:dyDescent="0.2">
      <c r="A13" s="218"/>
      <c r="B13" s="401"/>
      <c r="C13" s="2132" t="s">
        <v>1391</v>
      </c>
      <c r="D13" s="2133"/>
      <c r="E13" s="218"/>
      <c r="F13" s="409" t="s">
        <v>826</v>
      </c>
      <c r="G13" s="402"/>
      <c r="H13" s="403">
        <f>SUM('Acct Summary 7-8'!C8+'Acct Summary 7-8'!D8+'Acct Summary 7-8'!F8+'Acct Summary 7-8'!I8)+H14</f>
        <v>10423440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9429213</v>
      </c>
      <c r="I17" s="404"/>
      <c r="J17" s="416"/>
      <c r="K17" s="405">
        <f>TRUNC((H17/H18*100000),5)/100000</f>
        <v>0.90461623030000005</v>
      </c>
      <c r="L17" s="406"/>
      <c r="M17" s="417" t="s">
        <v>1233</v>
      </c>
      <c r="O17" s="418" t="str">
        <f>IF(AND(O16="2", J20 &gt; 2),"1",IF(AND(O16 = "1", J20 &gt; 2),"2",IF(AND(O16="1", J20 &gt;1),"1","0")))</f>
        <v>0</v>
      </c>
      <c r="P17" s="218"/>
    </row>
    <row r="18" spans="1:18" s="408" customFormat="1" ht="11.25" x14ac:dyDescent="0.2">
      <c r="A18" s="218"/>
      <c r="B18" s="401"/>
      <c r="C18" s="2132" t="s">
        <v>1384</v>
      </c>
      <c r="D18" s="2133"/>
      <c r="E18" s="218"/>
      <c r="F18" s="419" t="s">
        <v>827</v>
      </c>
      <c r="G18" s="402"/>
      <c r="H18" s="403">
        <f>SUM('Acct Summary 7-8'!C8+'Acct Summary 7-8'!D8+'Acct Summary 7-8'!F8+'Acct Summary 7-8'!I8)+H19</f>
        <v>10423440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9" t="s">
        <v>1479</v>
      </c>
      <c r="D24" s="2129"/>
      <c r="E24" s="218"/>
      <c r="F24" s="218" t="s">
        <v>465</v>
      </c>
      <c r="G24" s="402"/>
      <c r="H24" s="403">
        <f>SUM('Assets-Liab 5-6'!C4+'Assets-Liab 5-6'!D4+'Assets-Liab 5-6'!F4+'Assets-Liab 5-6'!I4+'Assets-Liab 5-6'!C5+'Assets-Liab 5-6'!D5+'Assets-Liab 5-6'!F5+'Assets-Liab 5-6'!I5)</f>
        <v>5336881</v>
      </c>
      <c r="I24" s="422"/>
      <c r="J24" s="422"/>
      <c r="K24" s="423">
        <f>TRUNC(((H24/H25*100000)/100000),2)</f>
        <v>203.75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26192.258330000001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1543807.7374499999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6665000</v>
      </c>
      <c r="I32" s="420"/>
      <c r="J32" s="420"/>
      <c r="K32" s="423">
        <f>TRUNC(100-((((H32/H33*100))*100)/100),2)</f>
        <v>28.2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9283026.9180000015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15" activePane="bottomLeft" state="frozen"/>
      <selection activeCell="C30" sqref="C30"/>
      <selection pane="bottomLeft" activeCell="C30" sqref="C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9" t="s">
        <v>1030</v>
      </c>
      <c r="B3" s="2140"/>
      <c r="C3" s="1581"/>
      <c r="D3" s="1582"/>
      <c r="E3" s="1582"/>
      <c r="F3" s="1582"/>
      <c r="G3" s="1582"/>
      <c r="H3" s="1582"/>
      <c r="I3" s="1582"/>
      <c r="J3" s="1582"/>
      <c r="K3" s="1582"/>
      <c r="L3" s="1582"/>
      <c r="M3" s="1583"/>
      <c r="N3" s="1584"/>
    </row>
    <row r="4" spans="1:14" ht="13.5" customHeight="1" x14ac:dyDescent="0.2">
      <c r="A4" s="463" t="s">
        <v>1750</v>
      </c>
      <c r="B4" s="464"/>
      <c r="C4" s="465">
        <f>3031252+33289+8814</f>
        <v>3073355</v>
      </c>
      <c r="D4" s="466">
        <v>227513</v>
      </c>
      <c r="E4" s="466">
        <v>383349</v>
      </c>
      <c r="F4" s="466">
        <v>545381</v>
      </c>
      <c r="G4" s="466">
        <v>683802</v>
      </c>
      <c r="H4" s="466"/>
      <c r="I4" s="466">
        <v>1490632</v>
      </c>
      <c r="J4" s="467">
        <v>151522</v>
      </c>
      <c r="K4" s="466">
        <v>122980</v>
      </c>
      <c r="L4" s="466">
        <v>171765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3073355</v>
      </c>
      <c r="D13" s="1759">
        <f t="shared" ref="D13:L13" si="0">SUM(D4:D12)</f>
        <v>227513</v>
      </c>
      <c r="E13" s="1759">
        <f t="shared" si="0"/>
        <v>383349</v>
      </c>
      <c r="F13" s="1759">
        <f t="shared" si="0"/>
        <v>545381</v>
      </c>
      <c r="G13" s="1759">
        <f t="shared" si="0"/>
        <v>683802</v>
      </c>
      <c r="H13" s="1759">
        <f t="shared" si="0"/>
        <v>0</v>
      </c>
      <c r="I13" s="1759">
        <f t="shared" si="0"/>
        <v>1490632</v>
      </c>
      <c r="J13" s="1759">
        <f t="shared" si="0"/>
        <v>151522</v>
      </c>
      <c r="K13" s="1759">
        <f t="shared" si="0"/>
        <v>122980</v>
      </c>
      <c r="L13" s="1759">
        <f t="shared" si="0"/>
        <v>171765</v>
      </c>
      <c r="M13" s="468"/>
      <c r="N13" s="469"/>
    </row>
    <row r="14" spans="1:14" ht="18" customHeight="1" thickTop="1" x14ac:dyDescent="0.2">
      <c r="A14" s="2141" t="s">
        <v>149</v>
      </c>
      <c r="B14" s="214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69455</v>
      </c>
      <c r="N16" s="484"/>
    </row>
    <row r="17" spans="1:14" s="485" customFormat="1" ht="12.75" customHeight="1" x14ac:dyDescent="0.2">
      <c r="A17" s="482" t="s">
        <v>1470</v>
      </c>
      <c r="B17" s="483">
        <v>230</v>
      </c>
      <c r="C17" s="477"/>
      <c r="D17" s="477"/>
      <c r="E17" s="477"/>
      <c r="F17" s="477"/>
      <c r="G17" s="477"/>
      <c r="H17" s="477"/>
      <c r="I17" s="477"/>
      <c r="J17" s="477"/>
      <c r="K17" s="477"/>
      <c r="L17" s="477"/>
      <c r="M17" s="467">
        <v>12114209</v>
      </c>
      <c r="N17" s="484"/>
    </row>
    <row r="18" spans="1:14" s="485" customFormat="1" ht="12.75" customHeight="1" x14ac:dyDescent="0.2">
      <c r="A18" s="482" t="s">
        <v>1471</v>
      </c>
      <c r="B18" s="483">
        <v>240</v>
      </c>
      <c r="C18" s="477"/>
      <c r="D18" s="477"/>
      <c r="E18" s="477"/>
      <c r="F18" s="477"/>
      <c r="G18" s="477"/>
      <c r="H18" s="477"/>
      <c r="I18" s="477"/>
      <c r="J18" s="477"/>
      <c r="K18" s="477"/>
      <c r="L18" s="477"/>
      <c r="M18" s="467">
        <v>601075</v>
      </c>
      <c r="N18" s="484"/>
    </row>
    <row r="19" spans="1:14" s="485" customFormat="1" ht="12.75" customHeight="1" x14ac:dyDescent="0.2">
      <c r="A19" s="482" t="s">
        <v>1472</v>
      </c>
      <c r="B19" s="483">
        <v>250</v>
      </c>
      <c r="C19" s="477"/>
      <c r="D19" s="477"/>
      <c r="E19" s="477"/>
      <c r="F19" s="477"/>
      <c r="G19" s="477"/>
      <c r="H19" s="477"/>
      <c r="I19" s="477"/>
      <c r="J19" s="477"/>
      <c r="K19" s="477"/>
      <c r="L19" s="477"/>
      <c r="M19" s="467">
        <v>313545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383349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6281651</v>
      </c>
    </row>
    <row r="23" spans="1:14" ht="13.5" customHeight="1" thickBot="1" x14ac:dyDescent="0.25">
      <c r="A23" s="1758" t="s">
        <v>664</v>
      </c>
      <c r="B23" s="1763"/>
      <c r="C23" s="468"/>
      <c r="D23" s="468"/>
      <c r="E23" s="468"/>
      <c r="F23" s="468"/>
      <c r="G23" s="468"/>
      <c r="H23" s="468"/>
      <c r="I23" s="468"/>
      <c r="J23" s="468"/>
      <c r="K23" s="468"/>
      <c r="L23" s="468"/>
      <c r="M23" s="1710">
        <f>SUM(M15:M22)</f>
        <v>13098284</v>
      </c>
      <c r="N23" s="1710">
        <f>SUM(N21:N22)</f>
        <v>6665000</v>
      </c>
    </row>
    <row r="24" spans="1:14" ht="18" customHeight="1" thickTop="1" x14ac:dyDescent="0.2">
      <c r="A24" s="2143" t="s">
        <v>619</v>
      </c>
      <c r="B24" s="214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171765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171765</v>
      </c>
      <c r="M34" s="468"/>
      <c r="N34" s="480"/>
    </row>
    <row r="35" spans="1:14" ht="18" customHeight="1" thickTop="1" x14ac:dyDescent="0.2">
      <c r="A35" s="2145" t="s">
        <v>550</v>
      </c>
      <c r="B35" s="214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6665000</v>
      </c>
    </row>
    <row r="37" spans="1:14" ht="13.5" thickBot="1" x14ac:dyDescent="0.25">
      <c r="A37" s="1758" t="s">
        <v>674</v>
      </c>
      <c r="B37" s="1763"/>
      <c r="C37" s="477"/>
      <c r="D37" s="477"/>
      <c r="E37" s="477"/>
      <c r="F37" s="477"/>
      <c r="G37" s="477"/>
      <c r="H37" s="477"/>
      <c r="I37" s="477"/>
      <c r="J37" s="477"/>
      <c r="K37" s="477"/>
      <c r="L37" s="480"/>
      <c r="M37" s="468"/>
      <c r="N37" s="1710">
        <f>SUM(N36:N36)</f>
        <v>6665000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3073355</v>
      </c>
      <c r="D39" s="466">
        <v>227513</v>
      </c>
      <c r="E39" s="466">
        <v>383349</v>
      </c>
      <c r="F39" s="466">
        <v>545381</v>
      </c>
      <c r="G39" s="466">
        <v>683802</v>
      </c>
      <c r="H39" s="466"/>
      <c r="I39" s="466">
        <v>1490632</v>
      </c>
      <c r="J39" s="467">
        <v>151522</v>
      </c>
      <c r="K39" s="466">
        <v>122980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13098284</v>
      </c>
      <c r="N40" s="497"/>
    </row>
    <row r="41" spans="1:14" ht="13.5" customHeight="1" thickBot="1" x14ac:dyDescent="0.25">
      <c r="A41" s="1758" t="s">
        <v>676</v>
      </c>
      <c r="B41" s="1728"/>
      <c r="C41" s="1710">
        <f>(SUM(C34,C37,C38,C39))</f>
        <v>3073355</v>
      </c>
      <c r="D41" s="1710">
        <f t="shared" ref="D41:L41" si="2">SUM(D34,D37,D38:D39)</f>
        <v>227513</v>
      </c>
      <c r="E41" s="1710">
        <f t="shared" si="2"/>
        <v>383349</v>
      </c>
      <c r="F41" s="1710">
        <f t="shared" si="2"/>
        <v>545381</v>
      </c>
      <c r="G41" s="1710">
        <f t="shared" si="2"/>
        <v>683802</v>
      </c>
      <c r="H41" s="1710">
        <f t="shared" si="2"/>
        <v>0</v>
      </c>
      <c r="I41" s="1710">
        <f t="shared" si="2"/>
        <v>1490632</v>
      </c>
      <c r="J41" s="1710">
        <f t="shared" si="2"/>
        <v>151522</v>
      </c>
      <c r="K41" s="1710">
        <f t="shared" si="2"/>
        <v>122980</v>
      </c>
      <c r="L41" s="1710">
        <f t="shared" si="2"/>
        <v>171765</v>
      </c>
      <c r="M41" s="1710">
        <f>SUM(M40)</f>
        <v>13098284</v>
      </c>
      <c r="N41" s="1710">
        <f>SUM(N37)</f>
        <v>6665000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8" activePane="bottomLeft" state="frozenSplit"/>
      <selection activeCell="C30" sqref="C30"/>
      <selection pane="bottomLeft" activeCell="C30" sqref="C3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7" t="s">
        <v>1237</v>
      </c>
      <c r="B3" s="2168"/>
      <c r="C3" s="1595"/>
      <c r="D3" s="1596"/>
      <c r="E3" s="1596"/>
      <c r="F3" s="1596"/>
      <c r="G3" s="1596"/>
      <c r="H3" s="1596"/>
      <c r="I3" s="1596"/>
      <c r="J3" s="1596"/>
      <c r="K3" s="1597"/>
      <c r="L3" s="506"/>
    </row>
    <row r="4" spans="1:13" ht="15.75" customHeight="1" x14ac:dyDescent="0.2">
      <c r="A4" s="1954" t="s">
        <v>1579</v>
      </c>
      <c r="B4" s="1955">
        <v>1000</v>
      </c>
      <c r="C4" s="1764">
        <f>'Revenues 9-14'!C109</f>
        <v>2069024</v>
      </c>
      <c r="D4" s="1764">
        <f>'Revenues 9-14'!D109</f>
        <v>486497</v>
      </c>
      <c r="E4" s="1764">
        <f>'Revenues 9-14'!E109</f>
        <v>875406</v>
      </c>
      <c r="F4" s="1764">
        <f>'Revenues 9-14'!F109</f>
        <v>150848</v>
      </c>
      <c r="G4" s="1764">
        <f>'Revenues 9-14'!G109</f>
        <v>534095</v>
      </c>
      <c r="H4" s="1764">
        <f>'Revenues 9-14'!H109</f>
        <v>0</v>
      </c>
      <c r="I4" s="1764">
        <f>'Revenues 9-14'!I109</f>
        <v>87864</v>
      </c>
      <c r="J4" s="1764">
        <f>'Revenues 9-14'!J109</f>
        <v>494526</v>
      </c>
      <c r="K4" s="1764">
        <f>'Revenues 9-14'!K109</f>
        <v>37518</v>
      </c>
      <c r="L4" s="347"/>
    </row>
    <row r="5" spans="1:13" ht="15.75" customHeight="1" x14ac:dyDescent="0.2">
      <c r="A5" s="1598" t="s">
        <v>1580</v>
      </c>
      <c r="B5" s="1599">
        <v>2000</v>
      </c>
      <c r="C5" s="1765">
        <f>'Revenues 9-14'!C114</f>
        <v>51492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6145179</v>
      </c>
      <c r="D6" s="1765">
        <f>'Revenues 9-14'!D173</f>
        <v>0</v>
      </c>
      <c r="E6" s="1765">
        <f>'Revenues 9-14'!E173</f>
        <v>0</v>
      </c>
      <c r="F6" s="1765">
        <f>'Revenues 9-14'!F173</f>
        <v>409149</v>
      </c>
      <c r="G6" s="1765">
        <f>'Revenues 9-14'!G173</f>
        <v>7047</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1015887</v>
      </c>
      <c r="D7" s="1765">
        <f>'Revenues 9-14'!D274</f>
        <v>7500</v>
      </c>
      <c r="E7" s="1765">
        <f>'Revenues 9-14'!E274</f>
        <v>0</v>
      </c>
      <c r="F7" s="1765">
        <f>'Revenues 9-14'!F274</f>
        <v>0</v>
      </c>
      <c r="G7" s="1765">
        <f>'Revenues 9-14'!G274</f>
        <v>27401</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9281582</v>
      </c>
      <c r="D8" s="1710">
        <f t="shared" ref="D8:K8" si="0">SUM(D4:D7)</f>
        <v>493997</v>
      </c>
      <c r="E8" s="1710">
        <f t="shared" si="0"/>
        <v>875406</v>
      </c>
      <c r="F8" s="1710">
        <f t="shared" si="0"/>
        <v>559997</v>
      </c>
      <c r="G8" s="1710">
        <f t="shared" si="0"/>
        <v>568543</v>
      </c>
      <c r="H8" s="1710">
        <f t="shared" si="0"/>
        <v>0</v>
      </c>
      <c r="I8" s="1710">
        <f t="shared" si="0"/>
        <v>87864</v>
      </c>
      <c r="J8" s="1710">
        <f t="shared" si="0"/>
        <v>494526</v>
      </c>
      <c r="K8" s="1710">
        <f t="shared" si="0"/>
        <v>37518</v>
      </c>
      <c r="L8" s="347"/>
    </row>
    <row r="9" spans="1:13" ht="15.75" thickTop="1" x14ac:dyDescent="0.2">
      <c r="A9" s="514" t="s">
        <v>1752</v>
      </c>
      <c r="B9" s="515">
        <v>3998</v>
      </c>
      <c r="C9" s="481">
        <v>3739733</v>
      </c>
      <c r="D9" s="516"/>
      <c r="E9" s="481"/>
      <c r="F9" s="481"/>
      <c r="G9" s="517"/>
      <c r="H9" s="481"/>
      <c r="I9" s="509" t="s">
        <v>1231</v>
      </c>
      <c r="J9" s="478"/>
      <c r="K9" s="481"/>
      <c r="L9" s="347"/>
    </row>
    <row r="10" spans="1:13" s="519" customFormat="1" ht="13.5" thickBot="1" x14ac:dyDescent="0.25">
      <c r="A10" s="1758" t="s">
        <v>1235</v>
      </c>
      <c r="B10" s="1731"/>
      <c r="C10" s="1710">
        <f>SUM(C8:C9)</f>
        <v>13021315</v>
      </c>
      <c r="D10" s="1710">
        <f t="shared" ref="D10:K10" si="1">SUM(D8:D9)</f>
        <v>493997</v>
      </c>
      <c r="E10" s="1710">
        <f t="shared" si="1"/>
        <v>875406</v>
      </c>
      <c r="F10" s="1710">
        <f t="shared" si="1"/>
        <v>559997</v>
      </c>
      <c r="G10" s="1710">
        <f t="shared" si="1"/>
        <v>568543</v>
      </c>
      <c r="H10" s="1710">
        <f t="shared" si="1"/>
        <v>0</v>
      </c>
      <c r="I10" s="1710">
        <f t="shared" si="1"/>
        <v>87864</v>
      </c>
      <c r="J10" s="1710">
        <f t="shared" si="1"/>
        <v>494526</v>
      </c>
      <c r="K10" s="1710">
        <f t="shared" si="1"/>
        <v>37518</v>
      </c>
      <c r="L10" s="518"/>
    </row>
    <row r="11" spans="1:13" s="519" customFormat="1" ht="16.7" customHeight="1" thickTop="1" x14ac:dyDescent="0.2">
      <c r="A11" s="2141" t="s">
        <v>1238</v>
      </c>
      <c r="B11" s="2142"/>
      <c r="C11" s="1592"/>
      <c r="D11" s="1593"/>
      <c r="E11" s="1593"/>
      <c r="F11" s="1593"/>
      <c r="G11" s="1593"/>
      <c r="H11" s="1593"/>
      <c r="I11" s="1593"/>
      <c r="J11" s="1593"/>
      <c r="K11" s="1594"/>
      <c r="L11" s="518"/>
    </row>
    <row r="12" spans="1:13" ht="15.75" customHeight="1" x14ac:dyDescent="0.2">
      <c r="A12" s="1598" t="s">
        <v>476</v>
      </c>
      <c r="B12" s="1600">
        <v>1000</v>
      </c>
      <c r="C12" s="1764">
        <f>'Expenditures 15-22'!K33</f>
        <v>5185996</v>
      </c>
      <c r="D12" s="520" t="s">
        <v>1231</v>
      </c>
      <c r="E12" s="468" t="s">
        <v>1231</v>
      </c>
      <c r="F12" s="468" t="s">
        <v>1231</v>
      </c>
      <c r="G12" s="1764">
        <f>'Expenditures 15-22'!K229</f>
        <v>96011</v>
      </c>
      <c r="H12" s="521"/>
      <c r="I12" s="468" t="s">
        <v>1231</v>
      </c>
      <c r="J12" s="468" t="s">
        <v>1231</v>
      </c>
      <c r="K12" s="521" t="s">
        <v>1231</v>
      </c>
      <c r="L12" s="347"/>
    </row>
    <row r="13" spans="1:13" ht="15.75" customHeight="1" x14ac:dyDescent="0.2">
      <c r="A13" s="1598" t="s">
        <v>477</v>
      </c>
      <c r="B13" s="1600">
        <v>2000</v>
      </c>
      <c r="C13" s="1765">
        <f>'Expenditures 15-22'!K74</f>
        <v>3123079</v>
      </c>
      <c r="D13" s="1765">
        <f>'Expenditures 15-22'!K129</f>
        <v>481736</v>
      </c>
      <c r="E13" s="469" t="s">
        <v>1231</v>
      </c>
      <c r="F13" s="1765">
        <f>'Expenditures 15-22'!K184</f>
        <v>533431</v>
      </c>
      <c r="G13" s="1765">
        <f>'Expenditures 15-22'!K279</f>
        <v>231278</v>
      </c>
      <c r="H13" s="1765">
        <f>'Expenditures 15-22'!K303</f>
        <v>0</v>
      </c>
      <c r="I13" s="468" t="s">
        <v>1231</v>
      </c>
      <c r="J13" s="1765">
        <f>'Expenditures 15-22'!K330</f>
        <v>415821</v>
      </c>
      <c r="K13" s="1769">
        <f>'Expenditures 15-22'!K352</f>
        <v>0</v>
      </c>
      <c r="L13" s="347"/>
    </row>
    <row r="14" spans="1:13" ht="15.75" customHeight="1" x14ac:dyDescent="0.2">
      <c r="A14" s="1598" t="s">
        <v>469</v>
      </c>
      <c r="B14" s="1600">
        <v>3000</v>
      </c>
      <c r="C14" s="1765">
        <f>'Expenditures 15-22'!K75</f>
        <v>18493</v>
      </c>
      <c r="D14" s="1765">
        <f>'Expenditures 15-22'!K130</f>
        <v>0</v>
      </c>
      <c r="E14" s="520" t="s">
        <v>1231</v>
      </c>
      <c r="F14" s="1765">
        <f>'Expenditures 15-22'!K185</f>
        <v>0</v>
      </c>
      <c r="G14" s="1765">
        <f>'Expenditures 15-22'!K280</f>
        <v>124</v>
      </c>
      <c r="H14" s="512"/>
      <c r="I14" s="468" t="s">
        <v>1231</v>
      </c>
      <c r="J14" s="468" t="s">
        <v>1231</v>
      </c>
      <c r="K14" s="512" t="s">
        <v>1231</v>
      </c>
      <c r="L14" s="347"/>
    </row>
    <row r="15" spans="1:13" ht="15.75" customHeight="1" x14ac:dyDescent="0.2">
      <c r="A15" s="1598" t="s">
        <v>109</v>
      </c>
      <c r="B15" s="1600">
        <v>4000</v>
      </c>
      <c r="C15" s="1765">
        <f>'Expenditures 15-22'!K102</f>
        <v>86478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658507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8414046</v>
      </c>
      <c r="D17" s="1710">
        <f t="shared" si="2"/>
        <v>481736</v>
      </c>
      <c r="E17" s="1710">
        <f t="shared" si="2"/>
        <v>658507</v>
      </c>
      <c r="F17" s="1710">
        <f t="shared" si="2"/>
        <v>533431</v>
      </c>
      <c r="G17" s="1710">
        <f t="shared" si="2"/>
        <v>327413</v>
      </c>
      <c r="H17" s="1710">
        <f t="shared" si="2"/>
        <v>0</v>
      </c>
      <c r="I17" s="468"/>
      <c r="J17" s="1710">
        <f>SUM(J12:J16)</f>
        <v>415821</v>
      </c>
      <c r="K17" s="1710">
        <f>SUM(K12:K16)</f>
        <v>0</v>
      </c>
      <c r="L17" s="347"/>
    </row>
    <row r="18" spans="1:12" ht="15" customHeight="1" thickTop="1" x14ac:dyDescent="0.2">
      <c r="A18" s="1766" t="s">
        <v>1753</v>
      </c>
      <c r="B18" s="1767">
        <v>4180</v>
      </c>
      <c r="C18" s="1764">
        <f t="shared" ref="C18:H18" si="3">C9</f>
        <v>3739733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12153779</v>
      </c>
      <c r="D19" s="1710">
        <f t="shared" si="4"/>
        <v>481736</v>
      </c>
      <c r="E19" s="1710">
        <f t="shared" si="4"/>
        <v>658507</v>
      </c>
      <c r="F19" s="1710">
        <f t="shared" si="4"/>
        <v>533431</v>
      </c>
      <c r="G19" s="1710">
        <f t="shared" si="4"/>
        <v>327413</v>
      </c>
      <c r="H19" s="1710">
        <f t="shared" si="4"/>
        <v>0</v>
      </c>
      <c r="I19" s="468"/>
      <c r="J19" s="1710">
        <f>SUM(J17:J18)</f>
        <v>415821</v>
      </c>
      <c r="K19" s="1710">
        <f>SUM(K17:K18)</f>
        <v>0</v>
      </c>
      <c r="L19" s="347"/>
    </row>
    <row r="20" spans="1:12" ht="16.5" thickTop="1" thickBot="1" x14ac:dyDescent="0.25">
      <c r="A20" s="2157" t="s">
        <v>1754</v>
      </c>
      <c r="B20" s="2158"/>
      <c r="C20" s="1768">
        <f>C8-C17</f>
        <v>867536</v>
      </c>
      <c r="D20" s="1768">
        <f t="shared" ref="D20:K20" si="5">D8-D17</f>
        <v>12261</v>
      </c>
      <c r="E20" s="1768">
        <f t="shared" si="5"/>
        <v>216899</v>
      </c>
      <c r="F20" s="1768">
        <f t="shared" si="5"/>
        <v>26566</v>
      </c>
      <c r="G20" s="1768">
        <f t="shared" si="5"/>
        <v>241130</v>
      </c>
      <c r="H20" s="1768">
        <f t="shared" si="5"/>
        <v>0</v>
      </c>
      <c r="I20" s="1768">
        <f t="shared" si="5"/>
        <v>87864</v>
      </c>
      <c r="J20" s="1768">
        <f t="shared" si="5"/>
        <v>78705</v>
      </c>
      <c r="K20" s="1768">
        <f t="shared" si="5"/>
        <v>37518</v>
      </c>
      <c r="L20" s="347"/>
    </row>
    <row r="21" spans="1:12" ht="16.7" customHeight="1" thickTop="1" x14ac:dyDescent="0.2">
      <c r="A21" s="2169" t="s">
        <v>616</v>
      </c>
      <c r="B21" s="2170"/>
      <c r="C21" s="1592"/>
      <c r="D21" s="1593"/>
      <c r="E21" s="1593"/>
      <c r="F21" s="1593"/>
      <c r="G21" s="1593"/>
      <c r="H21" s="1593"/>
      <c r="I21" s="1593"/>
      <c r="J21" s="1593"/>
      <c r="K21" s="1594"/>
      <c r="L21" s="524"/>
    </row>
    <row r="22" spans="1:12" ht="15.75" customHeight="1" collapsed="1" x14ac:dyDescent="0.2">
      <c r="A22" s="2165" t="s">
        <v>617</v>
      </c>
      <c r="B22" s="2166"/>
      <c r="C22" s="477"/>
      <c r="D22" s="477"/>
      <c r="E22" s="477"/>
      <c r="F22" s="477"/>
      <c r="G22" s="477"/>
      <c r="H22" s="477"/>
      <c r="I22" s="477"/>
      <c r="J22" s="477"/>
      <c r="K22" s="477"/>
      <c r="L22" s="347"/>
    </row>
    <row r="23" spans="1:12" s="485" customFormat="1" ht="15.75" customHeight="1" x14ac:dyDescent="0.2">
      <c r="A23" s="2161" t="s">
        <v>311</v>
      </c>
      <c r="B23" s="216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63" t="s">
        <v>1038</v>
      </c>
      <c r="B32" s="216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5" t="s">
        <v>110</v>
      </c>
      <c r="B45" s="2166"/>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7" t="s">
        <v>460</v>
      </c>
      <c r="B76" s="2148"/>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9" t="s">
        <v>1239</v>
      </c>
      <c r="B77" s="2150"/>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3" t="s">
        <v>618</v>
      </c>
      <c r="B78" s="2154"/>
      <c r="C78" s="1724">
        <f t="shared" ref="C78:K78" si="9">C20+C77</f>
        <v>867536</v>
      </c>
      <c r="D78" s="1724">
        <f t="shared" si="9"/>
        <v>12261</v>
      </c>
      <c r="E78" s="1724">
        <f t="shared" si="9"/>
        <v>216899</v>
      </c>
      <c r="F78" s="1724">
        <f t="shared" si="9"/>
        <v>26566</v>
      </c>
      <c r="G78" s="1724">
        <f t="shared" si="9"/>
        <v>241130</v>
      </c>
      <c r="H78" s="1724">
        <f t="shared" si="9"/>
        <v>0</v>
      </c>
      <c r="I78" s="1724">
        <f t="shared" si="9"/>
        <v>87864</v>
      </c>
      <c r="J78" s="1724">
        <f t="shared" si="9"/>
        <v>78705</v>
      </c>
      <c r="K78" s="1724">
        <f t="shared" si="9"/>
        <v>37518</v>
      </c>
      <c r="L78" s="533"/>
    </row>
    <row r="79" spans="1:12" ht="13.5" thickTop="1" x14ac:dyDescent="0.2">
      <c r="A79" s="1516" t="s">
        <v>2069</v>
      </c>
      <c r="B79" s="534"/>
      <c r="C79" s="478"/>
      <c r="D79" s="535">
        <v>215252</v>
      </c>
      <c r="E79" s="535">
        <v>166450</v>
      </c>
      <c r="F79" s="535">
        <v>518815</v>
      </c>
      <c r="G79" s="535">
        <v>442672</v>
      </c>
      <c r="H79" s="535"/>
      <c r="I79" s="535">
        <v>1402768</v>
      </c>
      <c r="J79" s="535">
        <v>72817</v>
      </c>
      <c r="K79" s="535">
        <v>85462</v>
      </c>
      <c r="L79" s="347"/>
    </row>
    <row r="80" spans="1:12" x14ac:dyDescent="0.2">
      <c r="A80" s="2159" t="s">
        <v>1896</v>
      </c>
      <c r="B80" s="2160"/>
      <c r="C80" s="467">
        <v>2205819</v>
      </c>
      <c r="D80" s="467"/>
      <c r="E80" s="467"/>
      <c r="F80" s="467"/>
      <c r="G80" s="467"/>
      <c r="H80" s="467"/>
      <c r="I80" s="467"/>
      <c r="J80" s="467"/>
      <c r="K80" s="467"/>
      <c r="L80" s="347"/>
    </row>
    <row r="81" spans="1:12" ht="13.5" thickBot="1" x14ac:dyDescent="0.25">
      <c r="A81" s="2151" t="s">
        <v>2070</v>
      </c>
      <c r="B81" s="2152"/>
      <c r="C81" s="1710">
        <f>(SUM(C78:C80))</f>
        <v>3073355</v>
      </c>
      <c r="D81" s="1710">
        <f>SUM(D78:D80)</f>
        <v>227513</v>
      </c>
      <c r="E81" s="1710">
        <f t="shared" ref="E81:K81" si="10">SUM(E78:E80)</f>
        <v>383349</v>
      </c>
      <c r="F81" s="1710">
        <f t="shared" si="10"/>
        <v>545381</v>
      </c>
      <c r="G81" s="1710">
        <f t="shared" si="10"/>
        <v>683802</v>
      </c>
      <c r="H81" s="1710">
        <f t="shared" si="10"/>
        <v>0</v>
      </c>
      <c r="I81" s="1710">
        <f t="shared" si="10"/>
        <v>1490632</v>
      </c>
      <c r="J81" s="1710">
        <f t="shared" si="10"/>
        <v>151522</v>
      </c>
      <c r="K81" s="1710">
        <f t="shared" si="10"/>
        <v>122980</v>
      </c>
      <c r="L81" s="347"/>
    </row>
    <row r="82" spans="1:12" ht="0.75" customHeight="1" thickTop="1" thickBot="1" x14ac:dyDescent="0.25">
      <c r="A82" s="536" t="s">
        <v>361</v>
      </c>
      <c r="B82" s="537"/>
      <c r="C82" s="538">
        <f>(C81-C79)</f>
        <v>3073355</v>
      </c>
      <c r="D82" s="538">
        <f t="shared" ref="D82:K82" si="11">(D81-D79)</f>
        <v>12261</v>
      </c>
      <c r="E82" s="538">
        <f t="shared" si="11"/>
        <v>216899</v>
      </c>
      <c r="F82" s="538">
        <f t="shared" si="11"/>
        <v>26566</v>
      </c>
      <c r="G82" s="538">
        <f t="shared" si="11"/>
        <v>241130</v>
      </c>
      <c r="H82" s="538">
        <f t="shared" si="11"/>
        <v>0</v>
      </c>
      <c r="I82" s="538">
        <f t="shared" si="11"/>
        <v>87864</v>
      </c>
      <c r="J82" s="538">
        <f t="shared" si="11"/>
        <v>78705</v>
      </c>
      <c r="K82" s="538">
        <f t="shared" si="11"/>
        <v>37518</v>
      </c>
    </row>
    <row r="83" spans="1:12" ht="14.25" hidden="1" thickTop="1" thickBot="1" x14ac:dyDescent="0.25">
      <c r="A83" s="539" t="s">
        <v>362</v>
      </c>
      <c r="B83" s="464"/>
      <c r="C83" s="540">
        <f>C82/C81</f>
        <v>1</v>
      </c>
      <c r="D83" s="540">
        <f t="shared" ref="D83:K83" si="12">D82/D81</f>
        <v>5.3891425984449237E-2</v>
      </c>
      <c r="E83" s="540">
        <f t="shared" si="12"/>
        <v>0.56580035424639163</v>
      </c>
      <c r="F83" s="540">
        <f t="shared" si="12"/>
        <v>4.8710901186509982E-2</v>
      </c>
      <c r="G83" s="540">
        <f t="shared" si="12"/>
        <v>0.35263131725265501</v>
      </c>
      <c r="H83" s="540" t="e">
        <f t="shared" si="12"/>
        <v>#DIV/0!</v>
      </c>
      <c r="I83" s="540">
        <f t="shared" si="12"/>
        <v>5.8944125713120341E-2</v>
      </c>
      <c r="J83" s="540">
        <f t="shared" si="12"/>
        <v>0.5194295217856153</v>
      </c>
      <c r="K83" s="540">
        <f t="shared" si="12"/>
        <v>0.30507399577167021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0" sqref="C3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5" t="s">
        <v>1903</v>
      </c>
      <c r="B1" s="452"/>
      <c r="C1" s="453" t="s">
        <v>445</v>
      </c>
      <c r="D1" s="453" t="s">
        <v>446</v>
      </c>
      <c r="E1" s="453" t="s">
        <v>447</v>
      </c>
      <c r="F1" s="453" t="s">
        <v>448</v>
      </c>
      <c r="G1" s="453" t="s">
        <v>449</v>
      </c>
      <c r="H1" s="453" t="s">
        <v>450</v>
      </c>
      <c r="I1" s="453" t="s">
        <v>451</v>
      </c>
      <c r="J1" s="453" t="s">
        <v>452</v>
      </c>
      <c r="K1" s="453" t="s">
        <v>780</v>
      </c>
    </row>
    <row r="2" spans="1:12" ht="36" x14ac:dyDescent="0.2">
      <c r="A2" s="215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1479490</v>
      </c>
      <c r="D5" s="481">
        <f>358037</f>
        <v>358037</v>
      </c>
      <c r="E5" s="466">
        <f>859093</f>
        <v>859093</v>
      </c>
      <c r="F5" s="548">
        <f>143215</f>
        <v>143215</v>
      </c>
      <c r="G5" s="466">
        <f>233232</f>
        <v>233232</v>
      </c>
      <c r="H5" s="466"/>
      <c r="I5" s="466">
        <v>5282</v>
      </c>
      <c r="J5" s="467">
        <f>490141</f>
        <v>490141</v>
      </c>
      <c r="K5" s="466">
        <f>35804</f>
        <v>35804</v>
      </c>
    </row>
    <row r="6" spans="1:12" ht="15" x14ac:dyDescent="0.2">
      <c r="A6" s="463" t="s">
        <v>1761</v>
      </c>
      <c r="B6" s="470">
        <v>1130</v>
      </c>
      <c r="C6" s="466">
        <v>35804</v>
      </c>
      <c r="D6" s="466"/>
      <c r="E6" s="475"/>
      <c r="F6" s="475"/>
      <c r="G6" s="468"/>
      <c r="H6" s="468"/>
      <c r="I6" s="468"/>
      <c r="J6" s="468"/>
      <c r="K6" s="468"/>
    </row>
    <row r="7" spans="1:12" x14ac:dyDescent="0.2">
      <c r="A7" s="463" t="s">
        <v>112</v>
      </c>
      <c r="B7" s="549">
        <v>1140</v>
      </c>
      <c r="C7" s="466">
        <v>28687</v>
      </c>
      <c r="D7" s="466"/>
      <c r="E7" s="468"/>
      <c r="F7" s="467"/>
      <c r="G7" s="467"/>
      <c r="H7" s="467"/>
      <c r="I7" s="468"/>
      <c r="J7" s="468"/>
      <c r="K7" s="468"/>
    </row>
    <row r="8" spans="1:12" x14ac:dyDescent="0.2">
      <c r="A8" s="463" t="s">
        <v>433</v>
      </c>
      <c r="B8" s="470">
        <v>1150</v>
      </c>
      <c r="C8" s="475"/>
      <c r="D8" s="475"/>
      <c r="E8" s="477"/>
      <c r="F8" s="477"/>
      <c r="G8" s="481">
        <v>261414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1543981</v>
      </c>
      <c r="D12" s="1729">
        <f t="shared" si="0"/>
        <v>358037</v>
      </c>
      <c r="E12" s="1729">
        <f t="shared" si="0"/>
        <v>859093</v>
      </c>
      <c r="F12" s="1729">
        <f t="shared" si="0"/>
        <v>143215</v>
      </c>
      <c r="G12" s="1729">
        <f t="shared" si="0"/>
        <v>494646</v>
      </c>
      <c r="H12" s="1729">
        <f t="shared" si="0"/>
        <v>0</v>
      </c>
      <c r="I12" s="1729">
        <f t="shared" si="0"/>
        <v>5282</v>
      </c>
      <c r="J12" s="1729">
        <f t="shared" si="0"/>
        <v>490141</v>
      </c>
      <c r="K12" s="1710">
        <f t="shared" si="0"/>
        <v>35804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7544</v>
      </c>
      <c r="D14" s="466">
        <v>1732</v>
      </c>
      <c r="E14" s="466">
        <v>4265</v>
      </c>
      <c r="F14" s="466">
        <v>693</v>
      </c>
      <c r="G14" s="466">
        <v>2676</v>
      </c>
      <c r="H14" s="466"/>
      <c r="I14" s="466"/>
      <c r="J14" s="467">
        <v>2071</v>
      </c>
      <c r="K14" s="466">
        <v>173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205724</v>
      </c>
      <c r="D16" s="466"/>
      <c r="E16" s="466">
        <v>7265</v>
      </c>
      <c r="F16" s="466"/>
      <c r="G16" s="466">
        <v>28388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213268</v>
      </c>
      <c r="D18" s="1732">
        <f t="shared" ref="D18:K18" si="1">SUM(D14:D17)</f>
        <v>1732</v>
      </c>
      <c r="E18" s="1732">
        <f t="shared" si="1"/>
        <v>11530</v>
      </c>
      <c r="F18" s="1732">
        <f t="shared" si="1"/>
        <v>693</v>
      </c>
      <c r="G18" s="1732">
        <f t="shared" si="1"/>
        <v>31064</v>
      </c>
      <c r="H18" s="1732">
        <f t="shared" si="1"/>
        <v>0</v>
      </c>
      <c r="I18" s="1732">
        <f t="shared" si="1"/>
        <v>0</v>
      </c>
      <c r="J18" s="1732">
        <f t="shared" si="1"/>
        <v>2071</v>
      </c>
      <c r="K18" s="1733">
        <f t="shared" si="1"/>
        <v>173</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25617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v>900</v>
      </c>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1700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28217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34547</v>
      </c>
      <c r="D65" s="466">
        <v>3470</v>
      </c>
      <c r="E65" s="466">
        <v>4783</v>
      </c>
      <c r="F65" s="467">
        <v>6940</v>
      </c>
      <c r="G65" s="466">
        <v>8385</v>
      </c>
      <c r="H65" s="466"/>
      <c r="I65" s="466">
        <v>18190</v>
      </c>
      <c r="J65" s="467">
        <v>2314</v>
      </c>
      <c r="K65" s="466">
        <v>1541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34547</v>
      </c>
      <c r="D67" s="1710">
        <f t="shared" ref="D67:K67" si="2">SUM(D65:D66)</f>
        <v>3470</v>
      </c>
      <c r="E67" s="1710">
        <f t="shared" si="2"/>
        <v>4783</v>
      </c>
      <c r="F67" s="1710">
        <f t="shared" si="2"/>
        <v>6940</v>
      </c>
      <c r="G67" s="1710">
        <f t="shared" si="2"/>
        <v>8385</v>
      </c>
      <c r="H67" s="1710">
        <f t="shared" si="2"/>
        <v>0</v>
      </c>
      <c r="I67" s="1710">
        <f t="shared" si="2"/>
        <v>18190</v>
      </c>
      <c r="J67" s="1710">
        <f t="shared" si="2"/>
        <v>2314</v>
      </c>
      <c r="K67" s="1710">
        <f t="shared" si="2"/>
        <v>1541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67384</v>
      </c>
      <c r="D69" s="468"/>
      <c r="E69" s="468"/>
      <c r="F69" s="468"/>
      <c r="G69" s="468"/>
      <c r="H69" s="468"/>
      <c r="I69" s="468"/>
      <c r="J69" s="468"/>
      <c r="K69" s="468"/>
    </row>
    <row r="70" spans="1:11" ht="12.75" customHeight="1" x14ac:dyDescent="0.2">
      <c r="A70" s="463" t="s">
        <v>1054</v>
      </c>
      <c r="B70" s="470">
        <v>1612</v>
      </c>
      <c r="C70" s="551">
        <v>6900</v>
      </c>
      <c r="D70" s="468"/>
      <c r="E70" s="468"/>
      <c r="F70" s="468"/>
      <c r="G70" s="468"/>
      <c r="H70" s="468"/>
      <c r="I70" s="468"/>
      <c r="J70" s="468"/>
      <c r="K70" s="468"/>
    </row>
    <row r="71" spans="1:11" ht="12.75" customHeight="1" x14ac:dyDescent="0.2">
      <c r="A71" s="463" t="s">
        <v>291</v>
      </c>
      <c r="B71" s="470">
        <v>1613</v>
      </c>
      <c r="C71" s="551">
        <v>50451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2904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127639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11162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11080+3710+9+2472+1333</f>
        <v>18604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29766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41208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41208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v>100000</v>
      </c>
      <c r="E100" s="489"/>
      <c r="F100" s="489"/>
      <c r="G100" s="489"/>
      <c r="H100" s="489"/>
      <c r="I100" s="467">
        <v>64392</v>
      </c>
      <c r="J100" s="489"/>
      <c r="K100" s="467"/>
    </row>
    <row r="101" spans="1:12" ht="12.75" customHeight="1" x14ac:dyDescent="0.2">
      <c r="A101" s="463" t="s">
        <v>264</v>
      </c>
      <c r="B101" s="470">
        <v>1970</v>
      </c>
      <c r="C101" s="489">
        <v>5445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3+904+44046</f>
        <v>44953</v>
      </c>
      <c r="D107" s="466">
        <v>23258</v>
      </c>
      <c r="E107" s="466"/>
      <c r="F107" s="466"/>
      <c r="G107" s="466"/>
      <c r="H107" s="466"/>
      <c r="I107" s="466"/>
      <c r="J107" s="467"/>
      <c r="K107" s="466"/>
    </row>
    <row r="108" spans="1:12" ht="12.75" customHeight="1" thickBot="1" x14ac:dyDescent="0.25">
      <c r="A108" s="1730" t="s">
        <v>508</v>
      </c>
      <c r="B108" s="1734"/>
      <c r="C108" s="1729">
        <f>SUM(C95:C107)</f>
        <v>50398</v>
      </c>
      <c r="D108" s="1729">
        <f t="shared" ref="D108:K108" si="3">SUM(D95:D107)</f>
        <v>123258</v>
      </c>
      <c r="E108" s="1729">
        <f t="shared" si="3"/>
        <v>0</v>
      </c>
      <c r="F108" s="1729">
        <f t="shared" si="3"/>
        <v>0</v>
      </c>
      <c r="G108" s="1729">
        <f t="shared" si="3"/>
        <v>0</v>
      </c>
      <c r="H108" s="1729">
        <f t="shared" si="3"/>
        <v>0</v>
      </c>
      <c r="I108" s="1729">
        <f t="shared" si="3"/>
        <v>64392</v>
      </c>
      <c r="J108" s="1729">
        <f t="shared" si="3"/>
        <v>0</v>
      </c>
      <c r="K108" s="1710">
        <f t="shared" si="3"/>
        <v>0</v>
      </c>
    </row>
    <row r="109" spans="1:12" ht="14.25" thickTop="1" thickBot="1" x14ac:dyDescent="0.25">
      <c r="A109" s="1735" t="s">
        <v>266</v>
      </c>
      <c r="B109" s="1736" t="s">
        <v>591</v>
      </c>
      <c r="C109" s="1737">
        <f t="shared" ref="C109:K109" si="4">SUM(C12,C18,C40,C63,C67,C75,C82,C93,C108,)</f>
        <v>2069024</v>
      </c>
      <c r="D109" s="1737">
        <f t="shared" si="4"/>
        <v>486497</v>
      </c>
      <c r="E109" s="1737">
        <f t="shared" si="4"/>
        <v>875406</v>
      </c>
      <c r="F109" s="1737">
        <f t="shared" si="4"/>
        <v>150848</v>
      </c>
      <c r="G109" s="1737">
        <f t="shared" si="4"/>
        <v>534095</v>
      </c>
      <c r="H109" s="1737">
        <f t="shared" si="4"/>
        <v>0</v>
      </c>
      <c r="I109" s="1737">
        <f t="shared" si="4"/>
        <v>87864</v>
      </c>
      <c r="J109" s="1737">
        <f t="shared" si="4"/>
        <v>494526</v>
      </c>
      <c r="K109" s="1724">
        <f t="shared" si="4"/>
        <v>37518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51492</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51492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5587906</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5587906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49538</v>
      </c>
      <c r="D124" s="561"/>
      <c r="E124" s="468"/>
      <c r="F124" s="548"/>
      <c r="G124" s="468"/>
      <c r="H124" s="468"/>
      <c r="I124" s="468"/>
      <c r="J124" s="468"/>
      <c r="K124" s="468"/>
    </row>
    <row r="125" spans="1:11" ht="12.75" customHeight="1" x14ac:dyDescent="0.2">
      <c r="A125" s="463" t="s">
        <v>1521</v>
      </c>
      <c r="B125" s="562">
        <v>3105</v>
      </c>
      <c r="C125" s="466">
        <v>71637</v>
      </c>
      <c r="D125" s="561"/>
      <c r="E125" s="468"/>
      <c r="F125" s="466"/>
      <c r="G125" s="468"/>
      <c r="H125" s="468"/>
      <c r="I125" s="468"/>
      <c r="J125" s="468"/>
      <c r="K125" s="468"/>
    </row>
    <row r="126" spans="1:11" ht="12.75" customHeight="1" x14ac:dyDescent="0.2">
      <c r="A126" s="463" t="s">
        <v>922</v>
      </c>
      <c r="B126" s="562">
        <v>3110</v>
      </c>
      <c r="C126" s="551">
        <v>91757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212932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1320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1320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4928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12420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176070</v>
      </c>
      <c r="G151" s="467"/>
      <c r="H151" s="468"/>
      <c r="I151" s="468"/>
      <c r="J151" s="468"/>
      <c r="K151" s="468"/>
    </row>
    <row r="152" spans="1:11" ht="12.75" customHeight="1" x14ac:dyDescent="0.2">
      <c r="A152" s="463" t="s">
        <v>1117</v>
      </c>
      <c r="B152" s="562">
        <v>3510</v>
      </c>
      <c r="C152" s="551"/>
      <c r="D152" s="466"/>
      <c r="E152" s="561"/>
      <c r="F152" s="466">
        <v>213859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389929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324173</v>
      </c>
      <c r="D158" s="578"/>
      <c r="E158" s="561"/>
      <c r="F158" s="576">
        <v>19220</v>
      </c>
      <c r="G158" s="576">
        <v>7047</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5" t="s">
        <v>418</v>
      </c>
      <c r="B172" s="2176"/>
      <c r="C172" s="1744">
        <f t="shared" ref="C172:K172" si="6">SUM(C131,C140,C144,C145:C149,C154,C155:C170,C171)</f>
        <v>557273</v>
      </c>
      <c r="D172" s="1744">
        <f t="shared" si="6"/>
        <v>0</v>
      </c>
      <c r="E172" s="1744">
        <f t="shared" si="6"/>
        <v>0</v>
      </c>
      <c r="F172" s="1744">
        <f t="shared" si="6"/>
        <v>409149</v>
      </c>
      <c r="G172" s="1744">
        <f t="shared" si="6"/>
        <v>7047</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6145179</v>
      </c>
      <c r="D173" s="1737">
        <f>SUM(D121,D172)</f>
        <v>0</v>
      </c>
      <c r="E173" s="1737">
        <f>SUM(E121,E172)</f>
        <v>0</v>
      </c>
      <c r="F173" s="1737">
        <f t="shared" ref="F173:K173" si="7">SUM(F121,F172)</f>
        <v>409149</v>
      </c>
      <c r="G173" s="1737">
        <f t="shared" si="7"/>
        <v>7047</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1" t="s">
        <v>1764</v>
      </c>
      <c r="B178" s="218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5" t="s">
        <v>1763</v>
      </c>
      <c r="B179" s="218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3" t="s">
        <v>818</v>
      </c>
      <c r="B184" s="218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9" t="s">
        <v>1904</v>
      </c>
      <c r="B185" s="218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238807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64868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303675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407964</v>
      </c>
      <c r="D203" s="466"/>
      <c r="E203" s="468"/>
      <c r="F203" s="466"/>
      <c r="G203" s="466">
        <v>1501</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407964</v>
      </c>
      <c r="D211" s="1729">
        <f>SUM(D203:D210)</f>
        <v>0</v>
      </c>
      <c r="E211" s="468"/>
      <c r="F211" s="1729">
        <f>SUM(F203:F210)</f>
        <v>0</v>
      </c>
      <c r="G211" s="1729">
        <f>SUM(G203:G210)</f>
        <v>1501</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13869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208154</v>
      </c>
      <c r="D220" s="466">
        <v>7500</v>
      </c>
      <c r="E220" s="468"/>
      <c r="F220" s="466"/>
      <c r="G220" s="466">
        <v>25780</v>
      </c>
      <c r="H220" s="468"/>
      <c r="I220" s="468"/>
      <c r="J220" s="468"/>
      <c r="K220" s="468"/>
    </row>
    <row r="221" spans="1:11" ht="12.75" customHeight="1" x14ac:dyDescent="0.2">
      <c r="A221" s="463" t="s">
        <v>1114</v>
      </c>
      <c r="B221" s="470">
        <v>4625</v>
      </c>
      <c r="C221" s="551">
        <v>6257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228280</v>
      </c>
      <c r="D224" s="1729">
        <f>SUM(D218:D223)</f>
        <v>7500</v>
      </c>
      <c r="E224" s="468"/>
      <c r="F224" s="1729">
        <f>SUM(F218:F223)</f>
        <v>0</v>
      </c>
      <c r="G224" s="1729">
        <f>SUM(G218:G223)</f>
        <v>25780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19244</v>
      </c>
      <c r="D268" s="576"/>
      <c r="E268" s="468"/>
      <c r="F268" s="576"/>
      <c r="G268" s="576">
        <v>120</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35716</v>
      </c>
      <c r="D270" s="576"/>
      <c r="E270" s="468"/>
      <c r="F270" s="576"/>
      <c r="G270" s="576"/>
      <c r="H270" s="468"/>
      <c r="I270" s="468"/>
      <c r="J270" s="468"/>
      <c r="K270" s="468"/>
    </row>
    <row r="271" spans="1:11" ht="12.75" customHeight="1" thickTop="1" thickBot="1" x14ac:dyDescent="0.25">
      <c r="A271" s="463" t="s">
        <v>395</v>
      </c>
      <c r="B271" s="470">
        <v>4992</v>
      </c>
      <c r="C271" s="575">
        <v>18008</v>
      </c>
      <c r="D271" s="576"/>
      <c r="E271" s="468"/>
      <c r="F271" s="576"/>
      <c r="G271" s="576"/>
      <c r="H271" s="468"/>
      <c r="I271" s="468"/>
      <c r="J271" s="468"/>
      <c r="K271" s="468"/>
    </row>
    <row r="272" spans="1:11" s="594" customFormat="1" ht="12.75" customHeight="1" thickTop="1" thickBot="1" x14ac:dyDescent="0.25">
      <c r="A272" s="563" t="s">
        <v>77</v>
      </c>
      <c r="B272" s="557">
        <v>4999</v>
      </c>
      <c r="C272" s="575">
        <v>3000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1015887</v>
      </c>
      <c r="D273" s="1737">
        <f t="shared" si="10"/>
        <v>7500</v>
      </c>
      <c r="E273" s="1737">
        <f t="shared" si="10"/>
        <v>0</v>
      </c>
      <c r="F273" s="1737">
        <f t="shared" si="10"/>
        <v>0</v>
      </c>
      <c r="G273" s="1737">
        <f t="shared" si="10"/>
        <v>27401</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1015887</v>
      </c>
      <c r="D274" s="1737">
        <f>SUM(D178,D184,D273)</f>
        <v>7500</v>
      </c>
      <c r="E274" s="1737">
        <f>SUM(E178,E273)</f>
        <v>0</v>
      </c>
      <c r="F274" s="1737">
        <f t="shared" ref="F274:K274" si="11">SUM(F178,F184,F273)</f>
        <v>0</v>
      </c>
      <c r="G274" s="1737">
        <f t="shared" si="11"/>
        <v>27401</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9281582</v>
      </c>
      <c r="D275" s="1737">
        <f t="shared" si="12"/>
        <v>493997</v>
      </c>
      <c r="E275" s="1737">
        <f t="shared" si="12"/>
        <v>875406</v>
      </c>
      <c r="F275" s="1737">
        <f t="shared" si="12"/>
        <v>559997</v>
      </c>
      <c r="G275" s="1737">
        <f t="shared" si="12"/>
        <v>568543</v>
      </c>
      <c r="H275" s="1737">
        <f t="shared" si="12"/>
        <v>0</v>
      </c>
      <c r="I275" s="1737">
        <f t="shared" si="12"/>
        <v>87864</v>
      </c>
      <c r="J275" s="1737">
        <f t="shared" si="12"/>
        <v>494526</v>
      </c>
      <c r="K275" s="1724">
        <f t="shared" si="12"/>
        <v>37518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C30" sqref="C30"/>
      <selection pane="bottomLeft" activeCell="E38" sqref="E3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5"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5" t="s">
        <v>315</v>
      </c>
      <c r="B3" s="219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1461378+683127+387221+4500</f>
        <v>2536226</v>
      </c>
      <c r="D5" s="466">
        <f>286943+148065+67737+66</f>
        <v>502811</v>
      </c>
      <c r="E5" s="466">
        <f>223+897+1197+23+29707</f>
        <v>32047</v>
      </c>
      <c r="F5" s="466">
        <f>18080+27801+13000+3735</f>
        <v>62616</v>
      </c>
      <c r="G5" s="466"/>
      <c r="H5" s="466">
        <f>85+155</f>
        <v>240</v>
      </c>
      <c r="I5" s="467"/>
      <c r="J5" s="467"/>
      <c r="K5" s="1693">
        <f>SUM(C5:J5)</f>
        <v>3133940</v>
      </c>
      <c r="L5" s="466">
        <v>3102360</v>
      </c>
    </row>
    <row r="6" spans="1:14" x14ac:dyDescent="0.2">
      <c r="A6" s="1526" t="s">
        <v>1508</v>
      </c>
      <c r="B6" s="615" t="s">
        <v>1506</v>
      </c>
      <c r="C6" s="477"/>
      <c r="D6" s="477"/>
      <c r="E6" s="466"/>
      <c r="F6" s="477"/>
      <c r="G6" s="477"/>
      <c r="H6" s="477"/>
      <c r="I6" s="477"/>
      <c r="J6" s="477"/>
      <c r="K6" s="1693">
        <f>SUM(C6,E6)</f>
        <v>0</v>
      </c>
      <c r="L6" s="466">
        <v>34850</v>
      </c>
    </row>
    <row r="7" spans="1:14" x14ac:dyDescent="0.2">
      <c r="A7" s="1526" t="s">
        <v>165</v>
      </c>
      <c r="B7" s="615" t="s">
        <v>1024</v>
      </c>
      <c r="C7" s="467">
        <v>135817</v>
      </c>
      <c r="D7" s="467">
        <v>25707</v>
      </c>
      <c r="E7" s="467">
        <v>5203</v>
      </c>
      <c r="F7" s="467">
        <v>19373</v>
      </c>
      <c r="G7" s="467"/>
      <c r="H7" s="467"/>
      <c r="I7" s="467">
        <v>6240</v>
      </c>
      <c r="J7" s="467"/>
      <c r="K7" s="1693">
        <f t="shared" ref="K7:K32" si="0">SUM(C7:J7)</f>
        <v>192340</v>
      </c>
      <c r="L7" s="466">
        <v>192840</v>
      </c>
    </row>
    <row r="8" spans="1:14" x14ac:dyDescent="0.2">
      <c r="A8" s="1526" t="s">
        <v>166</v>
      </c>
      <c r="B8" s="615">
        <v>1200</v>
      </c>
      <c r="C8" s="466">
        <f>732144+133573</f>
        <v>865717</v>
      </c>
      <c r="D8" s="466">
        <f>108458+9519</f>
        <v>117977</v>
      </c>
      <c r="E8" s="466">
        <v>2395</v>
      </c>
      <c r="F8" s="466">
        <f>2920+443</f>
        <v>3363</v>
      </c>
      <c r="G8" s="466">
        <v>5318</v>
      </c>
      <c r="H8" s="466"/>
      <c r="I8" s="467"/>
      <c r="J8" s="467"/>
      <c r="K8" s="1693">
        <f t="shared" si="0"/>
        <v>994770</v>
      </c>
      <c r="L8" s="466">
        <v>986890</v>
      </c>
    </row>
    <row r="9" spans="1:14" x14ac:dyDescent="0.2">
      <c r="A9" s="1526" t="s">
        <v>745</v>
      </c>
      <c r="B9" s="615" t="s">
        <v>1025</v>
      </c>
      <c r="C9" s="467">
        <v>17025</v>
      </c>
      <c r="D9" s="467"/>
      <c r="E9" s="467"/>
      <c r="F9" s="467"/>
      <c r="G9" s="467"/>
      <c r="H9" s="467"/>
      <c r="I9" s="467"/>
      <c r="J9" s="467"/>
      <c r="K9" s="1693">
        <f t="shared" si="0"/>
        <v>17025</v>
      </c>
      <c r="L9" s="466">
        <v>16000</v>
      </c>
    </row>
    <row r="10" spans="1:14" x14ac:dyDescent="0.2">
      <c r="A10" s="1526" t="s">
        <v>746</v>
      </c>
      <c r="B10" s="615">
        <v>1250</v>
      </c>
      <c r="C10" s="466">
        <f>159035+8333+5450</f>
        <v>172818</v>
      </c>
      <c r="D10" s="466">
        <f>40923+3349+80</f>
        <v>44352</v>
      </c>
      <c r="E10" s="466">
        <f>2081+1900</f>
        <v>3981</v>
      </c>
      <c r="F10" s="466">
        <v>96221</v>
      </c>
      <c r="G10" s="466"/>
      <c r="H10" s="466"/>
      <c r="I10" s="467">
        <v>7799</v>
      </c>
      <c r="J10" s="467"/>
      <c r="K10" s="1693">
        <f t="shared" si="0"/>
        <v>325171</v>
      </c>
      <c r="L10" s="466">
        <v>415875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65018+5403</f>
        <v>70421</v>
      </c>
      <c r="D13" s="466">
        <v>13327</v>
      </c>
      <c r="E13" s="466">
        <v>6480</v>
      </c>
      <c r="F13" s="466"/>
      <c r="G13" s="466"/>
      <c r="H13" s="466"/>
      <c r="I13" s="467"/>
      <c r="J13" s="467"/>
      <c r="K13" s="1693">
        <f t="shared" si="0"/>
        <v>90228</v>
      </c>
      <c r="L13" s="466">
        <v>89400</v>
      </c>
    </row>
    <row r="14" spans="1:14" x14ac:dyDescent="0.2">
      <c r="A14" s="1526" t="s">
        <v>1020</v>
      </c>
      <c r="B14" s="615">
        <v>1500</v>
      </c>
      <c r="C14" s="466">
        <v>104779</v>
      </c>
      <c r="D14" s="466">
        <v>1286</v>
      </c>
      <c r="E14" s="466">
        <v>39832</v>
      </c>
      <c r="F14" s="466">
        <v>19535</v>
      </c>
      <c r="G14" s="466"/>
      <c r="H14" s="466"/>
      <c r="I14" s="467"/>
      <c r="J14" s="467"/>
      <c r="K14" s="1693">
        <f t="shared" si="0"/>
        <v>165432</v>
      </c>
      <c r="L14" s="466">
        <v>170320</v>
      </c>
    </row>
    <row r="15" spans="1:14" x14ac:dyDescent="0.2">
      <c r="A15" s="1526" t="s">
        <v>1021</v>
      </c>
      <c r="B15" s="615">
        <v>1600</v>
      </c>
      <c r="C15" s="466"/>
      <c r="D15" s="466"/>
      <c r="E15" s="466">
        <v>1200</v>
      </c>
      <c r="F15" s="466"/>
      <c r="G15" s="466"/>
      <c r="H15" s="466"/>
      <c r="I15" s="467"/>
      <c r="J15" s="467"/>
      <c r="K15" s="1693">
        <f t="shared" si="0"/>
        <v>1200</v>
      </c>
      <c r="L15" s="466">
        <v>2500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52497</v>
      </c>
      <c r="D17" s="467">
        <v>10699</v>
      </c>
      <c r="E17" s="467">
        <v>71</v>
      </c>
      <c r="F17" s="467">
        <v>551</v>
      </c>
      <c r="G17" s="467"/>
      <c r="H17" s="467"/>
      <c r="I17" s="467"/>
      <c r="J17" s="467"/>
      <c r="K17" s="1693">
        <f t="shared" si="0"/>
        <v>63818</v>
      </c>
      <c r="L17" s="466">
        <v>56900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202072</v>
      </c>
      <c r="I22" s="617"/>
      <c r="J22" s="477"/>
      <c r="K22" s="1693">
        <f t="shared" si="0"/>
        <v>202072</v>
      </c>
      <c r="L22" s="471">
        <v>192350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3955300</v>
      </c>
      <c r="D33" s="1692">
        <f t="shared" ref="D33:L33" si="1">SUM(D5:D32)</f>
        <v>716159</v>
      </c>
      <c r="E33" s="1692">
        <f t="shared" si="1"/>
        <v>91209</v>
      </c>
      <c r="F33" s="1692">
        <f t="shared" si="1"/>
        <v>201659</v>
      </c>
      <c r="G33" s="1692">
        <f t="shared" si="1"/>
        <v>5318</v>
      </c>
      <c r="H33" s="1692">
        <f t="shared" si="1"/>
        <v>202312</v>
      </c>
      <c r="I33" s="1692">
        <f t="shared" si="1"/>
        <v>14039</v>
      </c>
      <c r="J33" s="1692">
        <f t="shared" si="1"/>
        <v>0</v>
      </c>
      <c r="K33" s="1692">
        <f t="shared" si="1"/>
        <v>5185996</v>
      </c>
      <c r="L33" s="1692">
        <f t="shared" si="1"/>
        <v>5260285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107943</v>
      </c>
      <c r="D36" s="481">
        <v>18391</v>
      </c>
      <c r="E36" s="481">
        <f>24+41302</f>
        <v>41326</v>
      </c>
      <c r="F36" s="481"/>
      <c r="G36" s="481"/>
      <c r="H36" s="481"/>
      <c r="I36" s="467"/>
      <c r="J36" s="467"/>
      <c r="K36" s="1693">
        <f t="shared" ref="K36:K41" si="2">SUM(C36:J36)</f>
        <v>167660</v>
      </c>
      <c r="L36" s="466">
        <v>176575</v>
      </c>
    </row>
    <row r="37" spans="1:14" x14ac:dyDescent="0.2">
      <c r="A37" s="1526" t="s">
        <v>1151</v>
      </c>
      <c r="B37" s="615">
        <v>2120</v>
      </c>
      <c r="C37" s="466">
        <v>45385</v>
      </c>
      <c r="D37" s="466">
        <v>11141</v>
      </c>
      <c r="E37" s="466">
        <f>235+62</f>
        <v>297</v>
      </c>
      <c r="F37" s="466"/>
      <c r="G37" s="466"/>
      <c r="H37" s="466">
        <v>129</v>
      </c>
      <c r="I37" s="467"/>
      <c r="J37" s="467"/>
      <c r="K37" s="1693">
        <f t="shared" si="2"/>
        <v>56952</v>
      </c>
      <c r="L37" s="466">
        <v>58950</v>
      </c>
    </row>
    <row r="38" spans="1:14" x14ac:dyDescent="0.2">
      <c r="A38" s="1526" t="s">
        <v>207</v>
      </c>
      <c r="B38" s="615">
        <v>2130</v>
      </c>
      <c r="C38" s="466">
        <f>96263+43237-96263</f>
        <v>43237</v>
      </c>
      <c r="D38" s="466">
        <v>12</v>
      </c>
      <c r="E38" s="466">
        <f>361+96263</f>
        <v>96624</v>
      </c>
      <c r="F38" s="466">
        <v>2172</v>
      </c>
      <c r="G38" s="466"/>
      <c r="H38" s="466">
        <v>161</v>
      </c>
      <c r="I38" s="467"/>
      <c r="J38" s="467"/>
      <c r="K38" s="1693">
        <f t="shared" si="2"/>
        <v>142206</v>
      </c>
      <c r="L38" s="466">
        <v>127000</v>
      </c>
    </row>
    <row r="39" spans="1:14" x14ac:dyDescent="0.2">
      <c r="A39" s="1526" t="s">
        <v>208</v>
      </c>
      <c r="B39" s="615">
        <v>2140</v>
      </c>
      <c r="C39" s="466">
        <v>60353</v>
      </c>
      <c r="D39" s="466">
        <v>12858</v>
      </c>
      <c r="E39" s="466"/>
      <c r="F39" s="466"/>
      <c r="G39" s="466"/>
      <c r="H39" s="466"/>
      <c r="I39" s="467"/>
      <c r="J39" s="467"/>
      <c r="K39" s="1693">
        <f t="shared" si="2"/>
        <v>73211</v>
      </c>
      <c r="L39" s="466">
        <v>72800</v>
      </c>
    </row>
    <row r="40" spans="1:14" x14ac:dyDescent="0.2">
      <c r="A40" s="1526" t="s">
        <v>209</v>
      </c>
      <c r="B40" s="615">
        <v>2150</v>
      </c>
      <c r="C40" s="466">
        <v>50107</v>
      </c>
      <c r="D40" s="466">
        <v>5810</v>
      </c>
      <c r="E40" s="466"/>
      <c r="F40" s="466"/>
      <c r="G40" s="466"/>
      <c r="H40" s="466"/>
      <c r="I40" s="467"/>
      <c r="J40" s="467"/>
      <c r="K40" s="1693">
        <f t="shared" si="2"/>
        <v>55917</v>
      </c>
      <c r="L40" s="466">
        <v>56800</v>
      </c>
    </row>
    <row r="41" spans="1:14" x14ac:dyDescent="0.2">
      <c r="A41" s="1526" t="s">
        <v>1768</v>
      </c>
      <c r="B41" s="615">
        <v>2190</v>
      </c>
      <c r="C41" s="466">
        <f>24926+138764</f>
        <v>163690</v>
      </c>
      <c r="D41" s="466">
        <v>32</v>
      </c>
      <c r="E41" s="466">
        <v>85</v>
      </c>
      <c r="F41" s="466"/>
      <c r="G41" s="466"/>
      <c r="H41" s="466"/>
      <c r="I41" s="467"/>
      <c r="J41" s="467"/>
      <c r="K41" s="1693">
        <f t="shared" si="2"/>
        <v>163807</v>
      </c>
      <c r="L41" s="466">
        <v>163335</v>
      </c>
    </row>
    <row r="42" spans="1:14" ht="12.75" customHeight="1" thickBot="1" x14ac:dyDescent="0.25">
      <c r="A42" s="1690" t="s">
        <v>581</v>
      </c>
      <c r="B42" s="1691" t="s">
        <v>740</v>
      </c>
      <c r="C42" s="1692">
        <f>SUM(C36:C41)</f>
        <v>470715</v>
      </c>
      <c r="D42" s="1692">
        <f t="shared" ref="D42:L42" si="3">SUM(D36:D41)</f>
        <v>48244</v>
      </c>
      <c r="E42" s="1692">
        <f t="shared" si="3"/>
        <v>138332</v>
      </c>
      <c r="F42" s="1692">
        <f t="shared" si="3"/>
        <v>2172</v>
      </c>
      <c r="G42" s="1692">
        <f t="shared" si="3"/>
        <v>0</v>
      </c>
      <c r="H42" s="1692">
        <f t="shared" si="3"/>
        <v>290</v>
      </c>
      <c r="I42" s="1692">
        <f t="shared" si="3"/>
        <v>0</v>
      </c>
      <c r="J42" s="1692">
        <f t="shared" si="3"/>
        <v>0</v>
      </c>
      <c r="K42" s="1692">
        <f t="shared" si="3"/>
        <v>659753</v>
      </c>
      <c r="L42" s="1692">
        <f t="shared" si="3"/>
        <v>655460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27825</v>
      </c>
      <c r="D44" s="481">
        <v>9213</v>
      </c>
      <c r="E44" s="481">
        <v>27409</v>
      </c>
      <c r="F44" s="481">
        <v>536</v>
      </c>
      <c r="G44" s="481"/>
      <c r="H44" s="481"/>
      <c r="I44" s="467"/>
      <c r="J44" s="467"/>
      <c r="K44" s="1694">
        <f>SUM(C44:J44)</f>
        <v>64983</v>
      </c>
      <c r="L44" s="481">
        <v>80961</v>
      </c>
    </row>
    <row r="45" spans="1:14" x14ac:dyDescent="0.2">
      <c r="A45" s="1526" t="s">
        <v>869</v>
      </c>
      <c r="B45" s="615">
        <v>2220</v>
      </c>
      <c r="C45" s="466">
        <v>61514</v>
      </c>
      <c r="D45" s="466">
        <v>34</v>
      </c>
      <c r="E45" s="466">
        <v>18344</v>
      </c>
      <c r="F45" s="466">
        <f>3514+1537</f>
        <v>5051</v>
      </c>
      <c r="G45" s="466"/>
      <c r="H45" s="466"/>
      <c r="I45" s="467">
        <v>22751</v>
      </c>
      <c r="J45" s="467"/>
      <c r="K45" s="1694">
        <f>SUM(C45:J45)</f>
        <v>107694</v>
      </c>
      <c r="L45" s="466">
        <v>91000</v>
      </c>
    </row>
    <row r="46" spans="1:14" x14ac:dyDescent="0.2">
      <c r="A46" s="1526" t="s">
        <v>870</v>
      </c>
      <c r="B46" s="615">
        <v>2230</v>
      </c>
      <c r="C46" s="466"/>
      <c r="D46" s="466"/>
      <c r="E46" s="466">
        <v>3769</v>
      </c>
      <c r="F46" s="466">
        <v>6832</v>
      </c>
      <c r="G46" s="466"/>
      <c r="H46" s="466"/>
      <c r="I46" s="467"/>
      <c r="J46" s="467"/>
      <c r="K46" s="1694">
        <f>SUM(C46:J46)</f>
        <v>10601</v>
      </c>
      <c r="L46" s="466">
        <v>71750</v>
      </c>
    </row>
    <row r="47" spans="1:14" ht="12.75" customHeight="1" thickBot="1" x14ac:dyDescent="0.25">
      <c r="A47" s="1690" t="s">
        <v>582</v>
      </c>
      <c r="B47" s="1691" t="s">
        <v>32</v>
      </c>
      <c r="C47" s="1692">
        <f>SUM(C44:C46)</f>
        <v>89339</v>
      </c>
      <c r="D47" s="1692">
        <f t="shared" ref="D47:K47" si="4">SUM(D44:D46)</f>
        <v>9247</v>
      </c>
      <c r="E47" s="1692">
        <f t="shared" si="4"/>
        <v>49522</v>
      </c>
      <c r="F47" s="1692">
        <f t="shared" si="4"/>
        <v>12419</v>
      </c>
      <c r="G47" s="1692">
        <f t="shared" si="4"/>
        <v>0</v>
      </c>
      <c r="H47" s="1692">
        <f t="shared" si="4"/>
        <v>0</v>
      </c>
      <c r="I47" s="1692">
        <f t="shared" si="4"/>
        <v>22751</v>
      </c>
      <c r="J47" s="1692">
        <f t="shared" si="4"/>
        <v>0</v>
      </c>
      <c r="K47" s="1692">
        <f t="shared" si="4"/>
        <v>183278</v>
      </c>
      <c r="L47" s="1692">
        <f>SUM(L44:L46)</f>
        <v>243711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47491</v>
      </c>
      <c r="D49" s="481">
        <v>5830</v>
      </c>
      <c r="E49" s="481">
        <v>33731</v>
      </c>
      <c r="F49" s="481">
        <v>14415</v>
      </c>
      <c r="G49" s="481"/>
      <c r="H49" s="481">
        <v>1181</v>
      </c>
      <c r="I49" s="467"/>
      <c r="J49" s="467"/>
      <c r="K49" s="1694">
        <f>SUM(C49:J49)</f>
        <v>102648</v>
      </c>
      <c r="L49" s="481">
        <v>35800</v>
      </c>
    </row>
    <row r="50" spans="1:14" x14ac:dyDescent="0.2">
      <c r="A50" s="1526" t="s">
        <v>872</v>
      </c>
      <c r="B50" s="615">
        <v>2320</v>
      </c>
      <c r="C50" s="466">
        <f>173571+350</f>
        <v>173921</v>
      </c>
      <c r="D50" s="466">
        <v>23162</v>
      </c>
      <c r="E50" s="466">
        <v>6876</v>
      </c>
      <c r="F50" s="466">
        <v>4581</v>
      </c>
      <c r="G50" s="466"/>
      <c r="H50" s="466">
        <v>1715</v>
      </c>
      <c r="I50" s="467"/>
      <c r="J50" s="467"/>
      <c r="K50" s="1694">
        <f>SUM(C50:J50)</f>
        <v>210255</v>
      </c>
      <c r="L50" s="466">
        <v>218100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f>159596+9173</f>
        <v>168769</v>
      </c>
      <c r="F52" s="474"/>
      <c r="G52" s="474"/>
      <c r="H52" s="474"/>
      <c r="I52" s="474"/>
      <c r="J52" s="474"/>
      <c r="K52" s="1694">
        <f>SUM(C52:J52)</f>
        <v>168769</v>
      </c>
      <c r="L52" s="474">
        <v>118500</v>
      </c>
    </row>
    <row r="53" spans="1:14" ht="12.75" customHeight="1" thickBot="1" x14ac:dyDescent="0.25">
      <c r="A53" s="1690" t="s">
        <v>741</v>
      </c>
      <c r="B53" s="1691" t="s">
        <v>33</v>
      </c>
      <c r="C53" s="1692">
        <f>SUM(C49:C52)</f>
        <v>221412</v>
      </c>
      <c r="D53" s="1692">
        <f t="shared" ref="D53:L53" si="5">SUM(D49:D52)</f>
        <v>28992</v>
      </c>
      <c r="E53" s="1692">
        <f t="shared" si="5"/>
        <v>209376</v>
      </c>
      <c r="F53" s="1692">
        <f t="shared" si="5"/>
        <v>18996</v>
      </c>
      <c r="G53" s="1692">
        <f t="shared" si="5"/>
        <v>0</v>
      </c>
      <c r="H53" s="1692">
        <f t="shared" si="5"/>
        <v>2896</v>
      </c>
      <c r="I53" s="1692">
        <f t="shared" si="5"/>
        <v>0</v>
      </c>
      <c r="J53" s="1692">
        <f t="shared" si="5"/>
        <v>0</v>
      </c>
      <c r="K53" s="1692">
        <f t="shared" si="5"/>
        <v>481672</v>
      </c>
      <c r="L53" s="1692">
        <f t="shared" si="5"/>
        <v>372400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449994</v>
      </c>
      <c r="D55" s="481">
        <v>47101</v>
      </c>
      <c r="E55" s="481">
        <v>3415</v>
      </c>
      <c r="F55" s="481"/>
      <c r="G55" s="481"/>
      <c r="H55" s="481">
        <v>1138</v>
      </c>
      <c r="I55" s="467"/>
      <c r="J55" s="467"/>
      <c r="K55" s="1694">
        <f>SUM(C55:J55)</f>
        <v>501648</v>
      </c>
      <c r="L55" s="481">
        <v>468640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449994</v>
      </c>
      <c r="D57" s="1696">
        <f t="shared" ref="D57:K57" si="6">SUM(D55:D56)</f>
        <v>47101</v>
      </c>
      <c r="E57" s="1696">
        <f t="shared" si="6"/>
        <v>3415</v>
      </c>
      <c r="F57" s="1696">
        <f t="shared" si="6"/>
        <v>0</v>
      </c>
      <c r="G57" s="1696">
        <f t="shared" si="6"/>
        <v>0</v>
      </c>
      <c r="H57" s="1696">
        <f t="shared" si="6"/>
        <v>1138</v>
      </c>
      <c r="I57" s="1696">
        <f t="shared" si="6"/>
        <v>0</v>
      </c>
      <c r="J57" s="1696">
        <f t="shared" si="6"/>
        <v>0</v>
      </c>
      <c r="K57" s="1696">
        <f t="shared" si="6"/>
        <v>501648</v>
      </c>
      <c r="L57" s="1692">
        <f>SUM(L55:L56)</f>
        <v>468640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62373</v>
      </c>
      <c r="D60" s="466">
        <v>5738</v>
      </c>
      <c r="E60" s="466">
        <v>18405</v>
      </c>
      <c r="F60" s="466">
        <v>242</v>
      </c>
      <c r="G60" s="466"/>
      <c r="H60" s="466"/>
      <c r="I60" s="467"/>
      <c r="J60" s="467"/>
      <c r="K60" s="1694">
        <f t="shared" si="7"/>
        <v>86758</v>
      </c>
      <c r="L60" s="466">
        <v>87300</v>
      </c>
      <c r="M60" s="610"/>
      <c r="N60" s="610"/>
    </row>
    <row r="61" spans="1:14" s="343" customFormat="1" x14ac:dyDescent="0.2">
      <c r="A61" s="1526" t="s">
        <v>206</v>
      </c>
      <c r="B61" s="615">
        <v>2540</v>
      </c>
      <c r="C61" s="466">
        <v>284234</v>
      </c>
      <c r="D61" s="466">
        <v>31724</v>
      </c>
      <c r="E61" s="466"/>
      <c r="F61" s="466">
        <v>239528</v>
      </c>
      <c r="G61" s="466"/>
      <c r="H61" s="466"/>
      <c r="I61" s="467"/>
      <c r="J61" s="467"/>
      <c r="K61" s="1694">
        <f t="shared" si="7"/>
        <v>555486</v>
      </c>
      <c r="L61" s="466">
        <v>624630</v>
      </c>
      <c r="M61" s="610"/>
      <c r="N61" s="610"/>
    </row>
    <row r="62" spans="1:14" s="343" customFormat="1" x14ac:dyDescent="0.2">
      <c r="A62" s="1526" t="s">
        <v>1010</v>
      </c>
      <c r="B62" s="615">
        <v>2550</v>
      </c>
      <c r="C62" s="466"/>
      <c r="D62" s="466"/>
      <c r="E62" s="466">
        <v>9128</v>
      </c>
      <c r="F62" s="466"/>
      <c r="G62" s="466"/>
      <c r="H62" s="466"/>
      <c r="I62" s="467"/>
      <c r="J62" s="467"/>
      <c r="K62" s="1694">
        <f t="shared" si="7"/>
        <v>9128</v>
      </c>
      <c r="L62" s="466">
        <v>14200</v>
      </c>
      <c r="M62" s="610"/>
      <c r="N62" s="610"/>
    </row>
    <row r="63" spans="1:14" s="610" customFormat="1" x14ac:dyDescent="0.2">
      <c r="A63" s="1526" t="s">
        <v>102</v>
      </c>
      <c r="B63" s="615">
        <v>2560</v>
      </c>
      <c r="C63" s="466">
        <v>164757</v>
      </c>
      <c r="D63" s="466">
        <v>10692</v>
      </c>
      <c r="E63" s="466">
        <v>8280</v>
      </c>
      <c r="F63" s="466">
        <v>223737</v>
      </c>
      <c r="G63" s="466"/>
      <c r="H63" s="466">
        <v>304</v>
      </c>
      <c r="I63" s="467"/>
      <c r="J63" s="467"/>
      <c r="K63" s="1694">
        <f t="shared" si="7"/>
        <v>407770</v>
      </c>
      <c r="L63" s="466">
        <v>454220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511364</v>
      </c>
      <c r="D65" s="1692">
        <f t="shared" ref="D65:L65" si="8">SUM(D59:D64)</f>
        <v>48154</v>
      </c>
      <c r="E65" s="1692">
        <f t="shared" si="8"/>
        <v>35813</v>
      </c>
      <c r="F65" s="1692">
        <f t="shared" si="8"/>
        <v>463507</v>
      </c>
      <c r="G65" s="1692">
        <f t="shared" si="8"/>
        <v>0</v>
      </c>
      <c r="H65" s="1692">
        <f t="shared" si="8"/>
        <v>304</v>
      </c>
      <c r="I65" s="1692">
        <f t="shared" si="8"/>
        <v>0</v>
      </c>
      <c r="J65" s="1692">
        <f t="shared" si="8"/>
        <v>0</v>
      </c>
      <c r="K65" s="1692">
        <f t="shared" si="8"/>
        <v>1059142</v>
      </c>
      <c r="L65" s="1692">
        <f t="shared" si="8"/>
        <v>1180350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v>1540</v>
      </c>
      <c r="F68" s="466"/>
      <c r="G68" s="466"/>
      <c r="H68" s="466"/>
      <c r="I68" s="467"/>
      <c r="J68" s="467"/>
      <c r="K68" s="1694">
        <f>SUM(C68:J68)</f>
        <v>1540</v>
      </c>
      <c r="L68" s="466">
        <v>2000</v>
      </c>
      <c r="M68" s="610"/>
      <c r="N68" s="610"/>
    </row>
    <row r="69" spans="1:14" s="343" customFormat="1" x14ac:dyDescent="0.2">
      <c r="A69" s="1526" t="s">
        <v>1121</v>
      </c>
      <c r="B69" s="615">
        <v>2630</v>
      </c>
      <c r="C69" s="466">
        <v>69752</v>
      </c>
      <c r="D69" s="466">
        <v>6301</v>
      </c>
      <c r="E69" s="466">
        <v>7517</v>
      </c>
      <c r="F69" s="466">
        <v>57715</v>
      </c>
      <c r="G69" s="466"/>
      <c r="H69" s="466">
        <v>25</v>
      </c>
      <c r="I69" s="467">
        <v>74122</v>
      </c>
      <c r="J69" s="467"/>
      <c r="K69" s="1694">
        <f>SUM(C69:J69)</f>
        <v>215432</v>
      </c>
      <c r="L69" s="466">
        <v>185415</v>
      </c>
      <c r="M69" s="610"/>
      <c r="N69" s="610"/>
    </row>
    <row r="70" spans="1:14" s="343" customFormat="1" x14ac:dyDescent="0.2">
      <c r="A70" s="1526" t="s">
        <v>423</v>
      </c>
      <c r="B70" s="615">
        <v>2640</v>
      </c>
      <c r="C70" s="466"/>
      <c r="D70" s="466"/>
      <c r="E70" s="466">
        <v>4620</v>
      </c>
      <c r="F70" s="466"/>
      <c r="G70" s="466"/>
      <c r="H70" s="466"/>
      <c r="I70" s="467"/>
      <c r="J70" s="467"/>
      <c r="K70" s="1694">
        <f>SUM(C70:J70)</f>
        <v>4620</v>
      </c>
      <c r="L70" s="466">
        <v>4000</v>
      </c>
      <c r="M70" s="610"/>
      <c r="N70" s="610"/>
    </row>
    <row r="71" spans="1:14" s="343" customFormat="1" x14ac:dyDescent="0.2">
      <c r="A71" s="1526" t="s">
        <v>424</v>
      </c>
      <c r="B71" s="615">
        <v>2660</v>
      </c>
      <c r="C71" s="466"/>
      <c r="D71" s="466"/>
      <c r="E71" s="466">
        <f>3693+12301</f>
        <v>15994</v>
      </c>
      <c r="F71" s="466"/>
      <c r="G71" s="466"/>
      <c r="H71" s="466"/>
      <c r="I71" s="467"/>
      <c r="J71" s="467"/>
      <c r="K71" s="1694">
        <f>SUM(C71:J71)</f>
        <v>15994</v>
      </c>
      <c r="L71" s="466">
        <v>18500</v>
      </c>
      <c r="M71" s="610"/>
      <c r="N71" s="610"/>
    </row>
    <row r="72" spans="1:14" s="343" customFormat="1" ht="12.75" customHeight="1" thickBot="1" x14ac:dyDescent="0.25">
      <c r="A72" s="1690" t="s">
        <v>37</v>
      </c>
      <c r="B72" s="1697" t="s">
        <v>36</v>
      </c>
      <c r="C72" s="1692">
        <f>SUM(C67:C71)</f>
        <v>69752</v>
      </c>
      <c r="D72" s="1692">
        <f t="shared" ref="D72:K72" si="9">SUM(D67:D71)</f>
        <v>6301</v>
      </c>
      <c r="E72" s="1692">
        <f t="shared" si="9"/>
        <v>29671</v>
      </c>
      <c r="F72" s="1692">
        <f t="shared" si="9"/>
        <v>57715</v>
      </c>
      <c r="G72" s="1692">
        <f t="shared" si="9"/>
        <v>0</v>
      </c>
      <c r="H72" s="1692">
        <f t="shared" si="9"/>
        <v>25</v>
      </c>
      <c r="I72" s="1692">
        <f t="shared" si="9"/>
        <v>74122</v>
      </c>
      <c r="J72" s="1692">
        <f t="shared" si="9"/>
        <v>0</v>
      </c>
      <c r="K72" s="1692">
        <f t="shared" si="9"/>
        <v>237586</v>
      </c>
      <c r="L72" s="1692">
        <f>SUM(L67:L71)</f>
        <v>209915</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1812576</v>
      </c>
      <c r="D74" s="1699">
        <f t="shared" ref="D74:K74" si="10">SUM(D42,D47,D53,D57,D65,D72,D73)</f>
        <v>188039</v>
      </c>
      <c r="E74" s="1699">
        <f t="shared" si="10"/>
        <v>466129</v>
      </c>
      <c r="F74" s="1699">
        <f t="shared" si="10"/>
        <v>554809</v>
      </c>
      <c r="G74" s="1699">
        <f t="shared" si="10"/>
        <v>0</v>
      </c>
      <c r="H74" s="1699">
        <f t="shared" si="10"/>
        <v>4653</v>
      </c>
      <c r="I74" s="1699">
        <f t="shared" si="10"/>
        <v>96873</v>
      </c>
      <c r="J74" s="1699">
        <f t="shared" si="10"/>
        <v>0</v>
      </c>
      <c r="K74" s="1699">
        <f t="shared" si="10"/>
        <v>3123079</v>
      </c>
      <c r="L74" s="1699">
        <f>SUM(L42,L47,L53,L57,L65,L72,L73)</f>
        <v>3130476</v>
      </c>
    </row>
    <row r="75" spans="1:14" s="259" customFormat="1" ht="15.75" customHeight="1" thickTop="1" thickBot="1" x14ac:dyDescent="0.25">
      <c r="A75" s="1632" t="s">
        <v>49</v>
      </c>
      <c r="B75" s="1633" t="s">
        <v>596</v>
      </c>
      <c r="C75" s="573">
        <v>10873</v>
      </c>
      <c r="D75" s="573">
        <v>4318</v>
      </c>
      <c r="E75" s="573">
        <v>1752</v>
      </c>
      <c r="F75" s="573">
        <v>1550</v>
      </c>
      <c r="G75" s="573"/>
      <c r="H75" s="573"/>
      <c r="I75" s="531"/>
      <c r="J75" s="531"/>
      <c r="K75" s="1692">
        <f>SUM(C75:J75)</f>
        <v>18493</v>
      </c>
      <c r="L75" s="576">
        <v>36420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2385</v>
      </c>
      <c r="I83" s="477"/>
      <c r="J83" s="477"/>
      <c r="K83" s="1693">
        <f t="shared" si="11"/>
        <v>2385</v>
      </c>
      <c r="L83" s="466"/>
    </row>
    <row r="84" spans="1:12" ht="13.5" thickBot="1" x14ac:dyDescent="0.25">
      <c r="A84" s="1690" t="s">
        <v>1565</v>
      </c>
      <c r="B84" s="1700">
        <v>4100</v>
      </c>
      <c r="C84" s="617"/>
      <c r="D84" s="617"/>
      <c r="E84" s="1692">
        <f>SUM(E78:E83)</f>
        <v>0</v>
      </c>
      <c r="F84" s="617"/>
      <c r="G84" s="617"/>
      <c r="H84" s="1692">
        <f>SUM(H78:H83)</f>
        <v>2385</v>
      </c>
      <c r="I84" s="477"/>
      <c r="J84" s="477"/>
      <c r="K84" s="1692">
        <f>SUM(K78:K83)</f>
        <v>2385</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7983</v>
      </c>
      <c r="I86" s="477"/>
      <c r="J86" s="477"/>
      <c r="K86" s="1699">
        <f t="shared" ref="K86:K98" si="12">H86</f>
        <v>7983</v>
      </c>
      <c r="L86" s="530">
        <v>65000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71497</v>
      </c>
      <c r="I88" s="477"/>
      <c r="J88" s="477"/>
      <c r="K88" s="1699">
        <f t="shared" si="12"/>
        <v>71497</v>
      </c>
      <c r="L88" s="530">
        <v>72000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v>4613</v>
      </c>
      <c r="I91" s="477"/>
      <c r="J91" s="477"/>
      <c r="K91" s="1699">
        <f t="shared" si="12"/>
        <v>4613</v>
      </c>
      <c r="L91" s="530">
        <v>20000</v>
      </c>
    </row>
    <row r="92" spans="1:12" ht="14.25" thickTop="1" thickBot="1" x14ac:dyDescent="0.25">
      <c r="A92" s="1702" t="s">
        <v>1641</v>
      </c>
      <c r="B92" s="1700">
        <v>4200</v>
      </c>
      <c r="C92" s="617"/>
      <c r="D92" s="617"/>
      <c r="E92" s="639"/>
      <c r="F92" s="617"/>
      <c r="G92" s="617"/>
      <c r="H92" s="1692">
        <f>SUM(H85:H91)</f>
        <v>84093</v>
      </c>
      <c r="I92" s="477"/>
      <c r="J92" s="477"/>
      <c r="K92" s="1699">
        <f t="shared" si="12"/>
        <v>84093</v>
      </c>
      <c r="L92" s="1692">
        <f>SUM(L85:L91)</f>
        <v>157000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86478</v>
      </c>
      <c r="I102" s="477"/>
      <c r="J102" s="477"/>
      <c r="K102" s="1699">
        <f>SUM(K84,K92,K100,K101)</f>
        <v>86478</v>
      </c>
      <c r="L102" s="1699">
        <f>SUM(L84,L92,L100,L101)</f>
        <v>157000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5778749</v>
      </c>
      <c r="D114" s="1692">
        <f t="shared" ref="D114:K114" si="13">SUM(D33,D74,D75,D102,D112,D113)</f>
        <v>908516</v>
      </c>
      <c r="E114" s="1692">
        <f t="shared" si="13"/>
        <v>559090</v>
      </c>
      <c r="F114" s="1692">
        <f t="shared" si="13"/>
        <v>758018</v>
      </c>
      <c r="G114" s="1692">
        <f t="shared" si="13"/>
        <v>5318</v>
      </c>
      <c r="H114" s="1692">
        <f>SUM(H33,H74,H75,H102,H112,H113)</f>
        <v>293443</v>
      </c>
      <c r="I114" s="1692">
        <f t="shared" si="13"/>
        <v>110912</v>
      </c>
      <c r="J114" s="1692">
        <f t="shared" si="13"/>
        <v>0</v>
      </c>
      <c r="K114" s="1692">
        <f t="shared" si="13"/>
        <v>8414046</v>
      </c>
      <c r="L114" s="1692">
        <f>SUM(L33,L74,L75,L102,L112,L113)</f>
        <v>8584181</v>
      </c>
    </row>
    <row r="115" spans="1:14" ht="13.5" thickTop="1" x14ac:dyDescent="0.2">
      <c r="A115" s="2187" t="s">
        <v>1053</v>
      </c>
      <c r="B115" s="2188"/>
      <c r="C115" s="619"/>
      <c r="D115" s="619"/>
      <c r="E115" s="619"/>
      <c r="F115" s="619"/>
      <c r="G115" s="619"/>
      <c r="H115" s="619"/>
      <c r="I115" s="619"/>
      <c r="J115" s="619"/>
      <c r="K115" s="1706">
        <f>'Revenues 9-14'!C275-'Expenditures 15-22'!K114</f>
        <v>867536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2" t="s">
        <v>314</v>
      </c>
      <c r="B117" s="219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52000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42105+23384+65425</f>
        <v>130914</v>
      </c>
      <c r="D124" s="466">
        <f>2570+4057+4069</f>
        <v>10696</v>
      </c>
      <c r="E124" s="466">
        <f>170279+7823</f>
        <v>178102</v>
      </c>
      <c r="F124" s="466">
        <f>105380+140</f>
        <v>105520</v>
      </c>
      <c r="G124" s="466">
        <v>56504</v>
      </c>
      <c r="H124" s="466"/>
      <c r="I124" s="467"/>
      <c r="J124" s="467"/>
      <c r="K124" s="1692">
        <f>SUM(C124:J124)</f>
        <v>481736</v>
      </c>
      <c r="L124" s="466">
        <v>416100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130914</v>
      </c>
      <c r="D127" s="1692">
        <f t="shared" ref="D127:L127" si="14">SUM(D122:D126)</f>
        <v>10696</v>
      </c>
      <c r="E127" s="1692">
        <f t="shared" si="14"/>
        <v>178102</v>
      </c>
      <c r="F127" s="1692">
        <f t="shared" si="14"/>
        <v>105520</v>
      </c>
      <c r="G127" s="1692">
        <f t="shared" si="14"/>
        <v>56504</v>
      </c>
      <c r="H127" s="1692">
        <f t="shared" si="14"/>
        <v>0</v>
      </c>
      <c r="I127" s="1692">
        <f t="shared" si="14"/>
        <v>0</v>
      </c>
      <c r="J127" s="1692">
        <f t="shared" si="14"/>
        <v>0</v>
      </c>
      <c r="K127" s="1692">
        <f t="shared" si="14"/>
        <v>481736</v>
      </c>
      <c r="L127" s="1692">
        <f t="shared" si="14"/>
        <v>416100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130914</v>
      </c>
      <c r="D129" s="1699">
        <f t="shared" ref="D129:L129" si="15">SUM(D120,D127,D128)</f>
        <v>10696</v>
      </c>
      <c r="E129" s="1699">
        <f t="shared" si="15"/>
        <v>178102</v>
      </c>
      <c r="F129" s="1699">
        <f t="shared" si="15"/>
        <v>105520</v>
      </c>
      <c r="G129" s="1699">
        <f t="shared" si="15"/>
        <v>56504</v>
      </c>
      <c r="H129" s="1699">
        <f t="shared" si="15"/>
        <v>0</v>
      </c>
      <c r="I129" s="1699">
        <f t="shared" si="15"/>
        <v>0</v>
      </c>
      <c r="J129" s="1699">
        <f t="shared" si="15"/>
        <v>0</v>
      </c>
      <c r="K129" s="1699">
        <f t="shared" si="15"/>
        <v>481736</v>
      </c>
      <c r="L129" s="1699">
        <f t="shared" si="15"/>
        <v>468100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4" t="s">
        <v>641</v>
      </c>
      <c r="B151" s="2184"/>
      <c r="C151" s="1692">
        <f>SUM(C129,C130,C139,C149,C150)</f>
        <v>130914</v>
      </c>
      <c r="D151" s="1692">
        <f t="shared" ref="D151:K151" si="16">SUM(D129,D130,D139,D149,D150)</f>
        <v>10696</v>
      </c>
      <c r="E151" s="1692">
        <f t="shared" si="16"/>
        <v>178102</v>
      </c>
      <c r="F151" s="1692">
        <f t="shared" si="16"/>
        <v>105520</v>
      </c>
      <c r="G151" s="1692">
        <f t="shared" si="16"/>
        <v>56504</v>
      </c>
      <c r="H151" s="1692">
        <f t="shared" si="16"/>
        <v>0</v>
      </c>
      <c r="I151" s="1692">
        <f t="shared" si="16"/>
        <v>0</v>
      </c>
      <c r="J151" s="1692">
        <f t="shared" si="16"/>
        <v>0</v>
      </c>
      <c r="K151" s="1692">
        <f t="shared" si="16"/>
        <v>481736</v>
      </c>
      <c r="L151" s="1692">
        <f>SUM(L129,L130,L139,L149,L150)</f>
        <v>468100</v>
      </c>
    </row>
    <row r="152" spans="1:14" ht="12.75" customHeight="1" thickTop="1" x14ac:dyDescent="0.2">
      <c r="A152" s="2207" t="s">
        <v>1240</v>
      </c>
      <c r="B152" s="2208"/>
      <c r="C152" s="619"/>
      <c r="D152" s="619"/>
      <c r="E152" s="619"/>
      <c r="F152" s="619"/>
      <c r="G152" s="619"/>
      <c r="H152" s="619"/>
      <c r="I152" s="619"/>
      <c r="J152" s="617"/>
      <c r="K152" s="1706">
        <f>'Revenues 9-14'!D275-'Expenditures 15-22'!K151</f>
        <v>12261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2" t="s">
        <v>642</v>
      </c>
      <c r="B154" s="219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215538</v>
      </c>
      <c r="I169" s="617"/>
      <c r="J169" s="617"/>
      <c r="K169" s="1693">
        <f>SUM(C169:H169)</f>
        <v>215538</v>
      </c>
      <c r="L169" s="657">
        <v>218000</v>
      </c>
    </row>
    <row r="170" spans="1:14" ht="33.75" customHeight="1" x14ac:dyDescent="0.2">
      <c r="A170" s="670" t="s">
        <v>1769</v>
      </c>
      <c r="B170" s="672" t="s">
        <v>31</v>
      </c>
      <c r="C170" s="617"/>
      <c r="D170" s="617"/>
      <c r="E170" s="617"/>
      <c r="F170" s="617"/>
      <c r="G170" s="617"/>
      <c r="H170" s="569">
        <v>435000</v>
      </c>
      <c r="I170" s="617"/>
      <c r="J170" s="617"/>
      <c r="K170" s="1693">
        <f>SUM(C170:J170)</f>
        <v>435000</v>
      </c>
      <c r="L170" s="569">
        <v>441800</v>
      </c>
    </row>
    <row r="171" spans="1:14" ht="15.75" customHeight="1" x14ac:dyDescent="0.2">
      <c r="A171" s="622" t="s">
        <v>790</v>
      </c>
      <c r="B171" s="673" t="s">
        <v>86</v>
      </c>
      <c r="C171" s="617"/>
      <c r="D171" s="617"/>
      <c r="E171" s="466"/>
      <c r="F171" s="617"/>
      <c r="G171" s="617"/>
      <c r="H171" s="569">
        <f>1250+6719</f>
        <v>7969</v>
      </c>
      <c r="I171" s="477"/>
      <c r="J171" s="617"/>
      <c r="K171" s="1693">
        <f>SUM(C171:J171)</f>
        <v>7969</v>
      </c>
      <c r="L171" s="569"/>
    </row>
    <row r="172" spans="1:14" ht="12.75" customHeight="1" thickBot="1" x14ac:dyDescent="0.25">
      <c r="A172" s="1690" t="s">
        <v>659</v>
      </c>
      <c r="B172" s="1691" t="s">
        <v>513</v>
      </c>
      <c r="C172" s="617"/>
      <c r="D172" s="617"/>
      <c r="E172" s="1699">
        <f>SUM(E168,E169,E170,E171)</f>
        <v>0</v>
      </c>
      <c r="F172" s="617"/>
      <c r="G172" s="617"/>
      <c r="H172" s="1699">
        <f>SUM(H168,H169,H170,H171)</f>
        <v>658507</v>
      </c>
      <c r="I172" s="639"/>
      <c r="J172" s="617"/>
      <c r="K172" s="1699">
        <f>SUM(K168,K169,K170,K171)</f>
        <v>658507</v>
      </c>
      <c r="L172" s="1699">
        <f>SUM(L168,L169,L170,L171)</f>
        <v>659800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658507</v>
      </c>
      <c r="I174" s="639"/>
      <c r="J174" s="617"/>
      <c r="K174" s="1699">
        <f>SUM(K160,K172,K173)</f>
        <v>658507</v>
      </c>
      <c r="L174" s="1699">
        <f>SUM(L160,L172,L173)</f>
        <v>659800</v>
      </c>
    </row>
    <row r="175" spans="1:14" ht="13.5" thickTop="1" x14ac:dyDescent="0.2">
      <c r="A175" s="2187" t="s">
        <v>1053</v>
      </c>
      <c r="B175" s="2188"/>
      <c r="C175" s="617"/>
      <c r="D175" s="617"/>
      <c r="E175" s="617"/>
      <c r="F175" s="617"/>
      <c r="G175" s="617"/>
      <c r="H175" s="619"/>
      <c r="I175" s="617"/>
      <c r="J175" s="617"/>
      <c r="K175" s="1706">
        <f>'Revenues 9-14'!E275-'Expenditures 15-22'!K174</f>
        <v>216899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19773</v>
      </c>
      <c r="D182" s="466"/>
      <c r="E182" s="466">
        <v>474837</v>
      </c>
      <c r="F182" s="466">
        <v>33275</v>
      </c>
      <c r="G182" s="466"/>
      <c r="H182" s="466"/>
      <c r="I182" s="467"/>
      <c r="J182" s="467"/>
      <c r="K182" s="1693">
        <f>SUM(C182:J182)</f>
        <v>527885</v>
      </c>
      <c r="L182" s="466">
        <v>543800</v>
      </c>
    </row>
    <row r="183" spans="1:14" ht="12.75" customHeight="1" thickBot="1" x14ac:dyDescent="0.25">
      <c r="A183" s="1531" t="s">
        <v>1037</v>
      </c>
      <c r="B183" s="678">
        <v>2900</v>
      </c>
      <c r="C183" s="573">
        <v>4667</v>
      </c>
      <c r="D183" s="573">
        <v>879</v>
      </c>
      <c r="E183" s="573"/>
      <c r="F183" s="573"/>
      <c r="G183" s="573"/>
      <c r="H183" s="573"/>
      <c r="I183" s="532"/>
      <c r="J183" s="532"/>
      <c r="K183" s="1699">
        <f>SUM(C183:J183)</f>
        <v>5546</v>
      </c>
      <c r="L183" s="573">
        <v>8400</v>
      </c>
    </row>
    <row r="184" spans="1:14" ht="12.75" customHeight="1" thickTop="1" thickBot="1" x14ac:dyDescent="0.25">
      <c r="A184" s="1713" t="s">
        <v>865</v>
      </c>
      <c r="B184" s="1691" t="s">
        <v>590</v>
      </c>
      <c r="C184" s="1699">
        <f>SUM(C180,C182,C183)</f>
        <v>24440</v>
      </c>
      <c r="D184" s="1699">
        <f t="shared" ref="D184:J184" si="17">SUM(D180,D182,D183)</f>
        <v>879</v>
      </c>
      <c r="E184" s="1699">
        <f t="shared" si="17"/>
        <v>474837</v>
      </c>
      <c r="F184" s="1699">
        <f t="shared" si="17"/>
        <v>33275</v>
      </c>
      <c r="G184" s="1699">
        <f t="shared" si="17"/>
        <v>0</v>
      </c>
      <c r="H184" s="1699">
        <f t="shared" si="17"/>
        <v>0</v>
      </c>
      <c r="I184" s="1699">
        <f t="shared" si="17"/>
        <v>0</v>
      </c>
      <c r="J184" s="1699">
        <f t="shared" si="17"/>
        <v>0</v>
      </c>
      <c r="K184" s="1699">
        <f>SUM(K180,K182,K183)</f>
        <v>533431</v>
      </c>
      <c r="L184" s="1699">
        <f>SUM(L180, L182:L183)</f>
        <v>552200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24440</v>
      </c>
      <c r="D210" s="1692">
        <f>SUM(D184,D185)</f>
        <v>879</v>
      </c>
      <c r="E210" s="1692">
        <f>SUM(E184,E185,E196)</f>
        <v>474837</v>
      </c>
      <c r="F210" s="1692">
        <f>SUM(F184,F185)</f>
        <v>33275</v>
      </c>
      <c r="G210" s="1692">
        <f>SUM(G184,G185)</f>
        <v>0</v>
      </c>
      <c r="H210" s="1692">
        <f>SUM(H184,H185,H196,H208,H209)</f>
        <v>0</v>
      </c>
      <c r="I210" s="1692">
        <f>SUM(I184,I185)</f>
        <v>0</v>
      </c>
      <c r="J210" s="1692">
        <f>SUM(J184,J185)</f>
        <v>0</v>
      </c>
      <c r="K210" s="1693">
        <f>SUM(K184,K185,K196,K208,K209)</f>
        <v>533431</v>
      </c>
      <c r="L210" s="1692">
        <f>SUM(L184,L185,L196,L208,L209)</f>
        <v>552200</v>
      </c>
    </row>
    <row r="211" spans="1:14" ht="13.5" thickTop="1" x14ac:dyDescent="0.2">
      <c r="A211" s="2187" t="s">
        <v>1053</v>
      </c>
      <c r="B211" s="2188"/>
      <c r="C211" s="619"/>
      <c r="D211" s="619"/>
      <c r="E211" s="619"/>
      <c r="F211" s="619"/>
      <c r="G211" s="619"/>
      <c r="H211" s="619"/>
      <c r="I211" s="617"/>
      <c r="J211" s="617"/>
      <c r="K211" s="1706">
        <f>'Revenues 9-14'!F275-'Expenditures 15-22'!K210</f>
        <v>26566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9" t="s">
        <v>1022</v>
      </c>
      <c r="B213" s="221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19481+9456+5735+65</f>
        <v>34737</v>
      </c>
      <c r="E215" s="617"/>
      <c r="F215" s="617"/>
      <c r="G215" s="617"/>
      <c r="H215" s="617"/>
      <c r="I215" s="617"/>
      <c r="J215" s="617"/>
      <c r="K215" s="1693">
        <f>D215</f>
        <v>34737</v>
      </c>
      <c r="L215" s="466">
        <v>35360</v>
      </c>
    </row>
    <row r="216" spans="1:14" x14ac:dyDescent="0.2">
      <c r="A216" s="1526" t="s">
        <v>165</v>
      </c>
      <c r="B216" s="615" t="s">
        <v>1024</v>
      </c>
      <c r="C216" s="617"/>
      <c r="D216" s="467">
        <v>7748</v>
      </c>
      <c r="E216" s="617"/>
      <c r="F216" s="617"/>
      <c r="G216" s="617"/>
      <c r="H216" s="617"/>
      <c r="I216" s="617"/>
      <c r="J216" s="617"/>
      <c r="K216" s="1693">
        <f t="shared" ref="K216:K228" si="19">D216</f>
        <v>7748</v>
      </c>
      <c r="L216" s="466">
        <v>8210</v>
      </c>
    </row>
    <row r="217" spans="1:14" x14ac:dyDescent="0.2">
      <c r="A217" s="1526" t="s">
        <v>166</v>
      </c>
      <c r="B217" s="615">
        <v>1200</v>
      </c>
      <c r="C217" s="617"/>
      <c r="D217" s="466">
        <f>20661+21686</f>
        <v>42347</v>
      </c>
      <c r="E217" s="617"/>
      <c r="F217" s="617"/>
      <c r="G217" s="617"/>
      <c r="H217" s="617"/>
      <c r="I217" s="617"/>
      <c r="J217" s="617"/>
      <c r="K217" s="1693">
        <f t="shared" si="19"/>
        <v>42347</v>
      </c>
      <c r="L217" s="466">
        <v>41930</v>
      </c>
    </row>
    <row r="218" spans="1:14" x14ac:dyDescent="0.2">
      <c r="A218" s="1526" t="s">
        <v>296</v>
      </c>
      <c r="B218" s="615" t="s">
        <v>1025</v>
      </c>
      <c r="C218" s="617"/>
      <c r="D218" s="467">
        <v>2901</v>
      </c>
      <c r="E218" s="617"/>
      <c r="F218" s="617"/>
      <c r="G218" s="617"/>
      <c r="H218" s="617"/>
      <c r="I218" s="617"/>
      <c r="J218" s="617"/>
      <c r="K218" s="1693">
        <f t="shared" si="19"/>
        <v>2901</v>
      </c>
      <c r="L218" s="466">
        <v>2700</v>
      </c>
    </row>
    <row r="219" spans="1:14" x14ac:dyDescent="0.2">
      <c r="A219" s="1526" t="s">
        <v>297</v>
      </c>
      <c r="B219" s="615">
        <v>1250</v>
      </c>
      <c r="C219" s="617"/>
      <c r="D219" s="466">
        <v>1830</v>
      </c>
      <c r="E219" s="617"/>
      <c r="F219" s="617"/>
      <c r="G219" s="617"/>
      <c r="H219" s="617"/>
      <c r="I219" s="617"/>
      <c r="J219" s="617"/>
      <c r="K219" s="1693">
        <f t="shared" si="19"/>
        <v>1830</v>
      </c>
      <c r="L219" s="466">
        <v>2115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919+413</f>
        <v>1332</v>
      </c>
      <c r="E222" s="617"/>
      <c r="F222" s="617"/>
      <c r="G222" s="617"/>
      <c r="H222" s="617"/>
      <c r="I222" s="617"/>
      <c r="J222" s="617"/>
      <c r="K222" s="1693">
        <f t="shared" si="19"/>
        <v>1332</v>
      </c>
      <c r="L222" s="466">
        <v>1510</v>
      </c>
    </row>
    <row r="223" spans="1:14" x14ac:dyDescent="0.2">
      <c r="A223" s="1526" t="s">
        <v>1020</v>
      </c>
      <c r="B223" s="615">
        <v>1500</v>
      </c>
      <c r="C223" s="617"/>
      <c r="D223" s="466">
        <v>4382</v>
      </c>
      <c r="E223" s="617"/>
      <c r="F223" s="617"/>
      <c r="G223" s="617"/>
      <c r="H223" s="617"/>
      <c r="I223" s="617"/>
      <c r="J223" s="617"/>
      <c r="K223" s="1693">
        <f t="shared" si="19"/>
        <v>4382</v>
      </c>
      <c r="L223" s="466">
        <v>4650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734</v>
      </c>
      <c r="E226" s="617"/>
      <c r="F226" s="617"/>
      <c r="G226" s="617"/>
      <c r="H226" s="617"/>
      <c r="I226" s="617"/>
      <c r="J226" s="617"/>
      <c r="K226" s="1693">
        <f t="shared" si="19"/>
        <v>734</v>
      </c>
      <c r="L226" s="466">
        <v>625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96011</v>
      </c>
      <c r="E229" s="617"/>
      <c r="F229" s="617"/>
      <c r="G229" s="617"/>
      <c r="H229" s="617"/>
      <c r="I229" s="617"/>
      <c r="J229" s="617"/>
      <c r="K229" s="1692">
        <f>SUM(K215:K228)</f>
        <v>96011</v>
      </c>
      <c r="L229" s="1692">
        <f>SUM(L215:L228)</f>
        <v>97100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1527</v>
      </c>
      <c r="E232" s="617"/>
      <c r="F232" s="617"/>
      <c r="G232" s="617"/>
      <c r="H232" s="617"/>
      <c r="I232" s="617"/>
      <c r="J232" s="617"/>
      <c r="K232" s="1693">
        <f t="shared" ref="K232:K237" si="20">D232</f>
        <v>1527</v>
      </c>
      <c r="L232" s="466">
        <v>1600</v>
      </c>
    </row>
    <row r="233" spans="1:12" x14ac:dyDescent="0.2">
      <c r="A233" s="1526" t="s">
        <v>1151</v>
      </c>
      <c r="B233" s="615">
        <v>2120</v>
      </c>
      <c r="C233" s="617"/>
      <c r="D233" s="466">
        <v>621</v>
      </c>
      <c r="E233" s="617"/>
      <c r="F233" s="617"/>
      <c r="G233" s="617"/>
      <c r="H233" s="617"/>
      <c r="I233" s="617"/>
      <c r="J233" s="617"/>
      <c r="K233" s="1693">
        <f t="shared" si="20"/>
        <v>621</v>
      </c>
      <c r="L233" s="466">
        <v>700</v>
      </c>
    </row>
    <row r="234" spans="1:12" x14ac:dyDescent="0.2">
      <c r="A234" s="1526" t="s">
        <v>207</v>
      </c>
      <c r="B234" s="615">
        <v>2130</v>
      </c>
      <c r="C234" s="617"/>
      <c r="D234" s="466">
        <v>5693</v>
      </c>
      <c r="E234" s="617"/>
      <c r="F234" s="617"/>
      <c r="G234" s="617"/>
      <c r="H234" s="617"/>
      <c r="I234" s="617"/>
      <c r="J234" s="617"/>
      <c r="K234" s="1693">
        <f t="shared" si="20"/>
        <v>5693</v>
      </c>
      <c r="L234" s="466">
        <v>5700</v>
      </c>
    </row>
    <row r="235" spans="1:12" x14ac:dyDescent="0.2">
      <c r="A235" s="1526" t="s">
        <v>208</v>
      </c>
      <c r="B235" s="615">
        <v>2140</v>
      </c>
      <c r="C235" s="617"/>
      <c r="D235" s="466">
        <v>837</v>
      </c>
      <c r="E235" s="617"/>
      <c r="F235" s="617"/>
      <c r="G235" s="617"/>
      <c r="H235" s="617"/>
      <c r="I235" s="617"/>
      <c r="J235" s="617"/>
      <c r="K235" s="1693">
        <f t="shared" si="20"/>
        <v>837</v>
      </c>
      <c r="L235" s="466">
        <v>1000</v>
      </c>
    </row>
    <row r="236" spans="1:12" x14ac:dyDescent="0.2">
      <c r="A236" s="1526" t="s">
        <v>209</v>
      </c>
      <c r="B236" s="615">
        <v>2150</v>
      </c>
      <c r="C236" s="617"/>
      <c r="D236" s="466">
        <v>726</v>
      </c>
      <c r="E236" s="617"/>
      <c r="F236" s="617"/>
      <c r="G236" s="617"/>
      <c r="H236" s="617"/>
      <c r="I236" s="617"/>
      <c r="J236" s="617"/>
      <c r="K236" s="1693">
        <f t="shared" si="20"/>
        <v>726</v>
      </c>
      <c r="L236" s="466">
        <v>800</v>
      </c>
    </row>
    <row r="237" spans="1:12" x14ac:dyDescent="0.2">
      <c r="A237" s="1526" t="s">
        <v>167</v>
      </c>
      <c r="B237" s="615">
        <v>2190</v>
      </c>
      <c r="C237" s="617"/>
      <c r="D237" s="466">
        <v>27038</v>
      </c>
      <c r="E237" s="617"/>
      <c r="F237" s="617"/>
      <c r="G237" s="617"/>
      <c r="H237" s="617"/>
      <c r="I237" s="617"/>
      <c r="J237" s="617"/>
      <c r="K237" s="1693">
        <f t="shared" si="20"/>
        <v>27038</v>
      </c>
      <c r="L237" s="466">
        <v>27810</v>
      </c>
    </row>
    <row r="238" spans="1:12" ht="12.75" customHeight="1" thickBot="1" x14ac:dyDescent="0.25">
      <c r="A238" s="1690" t="s">
        <v>581</v>
      </c>
      <c r="B238" s="1697" t="s">
        <v>740</v>
      </c>
      <c r="C238" s="617"/>
      <c r="D238" s="1692">
        <f>SUM(D232:D237)</f>
        <v>36442</v>
      </c>
      <c r="E238" s="617"/>
      <c r="F238" s="617"/>
      <c r="G238" s="617"/>
      <c r="H238" s="617"/>
      <c r="I238" s="617"/>
      <c r="J238" s="617"/>
      <c r="K238" s="1692">
        <f>SUM(K232:K237)</f>
        <v>36442</v>
      </c>
      <c r="L238" s="1692">
        <f>SUM(L232:L237)</f>
        <v>37610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328</v>
      </c>
      <c r="E240" s="617"/>
      <c r="F240" s="617"/>
      <c r="G240" s="617"/>
      <c r="H240" s="617"/>
      <c r="I240" s="617"/>
      <c r="J240" s="617"/>
      <c r="K240" s="1694">
        <f>D240</f>
        <v>328</v>
      </c>
      <c r="L240" s="481">
        <v>585</v>
      </c>
    </row>
    <row r="241" spans="1:12" x14ac:dyDescent="0.2">
      <c r="A241" s="1526" t="s">
        <v>869</v>
      </c>
      <c r="B241" s="615">
        <v>2220</v>
      </c>
      <c r="C241" s="617"/>
      <c r="D241" s="466">
        <v>10236</v>
      </c>
      <c r="E241" s="617"/>
      <c r="F241" s="617"/>
      <c r="G241" s="617"/>
      <c r="H241" s="617"/>
      <c r="I241" s="617"/>
      <c r="J241" s="617"/>
      <c r="K241" s="1694">
        <f>D241</f>
        <v>10236</v>
      </c>
      <c r="L241" s="466">
        <v>10660</v>
      </c>
    </row>
    <row r="242" spans="1:12" x14ac:dyDescent="0.2">
      <c r="A242" s="1526" t="s">
        <v>870</v>
      </c>
      <c r="B242" s="615">
        <v>2230</v>
      </c>
      <c r="C242" s="617"/>
      <c r="D242" s="466"/>
      <c r="E242" s="617"/>
      <c r="F242" s="617"/>
      <c r="G242" s="617"/>
      <c r="H242" s="617"/>
      <c r="I242" s="617"/>
      <c r="J242" s="617"/>
      <c r="K242" s="1694">
        <f>D242</f>
        <v>0</v>
      </c>
      <c r="L242" s="466">
        <v>5890</v>
      </c>
    </row>
    <row r="243" spans="1:12" ht="12.75" customHeight="1" thickBot="1" x14ac:dyDescent="0.25">
      <c r="A243" s="1716" t="s">
        <v>582</v>
      </c>
      <c r="B243" s="1717">
        <v>2200</v>
      </c>
      <c r="C243" s="617"/>
      <c r="D243" s="1692">
        <f>SUM(D240:D242)</f>
        <v>10564</v>
      </c>
      <c r="E243" s="617"/>
      <c r="F243" s="617"/>
      <c r="G243" s="617"/>
      <c r="H243" s="617"/>
      <c r="I243" s="617"/>
      <c r="J243" s="617"/>
      <c r="K243" s="1692">
        <f>SUM(K240:K242)</f>
        <v>10564</v>
      </c>
      <c r="L243" s="1692">
        <f>SUM(L240:L242)</f>
        <v>17135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4146+454</f>
        <v>4600</v>
      </c>
      <c r="E245" s="617"/>
      <c r="F245" s="617"/>
      <c r="G245" s="617"/>
      <c r="H245" s="617"/>
      <c r="I245" s="617"/>
      <c r="J245" s="617"/>
      <c r="K245" s="1694">
        <f>D245</f>
        <v>4600</v>
      </c>
      <c r="L245" s="481">
        <v>350</v>
      </c>
    </row>
    <row r="246" spans="1:12" x14ac:dyDescent="0.2">
      <c r="A246" s="1526" t="s">
        <v>872</v>
      </c>
      <c r="B246" s="615">
        <v>2320</v>
      </c>
      <c r="C246" s="617"/>
      <c r="D246" s="466">
        <f>12729+5</f>
        <v>12734</v>
      </c>
      <c r="E246" s="617"/>
      <c r="F246" s="617"/>
      <c r="G246" s="617"/>
      <c r="H246" s="617"/>
      <c r="I246" s="617"/>
      <c r="J246" s="617"/>
      <c r="K246" s="1694">
        <f t="shared" ref="K246:K256" si="21">D246</f>
        <v>12734</v>
      </c>
      <c r="L246" s="466">
        <v>14000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24755</v>
      </c>
      <c r="E254" s="617"/>
      <c r="F254" s="617"/>
      <c r="G254" s="617"/>
      <c r="H254" s="617"/>
      <c r="I254" s="617"/>
      <c r="J254" s="617"/>
      <c r="K254" s="1694">
        <f t="shared" si="21"/>
        <v>24755</v>
      </c>
      <c r="L254" s="466">
        <v>26500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v>20</v>
      </c>
    </row>
    <row r="257" spans="1:14" ht="12.75" customHeight="1" thickBot="1" x14ac:dyDescent="0.25">
      <c r="A257" s="1690" t="s">
        <v>741</v>
      </c>
      <c r="B257" s="1718">
        <v>2300</v>
      </c>
      <c r="C257" s="617"/>
      <c r="D257" s="1692">
        <f>SUM(D245:D256)</f>
        <v>42089</v>
      </c>
      <c r="E257" s="617"/>
      <c r="F257" s="617"/>
      <c r="G257" s="617"/>
      <c r="H257" s="617"/>
      <c r="I257" s="617"/>
      <c r="J257" s="617"/>
      <c r="K257" s="1692">
        <f>SUM(K245:K256)</f>
        <v>42089</v>
      </c>
      <c r="L257" s="1692">
        <f>SUM(L245:L256)</f>
        <v>40870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28451</v>
      </c>
      <c r="E259" s="617"/>
      <c r="F259" s="617"/>
      <c r="G259" s="617"/>
      <c r="H259" s="617"/>
      <c r="I259" s="617"/>
      <c r="J259" s="617"/>
      <c r="K259" s="1694">
        <f>D259</f>
        <v>28451</v>
      </c>
      <c r="L259" s="481">
        <v>28220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28451</v>
      </c>
      <c r="E261" s="617"/>
      <c r="F261" s="617"/>
      <c r="G261" s="617"/>
      <c r="H261" s="617"/>
      <c r="I261" s="617"/>
      <c r="J261" s="617"/>
      <c r="K261" s="1692">
        <f>SUM(K259:K260)</f>
        <v>28451</v>
      </c>
      <c r="L261" s="1692">
        <f>SUM(L259:L260)</f>
        <v>28220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10120</v>
      </c>
      <c r="E264" s="617"/>
      <c r="F264" s="617"/>
      <c r="G264" s="617"/>
      <c r="H264" s="617"/>
      <c r="I264" s="617"/>
      <c r="J264" s="617"/>
      <c r="K264" s="1694">
        <f t="shared" ref="K264:K269" si="22">D264</f>
        <v>10120</v>
      </c>
      <c r="L264" s="466">
        <v>10000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64048</v>
      </c>
      <c r="E266" s="617"/>
      <c r="F266" s="617"/>
      <c r="G266" s="617"/>
      <c r="H266" s="617"/>
      <c r="I266" s="617"/>
      <c r="J266" s="617"/>
      <c r="K266" s="1694">
        <f t="shared" si="22"/>
        <v>64048</v>
      </c>
      <c r="L266" s="466">
        <v>73100</v>
      </c>
    </row>
    <row r="267" spans="1:14" x14ac:dyDescent="0.2">
      <c r="A267" s="1526" t="s">
        <v>1010</v>
      </c>
      <c r="B267" s="615">
        <v>2550</v>
      </c>
      <c r="C267" s="617"/>
      <c r="D267" s="466">
        <v>3099</v>
      </c>
      <c r="E267" s="617"/>
      <c r="F267" s="617"/>
      <c r="G267" s="617"/>
      <c r="H267" s="617"/>
      <c r="I267" s="617"/>
      <c r="J267" s="617"/>
      <c r="K267" s="1694">
        <f t="shared" si="22"/>
        <v>3099</v>
      </c>
      <c r="L267" s="466">
        <v>5000</v>
      </c>
    </row>
    <row r="268" spans="1:14" x14ac:dyDescent="0.2">
      <c r="A268" s="1526" t="s">
        <v>102</v>
      </c>
      <c r="B268" s="615">
        <v>2560</v>
      </c>
      <c r="C268" s="617"/>
      <c r="D268" s="466">
        <v>26058</v>
      </c>
      <c r="E268" s="617"/>
      <c r="F268" s="617"/>
      <c r="G268" s="617"/>
      <c r="H268" s="617"/>
      <c r="I268" s="617"/>
      <c r="J268" s="617"/>
      <c r="K268" s="1694">
        <f t="shared" si="22"/>
        <v>26058</v>
      </c>
      <c r="L268" s="466">
        <v>31400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103325</v>
      </c>
      <c r="E270" s="617"/>
      <c r="F270" s="617"/>
      <c r="G270" s="617"/>
      <c r="H270" s="617"/>
      <c r="I270" s="617"/>
      <c r="J270" s="617"/>
      <c r="K270" s="1692">
        <f>SUM(K263:K269)</f>
        <v>103325</v>
      </c>
      <c r="L270" s="1692">
        <f>SUM(L263:L269)</f>
        <v>119500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10407</v>
      </c>
      <c r="E274" s="617"/>
      <c r="F274" s="617"/>
      <c r="G274" s="617"/>
      <c r="H274" s="617"/>
      <c r="I274" s="617"/>
      <c r="J274" s="617"/>
      <c r="K274" s="1694">
        <f>D274</f>
        <v>10407</v>
      </c>
      <c r="L274" s="466">
        <v>10500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10407</v>
      </c>
      <c r="E277" s="617"/>
      <c r="F277" s="617"/>
      <c r="G277" s="617"/>
      <c r="H277" s="617"/>
      <c r="I277" s="617"/>
      <c r="J277" s="617"/>
      <c r="K277" s="1692">
        <f>SUM(K272:K276)</f>
        <v>10407</v>
      </c>
      <c r="L277" s="1692">
        <f>SUM(L272:L276)</f>
        <v>10500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231278</v>
      </c>
      <c r="E279" s="617"/>
      <c r="F279" s="617"/>
      <c r="G279" s="617"/>
      <c r="H279" s="617"/>
      <c r="I279" s="617"/>
      <c r="J279" s="617"/>
      <c r="K279" s="1699">
        <f>SUM(K238,K243,K257,K261,K270,K277,K278)</f>
        <v>231278</v>
      </c>
      <c r="L279" s="1699">
        <f>SUM(L238,L243,L257,L261,L270,L277,L278)</f>
        <v>253835</v>
      </c>
    </row>
    <row r="280" spans="1:12" ht="15.75" customHeight="1" thickTop="1" thickBot="1" x14ac:dyDescent="0.25">
      <c r="A280" s="1646" t="s">
        <v>930</v>
      </c>
      <c r="B280" s="1635">
        <v>3000</v>
      </c>
      <c r="C280" s="617"/>
      <c r="D280" s="576">
        <v>124</v>
      </c>
      <c r="E280" s="617"/>
      <c r="F280" s="617"/>
      <c r="G280" s="617"/>
      <c r="H280" s="617"/>
      <c r="I280" s="617"/>
      <c r="J280" s="617"/>
      <c r="K280" s="1701">
        <f>D280</f>
        <v>124</v>
      </c>
      <c r="L280" s="576">
        <v>150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5" t="s">
        <v>526</v>
      </c>
      <c r="B295" s="2206"/>
      <c r="C295" s="617"/>
      <c r="D295" s="1692">
        <f>SUM(D229,D279,D280,D285)</f>
        <v>327413</v>
      </c>
      <c r="E295" s="617"/>
      <c r="F295" s="617"/>
      <c r="G295" s="617"/>
      <c r="H295" s="1692">
        <f>H293</f>
        <v>0</v>
      </c>
      <c r="I295" s="617"/>
      <c r="J295" s="617"/>
      <c r="K295" s="1692">
        <f>SUM(K229,K279,K280,K285,K293,K294)</f>
        <v>327413</v>
      </c>
      <c r="L295" s="1692">
        <f>SUM(L229,L279,L280,L285,L293,L294)</f>
        <v>351085</v>
      </c>
    </row>
    <row r="296" spans="1:14" ht="13.5" thickTop="1" x14ac:dyDescent="0.2">
      <c r="A296" s="2187" t="s">
        <v>1053</v>
      </c>
      <c r="B296" s="2188"/>
      <c r="C296" s="617"/>
      <c r="D296" s="619"/>
      <c r="E296" s="617"/>
      <c r="F296" s="617"/>
      <c r="G296" s="617"/>
      <c r="H296" s="688"/>
      <c r="I296" s="617"/>
      <c r="J296" s="617"/>
      <c r="K296" s="1706">
        <f>'Revenues 9-14'!G275-'Expenditures 15-22'!K295</f>
        <v>241130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7" t="s">
        <v>145</v>
      </c>
      <c r="B298" s="219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2" t="s">
        <v>295</v>
      </c>
      <c r="B312" s="2203"/>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8" t="s">
        <v>1053</v>
      </c>
      <c r="B313" s="2199"/>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1" t="s">
        <v>151</v>
      </c>
      <c r="B315" s="221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3" t="s">
        <v>954</v>
      </c>
      <c r="B317" s="221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365850</v>
      </c>
      <c r="D325" s="467">
        <v>49971</v>
      </c>
      <c r="E325" s="467"/>
      <c r="F325" s="467"/>
      <c r="G325" s="467"/>
      <c r="H325" s="467"/>
      <c r="I325" s="467"/>
      <c r="J325" s="467"/>
      <c r="K325" s="1693">
        <f t="shared" si="24"/>
        <v>415821</v>
      </c>
      <c r="L325" s="467">
        <v>430850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365850</v>
      </c>
      <c r="D330" s="1692">
        <f t="shared" ref="D330:J330" si="25">SUM(D319:D329)</f>
        <v>49971</v>
      </c>
      <c r="E330" s="1692">
        <f t="shared" si="25"/>
        <v>0</v>
      </c>
      <c r="F330" s="1692">
        <f t="shared" si="25"/>
        <v>0</v>
      </c>
      <c r="G330" s="1692">
        <f t="shared" si="25"/>
        <v>0</v>
      </c>
      <c r="H330" s="1692">
        <f t="shared" si="25"/>
        <v>0</v>
      </c>
      <c r="I330" s="1692">
        <f t="shared" si="25"/>
        <v>0</v>
      </c>
      <c r="J330" s="1692">
        <f t="shared" si="25"/>
        <v>0</v>
      </c>
      <c r="K330" s="1692">
        <f>SUM(K319:K329)</f>
        <v>415821</v>
      </c>
      <c r="L330" s="1692">
        <f>SUM(L319:L329)</f>
        <v>430850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365850</v>
      </c>
      <c r="D342" s="1692">
        <f>SUM(D330)</f>
        <v>49971</v>
      </c>
      <c r="E342" s="1692">
        <f>SUM(E330)</f>
        <v>0</v>
      </c>
      <c r="F342" s="1692">
        <f>SUM(F330)</f>
        <v>0</v>
      </c>
      <c r="G342" s="1692">
        <f>SUM(G330)</f>
        <v>0</v>
      </c>
      <c r="H342" s="1692">
        <f>SUM(H330,H334,H340)</f>
        <v>0</v>
      </c>
      <c r="I342" s="1692">
        <f>SUM(I330)</f>
        <v>0</v>
      </c>
      <c r="J342" s="1692">
        <f>SUM(J330)</f>
        <v>0</v>
      </c>
      <c r="K342" s="1692">
        <f>SUM(K330,K334,K340)</f>
        <v>415821</v>
      </c>
      <c r="L342" s="1699">
        <f>SUM(L330,L340,L341)</f>
        <v>430850</v>
      </c>
    </row>
    <row r="343" spans="1:14" ht="12.75" customHeight="1" thickTop="1" x14ac:dyDescent="0.2">
      <c r="A343" s="2200" t="s">
        <v>1053</v>
      </c>
      <c r="B343" s="2201"/>
      <c r="C343" s="617"/>
      <c r="D343" s="617"/>
      <c r="E343" s="617"/>
      <c r="F343" s="617"/>
      <c r="G343" s="617"/>
      <c r="H343" s="617"/>
      <c r="I343" s="617"/>
      <c r="J343" s="617"/>
      <c r="K343" s="1706">
        <f>'Revenues 9-14'!J275-'Expenditures 15-22'!K342</f>
        <v>78705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0" t="s">
        <v>1023</v>
      </c>
      <c r="B345" s="219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7" t="s">
        <v>1053</v>
      </c>
      <c r="B368" s="2188"/>
      <c r="C368" s="655"/>
      <c r="D368" s="655"/>
      <c r="E368" s="627"/>
      <c r="F368" s="627"/>
      <c r="G368" s="627"/>
      <c r="H368" s="627"/>
      <c r="I368" s="627"/>
      <c r="J368" s="624"/>
      <c r="K368" s="1693">
        <f>'Revenues 9-14'!K275-'Expenditures 15-22'!K367</f>
        <v>37518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documentManagement/types"/>
    <ds:schemaRef ds:uri="http://purl.org/dc/dcmitype/"/>
    <ds:schemaRef ds:uri="http://schemas.microsoft.com/sharepoint/v3"/>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(2)</vt:lpstr>
      <vt:lpstr> SEFA (3)</vt:lpstr>
      <vt:lpstr> SEFA</vt:lpstr>
      <vt:lpstr>SF&amp;QC Sec-1</vt:lpstr>
      <vt:lpstr>SF&amp;QC Sec-2 (3)</vt:lpstr>
      <vt:lpstr>SF&amp;QC Sec-2 (2)</vt:lpstr>
      <vt:lpstr>SF&amp;QC Sec-2</vt:lpstr>
      <vt:lpstr>SF&amp;QC Sec-3 (2)</vt:lpstr>
      <vt:lpstr>SF&amp;QC Sec-3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2018-12-14T13:32:05Z</cp:lastPrinted>
  <dcterms:created xsi:type="dcterms:W3CDTF">2003-10-29T19:06:34Z</dcterms:created>
  <dcterms:modified xsi:type="dcterms:W3CDTF">2019-01-08T16:54:26Z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