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17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B2"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c r="B2" i="179" l="1"/>
  <c r="B2" i="183"/>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D7762" i="106" s="1"/>
  <c r="K12" i="12"/>
  <c r="K23" i="12"/>
  <c r="K24" i="12" s="1"/>
  <c r="B7733" i="106" s="1"/>
  <c r="D7733" i="106" s="1"/>
  <c r="J12" i="12"/>
  <c r="J21" i="12"/>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F52" i="34" s="1"/>
  <c r="K130" i="29"/>
  <c r="K185" i="29"/>
  <c r="B2836" i="106" s="1"/>
  <c r="D2836" i="106" s="1"/>
  <c r="K122" i="29"/>
  <c r="F15" i="145" s="1"/>
  <c r="F19" i="145" s="1"/>
  <c r="K67" i="29"/>
  <c r="K64" i="29"/>
  <c r="K59" i="29"/>
  <c r="K56" i="29"/>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K69" i="29"/>
  <c r="K70" i="29"/>
  <c r="B1137" i="106" s="1"/>
  <c r="D1137" i="106" s="1"/>
  <c r="D1138" i="106"/>
  <c r="K71" i="29"/>
  <c r="B1139" i="106" s="1"/>
  <c r="D1139" i="106" s="1"/>
  <c r="D1140" i="106"/>
  <c r="K73" i="29"/>
  <c r="B1142" i="106" s="1"/>
  <c r="D1142" i="106" s="1"/>
  <c r="K78" i="29"/>
  <c r="B2973" i="106" s="1"/>
  <c r="D2973" i="106" s="1"/>
  <c r="K79" i="29"/>
  <c r="K80" i="29"/>
  <c r="B2975" i="106" s="1"/>
  <c r="D2975" i="106" s="1"/>
  <c r="K81" i="29"/>
  <c r="K82" i="29"/>
  <c r="B2977" i="106" s="1"/>
  <c r="D2977" i="106" s="1"/>
  <c r="K83" i="29"/>
  <c r="K93" i="29"/>
  <c r="B6997" i="106" s="1"/>
  <c r="D6997" i="106" s="1"/>
  <c r="K94" i="29"/>
  <c r="K95" i="29"/>
  <c r="B7001" i="106" s="1"/>
  <c r="D7001" i="106" s="1"/>
  <c r="K96" i="29"/>
  <c r="K97" i="29"/>
  <c r="B7005" i="106" s="1"/>
  <c r="D7005" i="106" s="1"/>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K126" i="29"/>
  <c r="B1277" i="106" s="1"/>
  <c r="D1277" i="106" s="1"/>
  <c r="D1278" i="106"/>
  <c r="K125" i="29"/>
  <c r="K128" i="29"/>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K215" i="29"/>
  <c r="B3390" i="106" s="1"/>
  <c r="D3390" i="106" s="1"/>
  <c r="K216" i="29"/>
  <c r="F67" i="34" s="1"/>
  <c r="K217" i="29"/>
  <c r="B3391" i="106" s="1"/>
  <c r="D3391" i="106" s="1"/>
  <c r="K218" i="29"/>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s="1"/>
  <c r="B6381" i="106"/>
  <c r="D6381" i="106" s="1"/>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G26" i="108"/>
  <c r="E27" i="108"/>
  <c r="G27" i="108"/>
  <c r="F31" i="108"/>
  <c r="F36" i="108"/>
  <c r="F37" i="108"/>
  <c r="G28" i="108"/>
  <c r="E30" i="108"/>
  <c r="G30" i="108"/>
  <c r="D31" i="108"/>
  <c r="D36" i="108"/>
  <c r="D37" i="108"/>
  <c r="E31" i="108"/>
  <c r="G31" i="108"/>
  <c r="E33" i="108"/>
  <c r="G33" i="108"/>
  <c r="E34" i="108"/>
  <c r="G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6" i="34"/>
  <c r="C67" i="34"/>
  <c r="D67" i="34"/>
  <c r="C68" i="34"/>
  <c r="D68" i="34"/>
  <c r="F68" i="34"/>
  <c r="C69" i="34"/>
  <c r="D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G15" i="4"/>
  <c r="B6032" i="106" s="1"/>
  <c r="D6032"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J22" i="37"/>
  <c r="L22" i="37"/>
  <c r="D24" i="37"/>
  <c r="B4270" i="106" s="1"/>
  <c r="D4270" i="106" s="1"/>
  <c r="L5" i="11"/>
  <c r="B2056" i="106" s="1"/>
  <c r="D2056" i="106" s="1"/>
  <c r="D13" i="7"/>
  <c r="B3726" i="106" s="1"/>
  <c r="D3726" i="106" s="1"/>
  <c r="D9" i="7"/>
  <c r="B1767" i="106" s="1"/>
  <c r="D1767" i="106" s="1"/>
  <c r="F136" i="34"/>
  <c r="F130" i="34"/>
  <c r="F127" i="34"/>
  <c r="B5752" i="106"/>
  <c r="D5752" i="106" s="1"/>
  <c r="K274" i="5"/>
  <c r="C172" i="5"/>
  <c r="B5214" i="106" s="1"/>
  <c r="D5214" i="106" s="1"/>
  <c r="F106" i="34"/>
  <c r="D7" i="7"/>
  <c r="B1763" i="106" s="1"/>
  <c r="D1763" i="106" s="1"/>
  <c r="B1746" i="106"/>
  <c r="D1746" i="106" s="1"/>
  <c r="D17" i="7"/>
  <c r="B4104" i="106" s="1"/>
  <c r="D4104" i="106" s="1"/>
  <c r="D12" i="7"/>
  <c r="B1769" i="106" s="1"/>
  <c r="D1769" i="106" s="1"/>
  <c r="D11" i="7"/>
  <c r="B1768" i="106" s="1"/>
  <c r="D1768" i="106" s="1"/>
  <c r="D15" i="7"/>
  <c r="B1772" i="106" s="1"/>
  <c r="D1772" i="106" s="1"/>
  <c r="B1995" i="106" l="1"/>
  <c r="D1995" i="106" s="1"/>
  <c r="I24" i="12"/>
  <c r="F21" i="8"/>
  <c r="B3689" i="106"/>
  <c r="D3689" i="106" s="1"/>
  <c r="B1473" i="106"/>
  <c r="D1473" i="106" s="1"/>
  <c r="F71" i="34"/>
  <c r="B1280" i="106"/>
  <c r="D1280" i="106" s="1"/>
  <c r="E38" i="108"/>
  <c r="B1276" i="106"/>
  <c r="D1276" i="106" s="1"/>
  <c r="E28" i="108"/>
  <c r="B1136" i="106"/>
  <c r="D1136" i="106" s="1"/>
  <c r="E35" i="108"/>
  <c r="D27" i="108"/>
  <c r="F27" i="108"/>
  <c r="J23" i="12"/>
  <c r="B7727" i="106"/>
  <c r="D7727" i="106" s="1"/>
  <c r="H109" i="5"/>
  <c r="H173" i="5"/>
  <c r="F128" i="34"/>
  <c r="F131" i="34"/>
  <c r="D5" i="4"/>
  <c r="B3406" i="106" s="1"/>
  <c r="D3406" i="106" s="1"/>
  <c r="J274" i="5"/>
  <c r="B7054" i="106" s="1"/>
  <c r="D7054" i="106" s="1"/>
  <c r="E109" i="5"/>
  <c r="E4" i="4" s="1"/>
  <c r="B2630" i="106" s="1"/>
  <c r="D2630" i="106" s="1"/>
  <c r="G38" i="108"/>
  <c r="H342" i="29"/>
  <c r="B6848" i="106"/>
  <c r="D6848" i="106" s="1"/>
  <c r="F34" i="34"/>
  <c r="H367" i="29"/>
  <c r="B7242" i="106"/>
  <c r="D7242" i="106" s="1"/>
  <c r="B3647" i="106"/>
  <c r="D3647" i="106" s="1"/>
  <c r="G352" i="29"/>
  <c r="B3619" i="106"/>
  <c r="D3619" i="106" s="1"/>
  <c r="C352" i="29"/>
  <c r="B3454" i="106"/>
  <c r="D3454" i="106" s="1"/>
  <c r="L15" i="11"/>
  <c r="B3459" i="106" s="1"/>
  <c r="D3459" i="106" s="1"/>
  <c r="E14" i="145"/>
  <c r="G14" i="145" s="1"/>
  <c r="B1124" i="106"/>
  <c r="D1124" i="106" s="1"/>
  <c r="L367" i="29"/>
  <c r="D7245" i="106"/>
  <c r="B3565" i="106"/>
  <c r="D3565" i="106" s="1"/>
  <c r="K41" i="3"/>
  <c r="B1364" i="106"/>
  <c r="D1364" i="106" s="1"/>
  <c r="G210" i="29"/>
  <c r="E15" i="145"/>
  <c r="G15" i="145" s="1"/>
  <c r="B1126" i="106"/>
  <c r="D1126" i="106" s="1"/>
  <c r="L13" i="11"/>
  <c r="B2060" i="106" s="1"/>
  <c r="D2060" i="106" s="1"/>
  <c r="F19" i="7"/>
  <c r="B1807" i="106" s="1"/>
  <c r="D1807" i="106" s="1"/>
  <c r="K350" i="29"/>
  <c r="C342" i="29"/>
  <c r="B7216" i="106" s="1"/>
  <c r="D7216" i="106" s="1"/>
  <c r="B1410" i="106"/>
  <c r="D1410" i="106" s="1"/>
  <c r="E29" i="108"/>
  <c r="G29" i="108"/>
  <c r="K184" i="29"/>
  <c r="F13" i="4" s="1"/>
  <c r="B2596" i="106" s="1"/>
  <c r="D2596" i="106" s="1"/>
  <c r="B1329" i="106"/>
  <c r="D1329" i="106" s="1"/>
  <c r="F61" i="34"/>
  <c r="F28" i="108"/>
  <c r="F41" i="108" s="1"/>
  <c r="G43" i="108" s="1"/>
  <c r="C14" i="4"/>
  <c r="B2558" i="106" s="1"/>
  <c r="D2558" i="106" s="1"/>
  <c r="G172" i="5"/>
  <c r="G173" i="5" s="1"/>
  <c r="B5778" i="106" s="1"/>
  <c r="D5778" i="106" s="1"/>
  <c r="F111" i="34"/>
  <c r="F36" i="34"/>
  <c r="F41" i="34"/>
  <c r="B5770" i="106"/>
  <c r="D5770" i="106" s="1"/>
  <c r="C173" i="5"/>
  <c r="B5223" i="106" s="1"/>
  <c r="D5223" i="106" s="1"/>
  <c r="D109" i="5"/>
  <c r="B5356" i="106" s="1"/>
  <c r="D5356" i="106" s="1"/>
  <c r="F94" i="34"/>
  <c r="C109" i="5"/>
  <c r="B5121" i="106" s="1"/>
  <c r="D5121" i="106" s="1"/>
  <c r="G4" i="4"/>
  <c r="B2603" i="106" s="1"/>
  <c r="D2603" i="106" s="1"/>
  <c r="D4" i="4"/>
  <c r="B2564" i="106" s="1"/>
  <c r="D2564" i="106" s="1"/>
  <c r="D5" i="7"/>
  <c r="B1761" i="106" s="1"/>
  <c r="D1761" i="106" s="1"/>
  <c r="D4" i="7"/>
  <c r="B1760" i="106" s="1"/>
  <c r="D1760" i="106" s="1"/>
  <c r="B5066" i="106"/>
  <c r="D5066" i="106" s="1"/>
  <c r="D54" i="36"/>
  <c r="B4268" i="106"/>
  <c r="D4268" i="106"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F275" i="5"/>
  <c r="B2657" i="106"/>
  <c r="D2657" i="106" s="1"/>
  <c r="D274" i="5"/>
  <c r="B7270" i="106"/>
  <c r="B5906" i="106" l="1"/>
  <c r="D5906" i="106" s="1"/>
  <c r="H6" i="4"/>
  <c r="B2656" i="106" s="1"/>
  <c r="D2656" i="106" s="1"/>
  <c r="B1996" i="106"/>
  <c r="D1996" i="106" s="1"/>
  <c r="I26" i="12"/>
  <c r="B7741" i="106" s="1"/>
  <c r="D7741" i="106" s="1"/>
  <c r="J7" i="4"/>
  <c r="B5914" i="106"/>
  <c r="D5914" i="106" s="1"/>
  <c r="B3628" i="106"/>
  <c r="D3628" i="106" s="1"/>
  <c r="D7255" i="106"/>
  <c r="D7253" i="106"/>
  <c r="D7252" i="106"/>
  <c r="B1365" i="106"/>
  <c r="D1365" i="106" s="1"/>
  <c r="F65" i="34"/>
  <c r="B3568" i="106"/>
  <c r="D3568" i="106" s="1"/>
  <c r="D52" i="36"/>
  <c r="B3621" i="106"/>
  <c r="D3621" i="106" s="1"/>
  <c r="C367" i="29"/>
  <c r="B3622" i="106" s="1"/>
  <c r="D3622" i="106" s="1"/>
  <c r="B3649" i="106"/>
  <c r="D3649" i="106" s="1"/>
  <c r="G367" i="29"/>
  <c r="B3650" i="106" s="1"/>
  <c r="D3650" i="106" s="1"/>
  <c r="B6025" i="106"/>
  <c r="D6025" i="106" s="1"/>
  <c r="H4" i="4"/>
  <c r="B1879" i="106"/>
  <c r="D1879" i="106" s="1"/>
  <c r="H22" i="37"/>
  <c r="L16" i="11"/>
  <c r="B2061" i="106" s="1"/>
  <c r="D2061" i="106" s="1"/>
  <c r="D19" i="7"/>
  <c r="B1775" i="106" s="1"/>
  <c r="D1775" i="106" s="1"/>
  <c r="B3670" i="106"/>
  <c r="D3670" i="106" s="1"/>
  <c r="K352" i="29"/>
  <c r="K342" i="29"/>
  <c r="F13" i="34" s="1"/>
  <c r="L114" i="29"/>
  <c r="C114" i="29"/>
  <c r="B757" i="106" s="1"/>
  <c r="D757" i="106" s="1"/>
  <c r="G6" i="4"/>
  <c r="B2604" i="106" s="1"/>
  <c r="D2604" i="106" s="1"/>
  <c r="C6" i="4"/>
  <c r="B2553" i="106" s="1"/>
  <c r="D2553" i="106" s="1"/>
  <c r="F6" i="4"/>
  <c r="B2593" i="106" s="1"/>
  <c r="D259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B5507" i="106"/>
  <c r="D5507" i="106" s="1"/>
  <c r="B7298" i="106"/>
  <c r="B7299" i="106"/>
  <c r="B2655" i="106" l="1"/>
  <c r="D2655" i="106" s="1"/>
  <c r="H8" i="4"/>
  <c r="J17" i="4"/>
  <c r="K13" i="4"/>
  <c r="B3572" i="106" s="1"/>
  <c r="D3572" i="106" s="1"/>
  <c r="B3672" i="106"/>
  <c r="D3672" i="106" s="1"/>
  <c r="K367" i="29"/>
  <c r="B3678" i="106" s="1"/>
  <c r="D3678" i="106" s="1"/>
  <c r="E41" i="108"/>
  <c r="E44" i="108" s="1"/>
  <c r="E45" i="108" s="1"/>
  <c r="G41" i="108"/>
  <c r="G44" i="108" s="1"/>
  <c r="G45" i="108" s="1"/>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F10" i="4"/>
  <c r="B4125" i="106" s="1"/>
  <c r="D4125" i="106" s="1"/>
  <c r="B2595" i="106"/>
  <c r="D2595" i="106" s="1"/>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B2658" i="106" l="1"/>
  <c r="D2658" i="106" s="1"/>
  <c r="H10" i="4"/>
  <c r="B4127" i="106" s="1"/>
  <c r="D4127"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<sst xmlns="http://schemas.openxmlformats.org/spreadsheetml/2006/main" count="5130" uniqueCount="2134">
  <si>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</si>
  <si>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</si>
  <si>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</si>
  <si>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</si>
  <si>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</si>
  <si>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</si>
  <si>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</si>
  <si>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</si>
  <si>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</si>
  <si>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</si>
  <si>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</si>
  <si>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</si>
  <si>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</si>
  <si>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</si>
  <si>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</si>
  <si>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</si>
  <si>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</si>
  <si>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</si>
  <si>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</si>
  <si>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</si>
  <si>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</si>
  <si>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</si>
  <si>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</si>
  <si>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</si>
  <si>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</si>
  <si>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</si>
  <si>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</si>
  <si>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</si>
  <si>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</si>
  <si>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</si>
  <si>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</si>
  <si>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</si>
  <si>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</si>
  <si>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</si>
  <si>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</si>
  <si>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</si>
  <si>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</si>
  <si>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</si>
  <si>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</si>
  <si>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</si>
  <si>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</si>
  <si>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</si>
  <si>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</si>
  <si>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</si>
  <si>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</si>
  <si>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</si>
  <si>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</si>
  <si>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</si>
  <si>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</si>
  <si>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</si>
  <si>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</si>
  <si>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</si>
  <si>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</si>
  <si>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</si>
  <si>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</si>
  <si>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</si>
  <si>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</si>
  <si>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</si>
  <si>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</si>
  <si>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</si>
  <si>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</si>
  <si>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</si>
  <si>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</si>
  <si>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</si>
  <si>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</si>
  <si>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</si>
  <si>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</si>
  <si>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</si>
  <si>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</si>
  <si>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</si>
  <si>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</si>
  <si>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</si>
  <si>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</si>
  <si>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</si>
  <si>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</si>
  <si>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</si>
  <si>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</si>
  <si>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</si>
  <si>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</si>
  <si>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</si>
  <si>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</si>
  <si>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</si>
  <si>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</si>
  <si>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</si>
  <si>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</si>
  <si>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</si>
  <si>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</si>
  <si>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</si>
  <si>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</si>
  <si>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</si>
  <si>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</si>
  <si>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</si>
  <si>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</si>
  <si>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</si>
  <si>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</si>
  <si>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</si>
  <si>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</si>
  <si>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</si>
  <si>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</si>
  <si>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</si>
  <si>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</si>
  <si>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</si>
  <si>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</si>
  <si>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</si>
  <si>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</si>
  <si>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</si>
  <si>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</si>
  <si>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</si>
  <si>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</si>
  <si>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</si>
  <si>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</si>
  <si>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</si>
  <si>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</si>
  <si>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</si>
  <si>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</si>
  <si>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</si>
  <si>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</si>
  <si>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</si>
  <si>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</si>
  <si>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</si>
  <si>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</si>
  <si>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</si>
  <si>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</si>
  <si>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</si>
  <si>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</si>
  <si>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</si>
  <si>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</si>
  <si>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</si>
  <si>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</si>
  <si>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</si>
  <si>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</si>
  <si>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</si>
  <si>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</si>
  <si>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</si>
  <si>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</si>
  <si>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</si>
  <si>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</si>
  <si>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</si>
  <si>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</si>
  <si>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</si>
  <si>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</si>
  <si>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</si>
  <si>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</si>
  <si>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</si>
  <si>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</si>
  <si>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</si>
  <si>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</si>
  <si>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</si>
  <si>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</si>
  <si>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</si>
  <si>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</si>
  <si>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</si>
  <si>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</si>
  <si>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</si>
  <si>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</si>
  <si>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</si>
  <si>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</si>
  <si>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</si>
  <si>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</si>
  <si>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</si>
  <si>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</si>
  <si>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</si>
  <si>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</si>
  <si>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</si>
  <si>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</si>
  <si>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</si>
  <si>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</si>
  <si>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</si>
  <si>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</si>
  <si>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</si>
  <si>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</si>
  <si>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</si>
  <si>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</si>
  <si>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</si>
  <si>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</si>
  <si>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</si>
  <si>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</si>
  <si>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</si>
  <si>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</si>
  <si>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</si>
  <si>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</si>
  <si>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</si>
  <si>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</si>
  <si>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</si>
  <si>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</si>
  <si>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</si>
  <si>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</si>
  <si>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</si>
  <si>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</si>
  <si>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</si>
  <si>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</si>
  <si>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</si>
  <si>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</si>
  <si>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</si>
  <si>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</si>
  <si>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</si>
  <si>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</si>
  <si>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</si>
  <si>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</si>
  <si>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</si>
  <si>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</si>
  <si>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</si>
  <si>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</si>
  <si>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</si>
  <si>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</si>
  <si>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</si>
  <si>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</si>
  <si>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</si>
  <si>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</si>
  <si>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</si>
  <si>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</si>
  <si>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</si>
  <si>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</si>
  <si>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</si>
  <si>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</si>
  <si>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</si>
  <si>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</si>
  <si>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</si>
  <si>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</si>
  <si>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</si>
  <si>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</si>
  <si>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</si>
  <si>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</si>
  <si>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</si>
  <si>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</si>
  <si>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</si>
  <si>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</si>
  <si>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</si>
  <si>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</si>
  <si>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</si>
  <si>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</si>
  <si>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</si>
  <si>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</si>
  <si>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</si>
  <si>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</si>
  <si>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</si>
  <si>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</si>
  <si>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</si>
  <si>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</si>
  <si>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</si>
  <si>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</si>
  <si>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</si>
  <si>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</si>
  <si>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</si>
  <si>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</si>
  <si>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</si>
  <si>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</si>
  <si>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</si>
  <si>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</si>
  <si>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</si>
  <si>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</si>
  <si>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</si>
  <si>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</si>
  <si>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</si>
  <si>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</si>
  <si>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</si>
  <si>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</si>
  <si>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</si>
  <si>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</si>
  <si>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</si>
  <si>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</si>
  <si>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</si>
  <si>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</si>
  <si>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</si>
  <si>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</si>
  <si>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</si>
  <si>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</si>
  <si>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</si>
  <si>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</si>
  <si>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</si>
  <si>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</si>
  <si>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</si>
  <si>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</si>
  <si>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</si>
  <si>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</si>
  <si>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</si>
  <si>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</si>
  <si>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</si>
  <si>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</si>
  <si>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</si>
  <si>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</si>
  <si>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</si>
  <si>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</si>
  <si>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</si>
  <si>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</si>
  <si>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</si>
  <si>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</si>
  <si>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</si>
  <si>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</si>
  <si>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</si>
  <si>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</si>
  <si>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</si>
  <si>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</si>
  <si>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</si>
  <si>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</si>
  <si>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</si>
  <si>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</si>
  <si>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</si>
  <si>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</si>
  <si>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</si>
  <si>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</si>
  <si>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</si>
  <si>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</si>
  <si>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</si>
  <si>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</si>
  <si>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</si>
  <si>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</si>
  <si>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</si>
  <si>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</si>
  <si>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</si>
  <si>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</si>
  <si>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</si>
  <si>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</si>
  <si>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</si>
  <si>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</si>
  <si>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</si>
  <si>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</si>
  <si>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</si>
  <si>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</si>
  <si>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</si>
  <si>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</si>
  <si>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</si>
  <si>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</si>
  <si>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</si>
  <si>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</si>
  <si>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</si>
  <si>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</si>
  <si>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</si>
  <si>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</si>
  <si>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</si>
  <si>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</si>
  <si>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</si>
  <si>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</si>
  <si>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</si>
  <si>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</si>
  <si>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</si>
  <si>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</si>
  <si>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</si>
  <si>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</si>
  <si>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</si>
  <si>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</si>
  <si>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</si>
  <si>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</si>
  <si>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</si>
  <si>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</si>
  <si>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</si>
  <si>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</si>
  <si>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</si>
  <si>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</si>
  <si>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</si>
  <si>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</si>
  <si>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</si>
  <si>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</si>
  <si>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</si>
  <si>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</si>
  <si>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</si>
  <si>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</si>
  <si>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</si>
  <si>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</si>
  <si>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</si>
  <si>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</si>
  <si>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</si>
  <si>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</si>
  <si>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</si>
  <si>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</si>
  <si>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</si>
  <si>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</si>
  <si>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</si>
  <si>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</si>
  <si>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</si>
  <si>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</si>
  <si>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</si>
  <si>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</si>
  <si>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</si>
  <si>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</si>
  <si>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</si>
  <si>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</si>
  <si>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</si>
  <si>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</si>
  <si>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</si>
  <si>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</si>
  <si>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</si>
  <si>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</si>
  <si>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</si>
  <si>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</si>
  <si>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</si>
  <si>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</si>
  <si>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</si>
  <si>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</si>
  <si>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</si>
  <si>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</si>
  <si>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</si>
  <si>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</si>
  <si>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</si>
  <si>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</si>
  <si>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</si>
  <si>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</si>
  <si>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</si>
  <si>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</si>
  <si>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</si>
  <si>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</si>
  <si>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</si>
  <si>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</si>
  <si>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</si>
  <si>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</si>
  <si>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</si>
  <si>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</si>
  <si>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</si>
  <si>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</si>
  <si>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</si>
  <si>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</si>
  <si>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</si>
  <si>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</si>
  <si>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</si>
  <si>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</si>
  <si>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</si>
  <si>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</si>
  <si>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</si>
  <si>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</si>
  <si>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</si>
  <si>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</si>
  <si>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</si>
  <si>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</si>
  <si>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</si>
  <si>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</si>
  <si>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</si>
  <si>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</si>
  <si>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</si>
  <si>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</si>
  <si>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</si>
  <si>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</si>
  <si>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</si>
  <si>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</si>
  <si>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</si>
  <si>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</si>
  <si>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</si>
  <si>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</si>
  <si>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</si>
  <si>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</si>
  <si>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</si>
  <si>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</si>
  <si>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</si>
  <si>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</si>
  <si>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</si>
  <si>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</si>
  <si>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</si>
  <si>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</si>
  <si>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</si>
  <si>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</si>
  <si>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</si>
  <si>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</si>
  <si>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</si>
  <si>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</si>
  <si>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</si>
  <si>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</si>
  <si>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</si>
  <si>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</si>
  <si>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</si>
  <si>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</si>
  <si>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</si>
  <si>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</si>
  <si>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</si>
  <si>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</si>
  <si>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</si>
  <si>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</si>
  <si>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</si>
  <si>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</si>
  <si>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</si>
  <si>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</si>
  <si>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</si>
  <si>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</si>
  <si>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</si>
  <si>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</si>
  <si>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</si>
  <si>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</si>
  <si>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</si>
  <si>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</si>
  <si>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</si>
  <si>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</si>
  <si>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</si>
  <si>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</si>
  <si>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</si>
  <si>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</si>
  <si>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</si>
  <si>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</si>
  <si>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</si>
  <si>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</si>
  <si>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</si>
  <si>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</si>
  <si>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</si>
  <si>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</si>
  <si>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</si>
  <si>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</si>
  <si>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</si>
  <si>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</si>
  <si>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</si>
  <si>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</si>
  <si>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</si>
  <si>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</si>
  <si>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</si>
  <si>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</si>
  <si>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</si>
  <si>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</si>
  <si>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</si>
  <si>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</si>
  <si>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</si>
  <si>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</si>
  <si>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</si>
  <si>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</si>
  <si>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</si>
  <si>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</si>
  <si>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</si>
  <si>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</si>
  <si>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</si>
  <si>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</si>
  <si>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</si>
  <si>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</si>
  <si>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</si>
  <si>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</si>
  <si>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</si>
  <si>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</si>
  <si>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</si>
  <si>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</si>
  <si>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</si>
  <si>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</si>
  <si>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</si>
  <si>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</si>
  <si>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</si>
  <si>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</si>
  <si>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</si>
  <si>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</si>
  <si>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</si>
  <si>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</si>
  <si>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</si>
  <si>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</si>
  <si>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</si>
  <si>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</si>
  <si>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</si>
  <si>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</si>
  <si>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</si>
  <si>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</si>
  <si>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</si>
  <si>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</si>
  <si>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</si>
  <si>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</si>
  <si>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</si>
  <si>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</si>
  <si>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</si>
  <si>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</si>
  <si>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</si>
  <si>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</si>
  <si>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</si>
  <si>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</si>
  <si>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</si>
  <si>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</si>
  <si>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</si>
  <si>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</si>
  <si>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</si>
  <si>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</si>
  <si>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</si>
  <si>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</si>
  <si>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</si>
  <si>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</si>
  <si>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</si>
  <si>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</si>
  <si>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</si>
  <si>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</si>
  <si>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</si>
  <si>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</si>
  <si>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</si>
  <si>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</si>
  <si>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</si>
  <si>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</si>
  <si>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</si>
  <si>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</si>
  <si>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</si>
  <si>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</si>
  <si>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</si>
  <si>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</si>
  <si>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</si>
  <si>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</si>
  <si>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</si>
  <si>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</si>
  <si>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</si>
  <si>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</si>
  <si>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</si>
  <si>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</si>
  <si>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</si>
  <si>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</si>
  <si>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</si>
  <si>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</si>
  <si>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</si>
  <si>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</si>
  <si>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</si>
  <si>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</si>
  <si>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</si>
  <si>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</si>
  <si>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</si>
  <si>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</si>
  <si>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</si>
  <si>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</si>
  <si>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</si>
  <si>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</si>
  <si>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</si>
  <si>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</si>
  <si>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</si>
  <si>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</si>
  <si>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</si>
  <si>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</si>
  <si>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</si>
  <si>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</si>
  <si>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</si>
  <si>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</si>
  <si>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</si>
  <si>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</si>
  <si>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</si>
  <si>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</si>
  <si>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</si>
  <si>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</si>
  <si>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</si>
  <si>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</si>
  <si>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</si>
  <si>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</si>
  <si>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</si>
  <si>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</si>
  <si>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</si>
  <si>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</si>
  <si>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</si>
  <si>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</si>
  <si>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</si>
  <si>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</si>
  <si>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</si>
  <si>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</si>
  <si>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</si>
  <si>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</si>
  <si>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</si>
  <si>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</si>
  <si>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</si>
  <si>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</si>
  <si>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</si>
  <si>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</si>
  <si>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</si>
  <si>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</si>
  <si>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</si>
  <si>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</si>
  <si>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</si>
  <si>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</si>
  <si>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</si>
  <si>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</si>
  <si>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</si>
  <si>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</si>
  <si>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</si>
  <si>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</si>
  <si>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</si>
  <si>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</si>
  <si>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</si>
  <si>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</si>
  <si>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</si>
  <si>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</si>
  <si>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</si>
  <si>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</si>
  <si>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</si>
  <si>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</si>
  <si>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</si>
  <si>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</si>
  <si>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</si>
  <si>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</si>
  <si>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</si>
  <si>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</si>
  <si>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</si>
  <si>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</si>
  <si>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</si>
  <si>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</si>
  <si>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</si>
  <si>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</si>
  <si>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</si>
  <si>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</si>
  <si>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</si>
  <si>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</si>
  <si>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</si>
  <si>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</si>
  <si>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</si>
  <si>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</si>
  <si>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</si>
  <si>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</si>
  <si>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</si>
  <si>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</si>
  <si>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</si>
  <si>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</si>
  <si>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</si>
  <si>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</si>
  <si>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</si>
  <si>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</si>
  <si>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</si>
  <si>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</si>
  <si>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</si>
  <si>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</si>
  <si>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</si>
  <si>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</si>
  <si>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</si>
  <si>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</si>
  <si>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</si>
  <si>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</si>
  <si>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</si>
  <si>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</si>
  <si>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</si>
  <si>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</si>
  <si>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</si>
  <si>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</si>
  <si>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</si>
  <si>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</si>
  <si>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</si>
  <si>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</si>
  <si>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</si>
  <si>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</si>
  <si>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</si>
  <si>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</si>
  <si>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</si>
  <si>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</si>
  <si>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</si>
  <si>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</si>
  <si>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</si>
  <si>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</si>
  <si>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</si>
  <si>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</si>
  <si>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</si>
  <si>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</si>
  <si>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</si>
  <si>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</si>
  <si>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</si>
  <si>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</si>
  <si>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</si>
  <si>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</si>
  <si>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</si>
  <si>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</si>
  <si>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</si>
  <si>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</si>
  <si>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</si>
  <si>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</si>
  <si>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</si>
  <si>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</si>
  <si>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</si>
  <si>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</si>
  <si>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</si>
  <si>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</si>
  <si>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</si>
  <si>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</si>
  <si>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</si>
  <si>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</si>
  <si>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</si>
  <si>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</si>
  <si>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</si>
  <si>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</si>
  <si>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</si>
  <si>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</si>
  <si>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</si>
  <si>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</si>
  <si>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</si>
  <si>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</si>
  <si>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</si>
  <si>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</si>
  <si>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</si>
  <si>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</si>
  <si>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</si>
  <si>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</si>
  <si>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</si>
  <si>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</si>
  <si>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</si>
  <si>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</si>
  <si>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</si>
  <si>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</si>
  <si>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</si>
  <si>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</si>
  <si>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</si>
  <si>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</si>
  <si>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</si>
  <si>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</si>
  <si>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</si>
  <si>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</si>
  <si>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</si>
  <si>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</si>
  <si>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</si>
  <si>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</si>
  <si>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</si>
  <si>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</si>
  <si>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</si>
  <si>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</si>
  <si>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</si>
  <si>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</si>
  <si>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</si>
  <si>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</si>
  <si>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</si>
  <si>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</si>
  <si>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</si>
  <si>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</si>
  <si>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</si>
  <si>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</si>
  <si>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</si>
  <si>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</si>
  <si>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</si>
  <si>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</si>
  <si>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</si>
  <si>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</si>
  <si>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</si>
  <si>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</si>
  <si>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</si>
  <si>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</si>
  <si>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</si>
  <si>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</si>
  <si>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</si>
  <si>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</si>
  <si>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</si>
  <si>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</si>
  <si>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</si>
  <si>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</si>
  <si>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</si>
  <si>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</si>
  <si>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</si>
  <si>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</si>
  <si>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</si>
  <si>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</si>
  <si>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</si>
  <si>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</si>
  <si>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</si>
  <si>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</si>
  <si>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</si>
  <si>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</si>
  <si>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</si>
  <si>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</si>
  <si>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</si>
  <si>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</si>
  <si>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</si>
  <si>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</si>
  <si>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</si>
  <si>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</si>
  <si>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</si>
  <si>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</si>
  <si>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</si>
  <si>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</si>
  <si>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</si>
  <si>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</si>
  <si>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</si>
  <si>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</si>
  <si>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</si>
  <si>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</si>
  <si>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</si>
  <si>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</si>
  <si>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</si>
  <si>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</si>
  <si>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</si>
  <si>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</si>
  <si>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</si>
  <si>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</si>
  <si>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</si>
  <si>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</si>
  <si>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</si>
  <si>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</si>
  <si>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</si>
  <si>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</si>
  <si>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</si>
  <si>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</si>
  <si>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</si>
  <si>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</si>
  <si>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</si>
  <si>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</si>
  <si>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</si>
  <si>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</si>
  <si>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</si>
  <si>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</si>
  <si>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</si>
  <si>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</si>
  <si>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</si>
  <si>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</si>
  <si>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</si>
  <si>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</si>
  <si>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</si>
  <si>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</si>
  <si>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</si>
  <si>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</si>
  <si>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</si>
  <si>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</si>
  <si>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</si>
  <si>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</si>
  <si>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</si>
  <si>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</si>
  <si>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</si>
  <si>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</si>
  <si>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</si>
  <si>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</si>
  <si>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</si>
  <si>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</si>
  <si>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</si>
  <si>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</si>
  <si>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</si>
  <si>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</si>
  <si>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</si>
  <si>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</si>
  <si>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</si>
  <si>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</si>
  <si>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</si>
  <si>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</si>
  <si>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</si>
  <si>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</si>
  <si>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</si>
  <si>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</si>
  <si>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</si>
  <si>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</si>
  <si>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</si>
  <si>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</si>
  <si>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</si>
  <si>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</si>
  <si>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</si>
  <si>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</si>
  <si>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</si>
  <si>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</si>
  <si>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</si>
  <si>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</si>
  <si>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</si>
  <si>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</si>
  <si>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</si>
  <si>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</si>
  <si>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</si>
  <si>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</si>
  <si>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</si>
  <si>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</si>
  <si>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</si>
  <si>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</si>
  <si>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</si>
  <si>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</si>
  <si>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</si>
  <si>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</si>
  <si>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</si>
  <si>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</si>
  <si>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</si>
  <si>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</si>
  <si>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</si>
  <si>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</si>
  <si>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</si>
  <si>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</si>
  <si>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</si>
  <si>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</si>
  <si>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</si>
  <si>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</si>
  <si>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</si>
  <si>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</si>
  <si>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</si>
  <si>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</si>
  <si>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</si>
  <si>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</si>
  <si>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</si>
  <si>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</si>
  <si>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</si>
  <si>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</si>
  <si>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</si>
  <si>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</si>
  <si>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</si>
  <si>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</si>
  <si>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</si>
  <si>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</si>
  <si>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</si>
  <si>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</si>
  <si>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</si>
  <si>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</si>
  <si>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</si>
  <si>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</si>
  <si>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</si>
  <si>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</si>
  <si>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</si>
  <si>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</si>
  <si>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</si>
  <si>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</si>
  <si>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</si>
  <si>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</si>
  <si>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</si>
  <si>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</si>
  <si>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</si>
  <si>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</si>
  <si>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</si>
  <si>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</si>
  <si>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</si>
  <si>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</si>
  <si>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</si>
  <si>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</si>
  <si>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</si>
  <si>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</si>
  <si>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</si>
  <si>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</si>
  <si>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</si>
  <si>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</si>
  <si>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</si>
  <si>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</si>
  <si>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</si>
  <si>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</si>
  <si>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</si>
  <si>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</si>
  <si>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</si>
  <si>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</si>
  <si>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</si>
  <si>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</si>
  <si>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</si>
  <si>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</si>
  <si>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</si>
  <si>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</si>
  <si>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</si>
  <si>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</si>
  <si>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</si>
  <si>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</si>
  <si>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</si>
  <si>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</si>
  <si>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</si>
  <si>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</si>
  <si>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</si>
  <si>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</si>
  <si>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</si>
  <si>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</si>
  <si>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</si>
  <si>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</si>
  <si>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</si>
  <si>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</si>
  <si>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</si>
  <si>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</si>
  <si>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</si>
  <si>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</si>
  <si>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</si>
  <si>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</si>
  <si>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</si>
  <si>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</si>
  <si>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</si>
  <si>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</si>
  <si>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</si>
  <si>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</si>
  <si>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</si>
  <si>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</si>
  <si>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</si>
  <si>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</si>
  <si>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</si>
  <si>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</si>
  <si>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</si>
  <si>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</si>
  <si>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</si>
  <si>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</si>
  <si>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</si>
  <si>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</si>
  <si>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</si>
  <si>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</si>
  <si>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</si>
  <si>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</si>
  <si>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</si>
  <si>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</si>
  <si>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</si>
  <si>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</si>
  <si>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</si>
  <si>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</si>
  <si>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</si>
  <si>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</si>
  <si>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</si>
  <si>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</si>
  <si>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</si>
  <si>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</si>
  <si>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</si>
  <si>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</si>
  <si>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</si>
  <si>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</si>
  <si>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</si>
  <si>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</si>
  <si>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</si>
  <si>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</si>
  <si>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</si>
  <si>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</si>
  <si>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</si>
  <si>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</si>
  <si>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</si>
  <si>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</si>
  <si>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</si>
  <si>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</si>
  <si>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</si>
  <si>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</si>
  <si>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</si>
  <si>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</si>
  <si>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</si>
  <si>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</si>
  <si>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</si>
  <si>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</si>
  <si>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</si>
  <si>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</si>
  <si>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</si>
  <si>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</si>
  <si>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</si>
  <si>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</si>
  <si>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</si>
  <si>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</si>
  <si>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</si>
  <si>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</si>
  <si>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</si>
  <si>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</si>
  <si>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</si>
  <si>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</si>
  <si>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</si>
  <si>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</si>
  <si>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</si>
  <si>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</si>
  <si>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</si>
  <si>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</si>
  <si>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</si>
  <si>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</si>
  <si>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</si>
  <si>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</si>
  <si>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</si>
  <si>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</si>
  <si>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</si>
  <si>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</si>
  <si>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</si>
  <si>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</si>
  <si>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</si>
  <si>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</si>
  <si>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</si>
  <si>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</si>
  <si>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</si>
  <si>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</si>
  <si>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</si>
  <si>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</si>
  <si>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</si>
  <si>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</si>
  <si>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</si>
  <si>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</si>
  <si>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</si>
  <si>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</si>
  <si>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</si>
  <si>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</si>
  <si>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</si>
  <si>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</si>
  <si>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</si>
  <si>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</si>
  <si>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</si>
  <si>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</si>
  <si>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</si>
  <si>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</si>
  <si>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</si>
  <si>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</si>
  <si>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</si>
  <si>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</si>
  <si>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</si>
  <si>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</si>
  <si>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</si>
  <si>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</si>
  <si>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</si>
  <si>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</si>
  <si>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</si>
  <si>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</si>
  <si>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</si>
  <si>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</si>
  <si>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</si>
  <si>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</si>
  <si>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</si>
  <si>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</si>
  <si>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</si>
  <si>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</si>
  <si>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</si>
  <si>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</si>
  <si>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</si>
  <si>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</si>
  <si>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</si>
  <si>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</si>
  <si>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</si>
  <si>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</si>
  <si>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</si>
  <si>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</si>
  <si>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</si>
  <si>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</si>
  <si>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</si>
  <si>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</si>
  <si>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</si>
  <si>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</si>
  <si>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</si>
  <si>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</si>
  <si>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</si>
  <si>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</si>
  <si>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</si>
  <si>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</si>
  <si>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</si>
  <si>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</si>
  <si>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</si>
  <si>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</si>
  <si>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</si>
  <si>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</si>
  <si>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</si>
  <si>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</si>
  <si>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</si>
  <si>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</si>
  <si>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</si>
  <si>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</si>
  <si>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</si>
  <si>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</si>
  <si>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</si>
  <si>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</si>
  <si>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</si>
  <si>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</si>
  <si>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</si>
  <si>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</si>
  <si>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</si>
  <si>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</si>
  <si>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</si>
  <si>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</si>
  <si>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</si>
  <si>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</si>
  <si>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</si>
  <si>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</si>
  <si>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</si>
  <si>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</si>
  <si>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</si>
  <si>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</si>
  <si>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</si>
  <si>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</si>
  <si>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</si>
  <si>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</si>
  <si>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</si>
  <si>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</si>
  <si>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</si>
  <si>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</si>
  <si>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</si>
  <si>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</si>
  <si>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</si>
  <si>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</si>
  <si>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</si>
  <si>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</si>
  <si>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</si>
  <si>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</si>
  <si>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</si>
  <si>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</si>
  <si>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</si>
  <si>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</si>
  <si>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</si>
  <si>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</si>
  <si>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</si>
  <si>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</si>
  <si>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</si>
  <si>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</si>
  <si>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</si>
  <si>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</si>
  <si>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</si>
  <si>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</si>
  <si>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</si>
  <si>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</si>
  <si>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</si>
  <si>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</si>
  <si>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</si>
  <si>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</si>
  <si>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</si>
  <si>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</si>
  <si>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</si>
  <si>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</si>
  <si>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</si>
  <si>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</si>
  <si>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</si>
  <si>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</si>
  <si>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</si>
  <si>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</si>
  <si>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</si>
  <si>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</si>
  <si>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</si>
  <si>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</si>
  <si>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</si>
  <si>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</si>
  <si>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</si>
  <si>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</si>
  <si>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</si>
  <si>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</si>
  <si>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</si>
  <si>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</si>
  <si>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</si>
  <si>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</si>
  <si>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</si>
  <si>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</si>
  <si>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</si>
  <si>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</si>
  <si>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</si>
  <si>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</si>
  <si>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</si>
  <si>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</si>
  <si>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</si>
  <si>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</si>
  <si>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</si>
  <si>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</si>
  <si>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</si>
  <si>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</si>
  <si>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</si>
  <si>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</si>
  <si>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</si>
  <si>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</si>
  <si>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</si>
  <si>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</si>
  <si>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</si>
  <si>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</si>
  <si>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</si>
  <si>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</si>
  <si>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</si>
  <si>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</si>
  <si>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</si>
  <si>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</si>
  <si>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</si>
  <si>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</si>
  <si>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</si>
  <si>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</si>
  <si>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</si>
  <si>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</si>
  <si>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</si>
  <si>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</si>
  <si>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</si>
  <si>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</si>
  <si>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</si>
  <si>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</si>
  <si>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</si>
  <si>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</si>
  <si>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</si>
  <si>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</si>
  <si>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</si>
  <si>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</si>
  <si>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</si>
  <si>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</si>
  <si>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</si>
  <si>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</si>
  <si>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</si>
  <si>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</si>
  <si>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</si>
  <si>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</si>
  <si>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</si>
  <si>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</si>
  <si>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</si>
  <si>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</si>
  <si>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</si>
  <si>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</si>
  <si>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</si>
  <si>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</si>
  <si>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</si>
  <si>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</si>
  <si>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</si>
  <si>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</si>
  <si>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</si>
  <si>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</si>
  <si>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</si>
  <si>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</si>
  <si>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</si>
  <si>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</si>
  <si>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</si>
  <si>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</si>
  <si>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</si>
  <si>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</si>
  <si>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</si>
  <si>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</si>
  <si>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</si>
  <si>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</si>
  <si>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</si>
  <si>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</si>
  <si>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</si>
  <si>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</si>
  <si>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</si>
  <si>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</si>
  <si>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</si>
  <si>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</si>
  <si>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</si>
  <si>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</si>
  <si>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</si>
  <si>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</si>
  <si>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</si>
  <si>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</si>
  <si>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</si>
  <si>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</si>
  <si>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</si>
  <si>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</si>
  <si>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</si>
  <si>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</si>
  <si>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</si>
  <si>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</si>
  <si>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</si>
  <si>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</si>
  <si>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</si>
  <si>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</si>
  <si>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</si>
  <si>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</si>
  <si>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</si>
  <si>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</si>
  <si>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</si>
  <si>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</si>
  <si>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</si>
  <si>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</si>
  <si>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</si>
  <si>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</si>
  <si>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</si>
  <si>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</si>
  <si>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</si>
  <si>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</si>
  <si>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</si>
  <si>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</si>
  <si>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</si>
  <si>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</si>
  <si>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</si>
  <si>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</si>
  <si>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</si>
  <si>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</si>
  <si>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</si>
  <si>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</si>
  <si>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</si>
  <si>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</si>
  <si>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</si>
  <si>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</si>
  <si>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</si>
  <si>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</si>
  <si>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</si>
  <si>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</si>
  <si>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</si>
  <si>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</si>
  <si>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</si>
  <si>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</si>
  <si>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</si>
  <si>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</si>
  <si>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</si>
  <si>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</si>
  <si>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</si>
  <si>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</si>
  <si>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</si>
  <si>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</si>
  <si>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</si>
  <si>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</si>
  <si>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</si>
  <si>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</si>
  <si>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</si>
  <si>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</si>
  <si>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</si>
  <si>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</si>
  <si>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</si>
  <si>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</si>
  <si>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</si>
  <si>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</si>
  <si>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</si>
  <si>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</si>
  <si>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</si>
  <si>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</si>
  <si>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</si>
  <si>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</si>
  <si>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</si>
  <si>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</si>
  <si>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</si>
  <si>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</si>
  <si>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</si>
  <si>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</si>
  <si>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</si>
  <si>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</si>
  <si>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</si>
  <si>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</si>
  <si>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</si>
  <si>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</si>
  <si>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</si>
  <si>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</si>
  <si>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</si>
  <si>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</si>
  <si>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</si>
  <si>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</si>
  <si>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</si>
  <si>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</si>
  <si>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</si>
  <si>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</si>
  <si>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</si>
  <si>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</si>
  <si>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</si>
  <si>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</si>
  <si>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</si>
  <si>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</si>
  <si>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</si>
  <si>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</si>
  <si>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</si>
  <si>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</si>
  <si>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</si>
  <si>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</si>
  <si>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</si>
  <si>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</si>
  <si>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</si>
  <si>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</si>
  <si>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</si>
  <si>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</si>
  <si>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</si>
  <si>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</si>
  <si>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</si>
  <si>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</si>
  <si>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</si>
  <si>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</si>
  <si>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</si>
  <si>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</si>
  <si>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</si>
  <si>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</si>
  <si>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</si>
  <si>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</si>
  <si>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</si>
  <si>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</si>
  <si>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</si>
  <si>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</si>
  <si>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</si>
  <si>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</si>
  <si>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</si>
  <si>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</si>
  <si>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</si>
  <si>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</si>
  <si>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</si>
  <si>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</si>
  <si>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</si>
  <si>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</si>
  <si>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</si>
  <si>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</si>
  <si>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</si>
  <si>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</si>
  <si>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</si>
  <si>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</si>
  <si>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</si>
  <si>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</si>
  <si>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</si>
  <si>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</si>
  <si>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</si>
  <si>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</si>
  <si>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</si>
  <si>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</si>
  <si>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</si>
  <si>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</si>
  <si>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</si>
  <si>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</si>
  <si>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</si>
  <si>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</si>
  <si>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</si>
  <si>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</si>
  <si>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</si>
  <si>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</si>
  <si>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</si>
  <si>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</si>
  <si>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</si>
  <si>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</si>
  <si>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</si>
  <si>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</si>
  <si>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</si>
  <si>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</si>
  <si>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</si>
  <si>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</si>
  <si>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</si>
  <si>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</si>
  <si>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</si>
  <si>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</si>
  <si>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</si>
  <si>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</si>
  <si>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</si>
  <si>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</si>
  <si>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</si>
  <si>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</si>
  <si>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</si>
  <si>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</si>
  <si>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</si>
  <si>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</si>
  <si>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</si>
  <si>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</si>
  <si>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</si>
  <si>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</si>
  <si>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</si>
  <si>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</si>
  <si>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</si>
  <si>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</si>
  <si>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</si>
  <si>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</si>
  <si>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</si>
  <si>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</si>
  <si>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</si>
  <si>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</si>
  <si>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</si>
  <si>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</si>
  <si>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</si>
  <si>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</si>
  <si>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</si>
  <si>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</si>
  <si>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</si>
  <si>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</si>
  <si>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</si>
  <si>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</si>
  <si>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</si>
  <si>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</si>
  <si>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</si>
  <si>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</si>
  <si>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</si>
  <si>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</si>
  <si>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</si>
  <si>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</si>
  <si>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</si>
  <si>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</si>
  <si>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</si>
  <si>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</si>
  <si>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</si>
  <si>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</si>
  <si>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</si>
  <si>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</si>
  <si>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</si>
  <si>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</si>
  <si>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</si>
  <si>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</si>
  <si>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</si>
  <si>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</si>
  <si>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</si>
  <si>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</si>
  <si>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</si>
  <si>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</si>
  <si>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</si>
  <si>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</si>
  <si>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</si>
  <si>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</si>
  <si>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</si>
  <si>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</si>
  <si>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</si>
  <si>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</si>
  <si>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</si>
  <si>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</si>
  <si>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</si>
  <si>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</si>
  <si>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</si>
  <si>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</si>
  <si>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</si>
  <si>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</si>
  <si>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</si>
  <si>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</si>
  <si>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</si>
  <si>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</si>
  <si>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</si>
  <si>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</si>
  <si>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</si>
  <si>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</si>
  <si>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</si>
  <si>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</si>
  <si>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</si>
  <si>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</si>
  <si>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</si>
  <si>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</si>
  <si>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</si>
  <si>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</si>
  <si>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</si>
  <si>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</si>
  <si>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</si>
  <si>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</si>
  <si>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</si>
  <si>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</si>
  <si>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</si>
  <si>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</si>
  <si>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</si>
  <si>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</si>
  <si>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</si>
  <si>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</si>
  <si>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</si>
  <si>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</si>
  <si>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</si>
  <si>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</si>
  <si>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</si>
  <si>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</si>
  <si>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</si>
  <si>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</si>
  <si>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</si>
  <si>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</si>
  <si>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</si>
  <si>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</si>
  <si>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</si>
  <si>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</si>
  <si>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</si>
  <si>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</si>
  <si>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</si>
  <si>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</si>
  <si>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</si>
  <si>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</si>
  <si>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</si>
  <si>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</si>
  <si>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</si>
  <si>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</si>
  <si>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</si>
  <si>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</si>
  <si>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</si>
  <si>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</si>
  <si>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</si>
  <si>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</si>
  <si>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</si>
  <si>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</si>
  <si>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</si>
  <si>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</si>
  <si>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</si>
  <si>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</si>
  <si>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</si>
  <si>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</si>
  <si>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</si>
  <si>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</si>
  <si>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</si>
  <si>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</si>
  <si>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</si>
  <si>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</si>
  <si>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</si>
  <si>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</si>
  <si>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</si>
  <si>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</si>
  <si>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</si>
  <si>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</si>
  <si>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</si>
  <si>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</si>
  <si>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</si>
  <si>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</si>
  <si>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</si>
  <si>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</si>
  <si>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</si>
  <si>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</si>
  <si>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</si>
  <si>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</si>
  <si>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</si>
  <si>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</si>
  <si>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</si>
  <si>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</si>
  <si>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</si>
  <si>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</si>
  <si>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</si>
  <si>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</si>
  <si>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</si>
  <si>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</si>
  <si>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</si>
  <si>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</si>
  <si>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</si>
  <si>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</si>
  <si>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</si>
  <si>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</si>
  <si>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</si>
  <si>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</si>
  <si>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</si>
  <si>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</si>
  <si>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</si>
  <si>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</si>
  <si>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</si>
  <si>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</si>
  <si>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</si>
  <si>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</si>
  <si>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</si>
  <si>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</si>
  <si>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</si>
  <si>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</si>
  <si>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</si>
  <si>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</si>
  <si>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</si>
  <si>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</si>
  <si>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</si>
  <si>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</si>
  <si>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</si>
  <si>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</si>
  <si>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</si>
  <si>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</si>
  <si>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</si>
  <si>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</si>
  <si>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</si>
  <si>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</si>
  <si>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</si>
  <si>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</si>
  <si>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</si>
  <si>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</si>
  <si>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</si>
  <si>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</si>
  <si>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</si>
  <si>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</si>
  <si>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</si>
  <si>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</si>
  <si>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</si>
  <si>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</si>
  <si>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</si>
  <si>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</si>
  <si>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</si>
  <si>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</si>
  <si>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</si>
  <si>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</si>
  <si>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</si>
  <si>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</si>
  <si>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</si>
  <si>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</si>
  <si>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</si>
  <si>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</si>
  <si>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</si>
  <si>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</si>
  <si>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</si>
  <si>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</si>
  <si>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</si>
  <si>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</si>
  <si>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</si>
  <si>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</si>
  <si>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</si>
  <si>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</si>
  <si>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</si>
  <si>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</si>
  <si>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</si>
  <si>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</si>
  <si>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</si>
  <si>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</si>
  <si>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</si>
  <si>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</si>
  <si>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</si>
  <si>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</si>
  <si>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</si>
  <si>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</si>
  <si>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</si>
  <si>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</si>
  <si>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</si>
  <si>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</si>
  <si>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</si>
  <si>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</si>
  <si>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</si>
  <si>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</si>
  <si>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</si>
  <si>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</si>
  <si>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</si>
  <si>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</si>
  <si>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</si>
  <si>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</si>
  <si>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</si>
  <si>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</si>
  <si>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</si>
  <si>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</si>
  <si>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</si>
  <si>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</si>
  <si>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</si>
  <si>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</si>
  <si>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</si>
  <si>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</si>
  <si>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</si>
  <si>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</si>
  <si>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</si>
  <si>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</si>
  <si>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</si>
  <si>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</si>
  <si>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</si>
  <si>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</si>
  <si>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</si>
  <si>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</si>
  <si>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</si>
  <si>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</si>
  <si>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</si>
  <si>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</si>
  <si>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</si>
  <si>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</si>
  <si>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</si>
  <si>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</si>
  <si>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</si>
  <si>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</si>
  <si>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</si>
  <si>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</si>
  <si>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</si>
  <si>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</si>
  <si>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</si>
  <si>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</si>
  <si>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</si>
  <si>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</si>
  <si>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</si>
  <si>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</si>
  <si>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</si>
  <si>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</si>
  <si>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</si>
  <si>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</si>
  <si>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</si>
  <si>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</si>
  <si>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</si>
  <si>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</si>
  <si>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</si>
  <si>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</si>
  <si>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</si>
  <si>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</si>
  <si>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</si>
  <si>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</si>
  <si>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</si>
  <si>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</si>
  <si>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</si>
  <si>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</si>
  <si>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</si>
  <si>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</si>
  <si>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</si>
  <si>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</si>
  <si>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</si>
  <si>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</si>
  <si>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</si>
  <si>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</si>
  <si>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</si>
  <si>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</si>
  <si>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</si>
  <si>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</si>
  <si>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</si>
  <si>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</si>
  <si>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</si>
  <si>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</si>
  <si>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</si>
  <si>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</si>
  <si>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</si>
  <si>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</si>
  <si>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</si>
  <si>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</si>
  <si>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</si>
  <si>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</si>
  <si>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</si>
  <si>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</si>
  <si>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</si>
  <si>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</si>
  <si>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</si>
  <si>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</si>
  <si>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</si>
  <si>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</si>
  <si>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</si>
  <si>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</si>
  <si>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</si>
  <si>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</si>
  <si>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</si>
  <si>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</si>
  <si>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</si>
  <si>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</si>
  <si>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</si>
  <si>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</si>
  <si>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</si>
  <si>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</si>
  <si>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</si>
  <si>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</si>
  <si>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</si>
  <si>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</si>
  <si>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</si>
  <si>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</si>
  <si>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</si>
  <si>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</si>
  <si>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</si>
  <si>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</si>
  <si>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</si>
  <si>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</si>
  <si>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</si>
  <si>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</si>
  <si>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</si>
  <si>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</si>
  <si>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</si>
  <si>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</si>
  <si>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</si>
  <si>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</si>
  <si>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</si>
  <si>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</si>
  <si>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</si>
  <si>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</si>
  <si>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</si>
  <si>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</si>
  <si>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</si>
  <si>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</si>
  <si>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</si>
  <si>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</si>
  <si>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</si>
  <si>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</si>
  <si>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</si>
  <si>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</si>
  <si>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</si>
  <si>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</si>
  <si>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</si>
  <si>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</si>
  <si>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</si>
  <si>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</si>
  <si>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</si>
  <si>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</si>
  <si>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</si>
  <si>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</si>
  <si>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</si>
  <si>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</si>
  <si>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</si>
  <si>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</si>
  <si>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</si>
  <si>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</si>
  <si>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</si>
  <si>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</si>
  <si>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</si>
  <si>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</si>
  <si>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</si>
  <si>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</si>
  <si>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</si>
  <si>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</si>
  <si>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</si>
  <si>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</si>
  <si>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</si>
  <si>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</si>
  <si>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</si>
  <si>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</si>
  <si>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</si>
  <si>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</si>
  <si>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</si>
  <si>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</si>
  <si>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</si>
  <si>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</si>
  <si>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</si>
  <si>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</si>
  <si>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</si>
  <si>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</si>
  <si>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</si>
  <si>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</si>
  <si>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</si>
  <si>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</si>
  <si>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</si>
  <si>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</si>
  <si>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</si>
  <si>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</si>
  <si>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</si>
  <si>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</si>
  <si>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</si>
  <si>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</si>
  <si>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</si>
  <si>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</si>
  <si>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</si>
  <si>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</si>
  <si>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</si>
  <si>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</si>
  <si>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</si>
  <si>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</si>
  <si>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</si>
  <si>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</si>
  <si>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</si>
  <si>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</si>
  <si>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</si>
  <si>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</si>
  <si>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</si>
  <si>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</si>
  <si>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</si>
  <si>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</si>
  <si>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</si>
  <si>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</si>
  <si>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</si>
  <si>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</si>
  <si>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</si>
  <si>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</si>
  <si>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</si>
  <si>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</si>
  <si>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</si>
  <si>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</si>
  <si>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</si>
  <si>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</si>
  <si>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</si>
  <si>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</si>
  <si>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</si>
  <si>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</si>
  <si>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</si>
  <si>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</si>
  <si>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</si>
  <si>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</si>
  <si>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</si>
  <si>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</si>
  <si>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</si>
  <si>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</si>
  <si>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</si>
  <si>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</si>
  <si>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</si>
  <si>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</si>
  <si>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</si>
  <si>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</si>
  <si>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</si>
  <si>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</si>
  <si>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</si>
  <si>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</si>
  <si>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</si>
  <si>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</si>
  <si>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</si>
  <si>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</si>
  <si>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</si>
  <si>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</si>
  <si>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</si>
  <si>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</si>
  <si>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</si>
  <si>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</si>
  <si>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</si>
  <si>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</si>
  <si>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</si>
  <si>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</si>
  <si>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</si>
  <si>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</si>
  <si>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</si>
  <si>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</si>
  <si>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</si>
  <si>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</si>
  <si>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</si>
  <si>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</si>
  <si>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</si>
  <si>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</si>
  <si>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</si>
  <si>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Moore &amp; Simonin, PC</t>
  </si>
  <si>
    <t>Robert E. Moore, CPA</t>
  </si>
  <si>
    <t>3636 North Belt West</t>
  </si>
  <si>
    <t>Belleville</t>
  </si>
  <si>
    <t>IL</t>
  </si>
  <si>
    <t>618-233-5049</t>
  </si>
  <si>
    <t>618-233-1061</t>
  </si>
  <si>
    <t>066-005248</t>
  </si>
  <si>
    <t>mooresimonin@mrsaccountants.com</t>
  </si>
  <si>
    <t>St. Clair</t>
  </si>
  <si>
    <t>800 Madison St.</t>
  </si>
  <si>
    <t>Lovejoy</t>
  </si>
  <si>
    <t>QZA Bonds</t>
  </si>
  <si>
    <t>Funding Bonds</t>
  </si>
  <si>
    <t>Venice CUSD #3</t>
  </si>
  <si>
    <t>ISLADF</t>
  </si>
  <si>
    <t>East St. Louis Area Joint Agreement</t>
  </si>
  <si>
    <t>ESL Regional Vocational System</t>
  </si>
  <si>
    <t>Page 10, Line 81:  Sports Coop - $9,333</t>
  </si>
  <si>
    <t>Page 12, Line 171:  Other State Grants - $64,394</t>
  </si>
  <si>
    <t>Page 13, Line 210:  School Imprest - $359,667</t>
  </si>
  <si>
    <t>USDA</t>
  </si>
  <si>
    <t>PASSED THROUGH ISBE</t>
  </si>
  <si>
    <t xml:space="preserve">  Commodities</t>
  </si>
  <si>
    <t xml:space="preserve">  School Lunch Program</t>
  </si>
  <si>
    <t>2017-4210</t>
  </si>
  <si>
    <t>2018-4210</t>
  </si>
  <si>
    <t xml:space="preserve">  School Breakfast Program</t>
  </si>
  <si>
    <t>2017-4220</t>
  </si>
  <si>
    <t>2018-4220</t>
  </si>
  <si>
    <t xml:space="preserve">  Summer Food &amp; Service</t>
  </si>
  <si>
    <t>2017-4225</t>
  </si>
  <si>
    <t xml:space="preserve">  Fresh Fruit &amp; Vegetables</t>
  </si>
  <si>
    <t>2017-4240</t>
  </si>
  <si>
    <t>2018-4240</t>
  </si>
  <si>
    <t xml:space="preserve">       TOTAL USDA</t>
  </si>
  <si>
    <t>U.S. DEPT OF EDUCATION</t>
  </si>
  <si>
    <t xml:space="preserve">  Title I</t>
  </si>
  <si>
    <t>2017-4300</t>
  </si>
  <si>
    <t>2018-4300</t>
  </si>
  <si>
    <t xml:space="preserve">  (M) School Improvement Grant</t>
  </si>
  <si>
    <t>2017-4339</t>
  </si>
  <si>
    <t>2018-4339</t>
  </si>
  <si>
    <t xml:space="preserve">  Title II</t>
  </si>
  <si>
    <t>2017-4932</t>
  </si>
  <si>
    <t>2018-4932</t>
  </si>
  <si>
    <t xml:space="preserve">       TOTAL DEPT. OF EDUCATION</t>
  </si>
  <si>
    <t>PASSED THROUGH IDHFS</t>
  </si>
  <si>
    <t xml:space="preserve">  Medicaid Matching</t>
  </si>
  <si>
    <t>2017-4991</t>
  </si>
  <si>
    <t>2018-4991</t>
  </si>
  <si>
    <t xml:space="preserve">       TOTAL DEPT. OF HEALTH &amp; HUMAN SVC</t>
  </si>
  <si>
    <t>TOTAL FEDERAL FINANCIAL ASSISTANCE</t>
  </si>
  <si>
    <r>
      <t xml:space="preserve">The accompanying Schedule of Expenditures of Federal Awards includes the federal grant activity of </t>
    </r>
    <r>
      <rPr>
        <b/>
        <sz val="9"/>
        <rFont val="Calibri"/>
        <family val="2"/>
        <scheme val="minor"/>
      </rPr>
      <t>Brooklyn Unit School District No. 188</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</si>
  <si>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School Improvement Grant</t>
  </si>
  <si>
    <t>NONE</t>
  </si>
  <si>
    <r>
      <t xml:space="preserve">The following amounts were expended in the form of non-cash assistance by </t>
    </r>
    <r>
      <rPr>
        <b/>
        <sz val="9"/>
        <rFont val="Calibri"/>
        <family val="2"/>
        <scheme val="minor"/>
      </rPr>
      <t>Brooklyn Unit School District No. 188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</si>
  <si>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Brooklyn UD 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</si>
</sst>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866775</xdr:colOff>
          <xdr:row>10</xdr:row>
          <xdr:rowOff>57150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38" sqref="A38:H3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2075</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2075</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50082188022</v>
      </c>
      <c r="B13" s="2003"/>
      <c r="C13" s="2003"/>
      <c r="D13" s="2003"/>
      <c r="E13" s="2003"/>
      <c r="F13" s="2003"/>
      <c r="G13" s="2003"/>
      <c r="H13" s="2004"/>
      <c r="I13" s="31"/>
      <c r="J13" s="30"/>
      <c r="K13" s="28"/>
      <c r="L13" s="30"/>
      <c r="M13" s="30"/>
      <c r="N13" s="30"/>
      <c r="O13" s="30"/>
      <c r="P13" s="30"/>
      <c r="Q13" s="30"/>
      <c r="R13" s="30"/>
      <c r="S13" s="30"/>
      <c r="T13" s="2007" t="s">
        <v>2076</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2085</v>
      </c>
      <c r="B15" s="2005"/>
      <c r="C15" s="2005"/>
      <c r="D15" s="2005"/>
      <c r="E15" s="2005"/>
      <c r="F15" s="2005"/>
      <c r="G15" s="2005"/>
      <c r="H15" s="2006"/>
      <c r="T15" s="1968" t="s">
        <v>2077</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2133</v>
      </c>
      <c r="B17" s="2030"/>
      <c r="C17" s="2030"/>
      <c r="D17" s="2030"/>
      <c r="E17" s="2030"/>
      <c r="F17" s="2030"/>
      <c r="G17" s="2030"/>
      <c r="H17" s="2031"/>
      <c r="T17" s="2017" t="s">
        <v>2078</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2086</v>
      </c>
      <c r="B19" s="2001"/>
      <c r="C19" s="2001"/>
      <c r="D19" s="2001"/>
      <c r="E19" s="2001"/>
      <c r="F19" s="2001"/>
      <c r="G19" s="2001"/>
      <c r="H19" s="1999"/>
      <c r="I19" s="30"/>
      <c r="J19" s="99"/>
      <c r="K19" s="40"/>
      <c r="L19" s="38"/>
      <c r="M19" s="112" t="s">
        <v>333</v>
      </c>
      <c r="P19" s="27"/>
      <c r="Q19" s="27"/>
      <c r="R19" s="27"/>
      <c r="S19" s="31"/>
      <c r="T19" s="2000" t="s">
        <v>2079</v>
      </c>
      <c r="U19" s="1998"/>
      <c r="V19" s="1998"/>
      <c r="W19" s="1999"/>
      <c r="X19" s="2015" t="s">
        <v>2080</v>
      </c>
      <c r="Y19" s="2016"/>
      <c r="Z19" s="2013">
        <v>62226</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2087</v>
      </c>
      <c r="B21" s="1998"/>
      <c r="C21" s="1998"/>
      <c r="D21" s="1998"/>
      <c r="E21" s="1998"/>
      <c r="F21" s="1998"/>
      <c r="G21" s="1998"/>
      <c r="H21" s="1999"/>
      <c r="I21" s="2023" t="s">
        <v>699</v>
      </c>
      <c r="J21" s="1986"/>
      <c r="K21" s="1986"/>
      <c r="L21" s="1986"/>
      <c r="M21" s="1986"/>
      <c r="N21" s="1986"/>
      <c r="O21" s="1986"/>
      <c r="P21" s="1986"/>
      <c r="Q21" s="1986"/>
      <c r="R21" s="1986"/>
      <c r="S21" s="1987"/>
      <c r="T21" s="1965" t="s">
        <v>2081</v>
      </c>
      <c r="U21" s="1966"/>
      <c r="V21" s="1966"/>
      <c r="W21" s="1966"/>
      <c r="X21" s="1979" t="s">
        <v>2082</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c r="B23" s="2021"/>
      <c r="C23" s="2021"/>
      <c r="D23" s="2021"/>
      <c r="E23" s="2021"/>
      <c r="F23" s="2021"/>
      <c r="G23" s="2021"/>
      <c r="H23" s="2022"/>
      <c r="T23" s="1960" t="s">
        <v>2083</v>
      </c>
      <c r="U23" s="1961"/>
      <c r="V23" s="1961"/>
      <c r="W23" s="1961"/>
      <c r="X23" s="1976">
        <v>43434</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62059</v>
      </c>
      <c r="B25" s="1998"/>
      <c r="C25" s="1998"/>
      <c r="D25" s="1998"/>
      <c r="E25" s="1998"/>
      <c r="F25" s="1998"/>
      <c r="G25" s="1998"/>
      <c r="H25" s="1999"/>
      <c r="I25" s="113"/>
      <c r="J25" s="2064"/>
      <c r="K25" s="2064"/>
      <c r="L25" s="2064"/>
      <c r="M25" s="2064"/>
      <c r="N25" s="2064"/>
      <c r="O25" s="2064"/>
      <c r="P25" s="2064"/>
      <c r="Q25" s="2064"/>
      <c r="R25" s="2064"/>
      <c r="S25" s="2065"/>
      <c r="T25" s="1957" t="s">
        <v>2084</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2075</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2075</v>
      </c>
      <c r="C30" s="124" t="s">
        <v>1226</v>
      </c>
      <c r="D30" s="28"/>
      <c r="E30" s="28"/>
      <c r="F30" s="140"/>
      <c r="G30" s="114"/>
      <c r="H30" s="114"/>
      <c r="I30" s="54"/>
      <c r="J30" s="148" t="s">
        <v>2075</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2075</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c r="B42" s="2047"/>
      <c r="C42" s="2048"/>
      <c r="D42" s="2061"/>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7" t="s">
        <v>1877</v>
      </c>
    </row>
    <row r="60" spans="1:3" x14ac:dyDescent="0.2">
      <c r="A60" s="196"/>
      <c r="B60" s="1507" t="s">
        <v>1878</v>
      </c>
    </row>
    <row r="61" spans="1:3" ht="6" customHeight="1" x14ac:dyDescent="0.2">
      <c r="A61" s="197"/>
      <c r="B61" s="189"/>
    </row>
    <row r="62" spans="1:3" x14ac:dyDescent="0.2">
      <c r="A62" s="169" t="s">
        <v>1714</v>
      </c>
      <c r="B62" s="198" t="s">
        <v>1874</v>
      </c>
    </row>
    <row r="63" spans="1:3" x14ac:dyDescent="0.2">
      <c r="A63" s="188"/>
      <c r="B63" s="169" t="s">
        <v>1889</v>
      </c>
    </row>
    <row r="64" spans="1:3" x14ac:dyDescent="0.2">
      <c r="A64" s="195"/>
      <c r="B64" s="1509"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8" t="s">
        <v>1717</v>
      </c>
    </row>
    <row r="72" spans="1:9" ht="9" customHeight="1" x14ac:dyDescent="0.2">
      <c r="A72" s="192"/>
      <c r="B72" s="199"/>
    </row>
    <row r="73" spans="1:9" x14ac:dyDescent="0.2">
      <c r="A73" s="189" t="s">
        <v>1718</v>
      </c>
      <c r="B73" s="169" t="s">
        <v>1885</v>
      </c>
    </row>
    <row r="74" spans="1:9" x14ac:dyDescent="0.2">
      <c r="A74" s="189"/>
      <c r="B74" s="169" t="s">
        <v>1884</v>
      </c>
    </row>
    <row r="75" spans="1:9" ht="8.25" customHeight="1" x14ac:dyDescent="0.2">
      <c r="A75" s="189"/>
      <c r="B75" s="189"/>
    </row>
    <row r="76" spans="1:9" ht="12.2" customHeight="1" x14ac:dyDescent="0.2">
      <c r="A76" s="189" t="s">
        <v>1719</v>
      </c>
      <c r="B76" s="198" t="s">
        <v>1886</v>
      </c>
    </row>
    <row r="77" spans="1:9" ht="12.2" customHeight="1" x14ac:dyDescent="0.2">
      <c r="A77" s="190"/>
      <c r="B77" s="169" t="s">
        <v>1720</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5" colorId="8" zoomScale="110" zoomScaleNormal="110" workbookViewId="0">
      <selection activeCell="A8" sqref="A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1894</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2076</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8" sqref="A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4392593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0.02</v>
      </c>
      <c r="E10" s="356" t="s">
        <v>1062</v>
      </c>
      <c r="F10" s="355">
        <v>5.0000000000000001E-3</v>
      </c>
      <c r="G10" s="356" t="s">
        <v>1062</v>
      </c>
      <c r="H10" s="355">
        <v>2E-3</v>
      </c>
      <c r="I10" s="356" t="s">
        <v>1063</v>
      </c>
      <c r="J10" s="1754">
        <f>ROUND(D10+F10+H10,5)</f>
        <v>2.7E-2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2328923</v>
      </c>
      <c r="E16" s="356"/>
      <c r="F16" s="1755">
        <f>SUM('Acct Summary 7-8'!C17,'Acct Summary 7-8'!D17,'Acct Summary 7-8'!F17)</f>
        <v>2325083</v>
      </c>
      <c r="G16" s="356"/>
      <c r="H16" s="1755">
        <f>SUM(D16-F16)</f>
        <v>3840</v>
      </c>
      <c r="I16" s="222"/>
      <c r="J16" s="1755">
        <f>SUM('Acct Summary 7-8'!C81,'Acct Summary 7-8'!D81,'Acct Summary 7-8'!F81,'Acct Summary 7-8'!I81)</f>
        <v>748740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606177.83400000003</v>
      </c>
      <c r="I31" s="368"/>
      <c r="J31" s="222"/>
      <c r="K31" s="222"/>
      <c r="L31" s="222"/>
      <c r="M31" s="222"/>
    </row>
    <row r="32" spans="1:13" ht="13.35" customHeight="1" x14ac:dyDescent="0.2">
      <c r="B32" s="369" t="s">
        <v>2075</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851880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Brooklyn UD 188</v>
      </c>
      <c r="E7" s="391"/>
      <c r="G7" s="252"/>
      <c r="H7" s="387"/>
      <c r="I7" s="387"/>
      <c r="J7" s="387"/>
      <c r="K7" s="387"/>
      <c r="L7" s="329"/>
      <c r="M7" s="329"/>
      <c r="N7" s="329"/>
      <c r="O7" s="329"/>
      <c r="P7" s="329"/>
    </row>
    <row r="8" spans="1:18" ht="12.75" x14ac:dyDescent="0.2">
      <c r="A8" s="329"/>
      <c r="B8" s="329"/>
      <c r="C8" s="389" t="s">
        <v>1187</v>
      </c>
      <c r="D8" s="392">
        <f>COVER!A13</f>
        <v>50082188022</v>
      </c>
      <c r="E8" s="393"/>
      <c r="G8" s="329"/>
      <c r="H8" s="329"/>
      <c r="I8" s="329"/>
      <c r="J8" s="329"/>
      <c r="K8" s="329"/>
      <c r="L8" s="329"/>
      <c r="M8" s="329"/>
      <c r="N8" s="329"/>
      <c r="O8" s="329"/>
      <c r="P8" s="329"/>
    </row>
    <row r="9" spans="1:18" ht="12.75" x14ac:dyDescent="0.2">
      <c r="A9" s="329"/>
      <c r="B9" s="329"/>
      <c r="C9" s="389" t="s">
        <v>737</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748740</v>
      </c>
      <c r="I12" s="404"/>
      <c r="J12" s="404"/>
      <c r="K12" s="405">
        <f>TRUNC((H12/H13*100000),5)/100000</f>
        <v>0.32149624520000003</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2328923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2325083</v>
      </c>
      <c r="I17" s="404"/>
      <c r="J17" s="416"/>
      <c r="K17" s="405">
        <f>TRUNC((H17/H18*100000),5)/100000</f>
        <v>0.99835116909999999</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2328923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747033</v>
      </c>
      <c r="I24" s="422"/>
      <c r="J24" s="422"/>
      <c r="K24" s="423">
        <f>TRUNC(((H24/H25*100000)/100000),2)</f>
        <v>115.66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6458.5638900000004</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2068</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100810.00934999999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851880</v>
      </c>
      <c r="I32" s="420"/>
      <c r="J32" s="420"/>
      <c r="K32" s="423">
        <f>TRUNC(100-((((H32/H33*100))*100)/100),2)</f>
        <v>-40.53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606177.83400000003</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7" activePane="bottomLeft" state="frozen"/>
      <selection activeCell="A8" sqref="A8"/>
      <selection pane="bottomLeft" activeCell="A8" sqref="A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708249</v>
      </c>
      <c r="D4" s="466">
        <v>8191</v>
      </c>
      <c r="E4" s="466">
        <v>72968</v>
      </c>
      <c r="F4" s="466">
        <v>16130</v>
      </c>
      <c r="G4" s="466">
        <v>116928</v>
      </c>
      <c r="H4" s="466"/>
      <c r="I4" s="466">
        <v>14463</v>
      </c>
      <c r="J4" s="467">
        <v>50211</v>
      </c>
      <c r="K4" s="466">
        <v>581</v>
      </c>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v>1707</v>
      </c>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709956</v>
      </c>
      <c r="D13" s="1759">
        <f t="shared" ref="D13:L13" si="0">SUM(D4:D12)</f>
        <v>8191</v>
      </c>
      <c r="E13" s="1759">
        <f t="shared" si="0"/>
        <v>72968</v>
      </c>
      <c r="F13" s="1759">
        <f t="shared" si="0"/>
        <v>16130</v>
      </c>
      <c r="G13" s="1759">
        <f t="shared" si="0"/>
        <v>116928</v>
      </c>
      <c r="H13" s="1759">
        <f t="shared" si="0"/>
        <v>0</v>
      </c>
      <c r="I13" s="1759">
        <f t="shared" si="0"/>
        <v>14463</v>
      </c>
      <c r="J13" s="1759">
        <f t="shared" si="0"/>
        <v>50211</v>
      </c>
      <c r="K13" s="1759">
        <f t="shared" si="0"/>
        <v>581</v>
      </c>
      <c r="L13" s="1759">
        <f t="shared" si="0"/>
        <v>0</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81150</v>
      </c>
      <c r="N16" s="484"/>
    </row>
    <row r="17" spans="1:14" s="485" customFormat="1" ht="12.75" customHeight="1" x14ac:dyDescent="0.2">
      <c r="A17" s="482" t="s">
        <v>1470</v>
      </c>
      <c r="B17" s="483">
        <v>230</v>
      </c>
      <c r="C17" s="477"/>
      <c r="D17" s="477"/>
      <c r="E17" s="477"/>
      <c r="F17" s="477"/>
      <c r="G17" s="477"/>
      <c r="H17" s="477"/>
      <c r="I17" s="477"/>
      <c r="J17" s="477"/>
      <c r="K17" s="477"/>
      <c r="L17" s="477"/>
      <c r="M17" s="467">
        <v>1827178</v>
      </c>
      <c r="N17" s="484"/>
    </row>
    <row r="18" spans="1:14" s="485" customFormat="1" ht="12.75" customHeight="1" x14ac:dyDescent="0.2">
      <c r="A18" s="482" t="s">
        <v>1471</v>
      </c>
      <c r="B18" s="483">
        <v>240</v>
      </c>
      <c r="C18" s="477"/>
      <c r="D18" s="477"/>
      <c r="E18" s="477"/>
      <c r="F18" s="477"/>
      <c r="G18" s="477"/>
      <c r="H18" s="477"/>
      <c r="I18" s="477"/>
      <c r="J18" s="477"/>
      <c r="K18" s="477"/>
      <c r="L18" s="477"/>
      <c r="M18" s="467">
        <v>69247</v>
      </c>
      <c r="N18" s="484"/>
    </row>
    <row r="19" spans="1:14" s="485" customFormat="1" ht="12.75" customHeight="1" x14ac:dyDescent="0.2">
      <c r="A19" s="482" t="s">
        <v>1472</v>
      </c>
      <c r="B19" s="483">
        <v>250</v>
      </c>
      <c r="C19" s="477"/>
      <c r="D19" s="477"/>
      <c r="E19" s="477"/>
      <c r="F19" s="477"/>
      <c r="G19" s="477"/>
      <c r="H19" s="477"/>
      <c r="I19" s="477"/>
      <c r="J19" s="477"/>
      <c r="K19" s="477"/>
      <c r="L19" s="477"/>
      <c r="M19" s="467">
        <v>1229806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72968</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778912</v>
      </c>
    </row>
    <row r="23" spans="1:14" ht="13.5" customHeight="1" thickBot="1" x14ac:dyDescent="0.25">
      <c r="A23" s="1758" t="s">
        <v>664</v>
      </c>
      <c r="B23" s="1763"/>
      <c r="C23" s="468"/>
      <c r="D23" s="468"/>
      <c r="E23" s="468"/>
      <c r="F23" s="468"/>
      <c r="G23" s="468"/>
      <c r="H23" s="468"/>
      <c r="I23" s="468"/>
      <c r="J23" s="468"/>
      <c r="K23" s="468"/>
      <c r="L23" s="468"/>
      <c r="M23" s="1710">
        <f>SUM(M15:M22)</f>
        <v>3207381</v>
      </c>
      <c r="N23" s="1710">
        <f>SUM(N21:N22)</f>
        <v>851880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851880</v>
      </c>
    </row>
    <row r="37" spans="1:14" ht="13.5" thickBot="1" x14ac:dyDescent="0.25">
      <c r="A37" s="1758" t="s">
        <v>674</v>
      </c>
      <c r="B37" s="1763"/>
      <c r="C37" s="477"/>
      <c r="D37" s="477"/>
      <c r="E37" s="477"/>
      <c r="F37" s="477"/>
      <c r="G37" s="477"/>
      <c r="H37" s="477"/>
      <c r="I37" s="477"/>
      <c r="J37" s="477"/>
      <c r="K37" s="477"/>
      <c r="L37" s="480"/>
      <c r="M37" s="468"/>
      <c r="N37" s="1710">
        <f>SUM(N36:N36)</f>
        <v>851880</v>
      </c>
    </row>
    <row r="38" spans="1:14" s="329" customFormat="1" ht="13.5" customHeight="1" thickTop="1" x14ac:dyDescent="0.2">
      <c r="A38" s="496" t="s">
        <v>440</v>
      </c>
      <c r="B38" s="483">
        <v>714</v>
      </c>
      <c r="C38" s="466"/>
      <c r="D38" s="466"/>
      <c r="E38" s="466"/>
      <c r="F38" s="466"/>
      <c r="G38" s="466">
        <v>24601</v>
      </c>
      <c r="H38" s="466"/>
      <c r="I38" s="466"/>
      <c r="J38" s="467"/>
      <c r="K38" s="466"/>
      <c r="L38" s="481"/>
      <c r="M38" s="497"/>
      <c r="N38" s="497"/>
    </row>
    <row r="39" spans="1:14" s="329" customFormat="1" ht="13.5" customHeight="1" x14ac:dyDescent="0.2">
      <c r="A39" s="496" t="s">
        <v>360</v>
      </c>
      <c r="B39" s="483">
        <v>730</v>
      </c>
      <c r="C39" s="466">
        <v>709956</v>
      </c>
      <c r="D39" s="466">
        <v>8191</v>
      </c>
      <c r="E39" s="466">
        <v>72968</v>
      </c>
      <c r="F39" s="466">
        <v>16130</v>
      </c>
      <c r="G39" s="466">
        <v>92327</v>
      </c>
      <c r="H39" s="466"/>
      <c r="I39" s="466">
        <v>14463</v>
      </c>
      <c r="J39" s="467">
        <v>50211</v>
      </c>
      <c r="K39" s="466">
        <v>581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3207381</v>
      </c>
      <c r="N40" s="497"/>
    </row>
    <row r="41" spans="1:14" ht="13.5" customHeight="1" thickBot="1" x14ac:dyDescent="0.25">
      <c r="A41" s="1758" t="s">
        <v>676</v>
      </c>
      <c r="B41" s="1728"/>
      <c r="C41" s="1710">
        <f>(SUM(C34,C37,C38,C39))</f>
        <v>709956</v>
      </c>
      <c r="D41" s="1710">
        <f t="shared" ref="D41:L41" si="2">SUM(D34,D37,D38:D39)</f>
        <v>8191</v>
      </c>
      <c r="E41" s="1710">
        <f t="shared" si="2"/>
        <v>72968</v>
      </c>
      <c r="F41" s="1710">
        <f t="shared" si="2"/>
        <v>16130</v>
      </c>
      <c r="G41" s="1710">
        <f t="shared" si="2"/>
        <v>116928</v>
      </c>
      <c r="H41" s="1710">
        <f t="shared" si="2"/>
        <v>0</v>
      </c>
      <c r="I41" s="1710">
        <f t="shared" si="2"/>
        <v>14463</v>
      </c>
      <c r="J41" s="1710">
        <f t="shared" si="2"/>
        <v>50211</v>
      </c>
      <c r="K41" s="1710">
        <f t="shared" si="2"/>
        <v>581</v>
      </c>
      <c r="L41" s="1710">
        <f t="shared" si="2"/>
        <v>0</v>
      </c>
      <c r="M41" s="1710">
        <f>SUM(M40)</f>
        <v>3207381</v>
      </c>
      <c r="N41" s="1710">
        <f>SUM(N37)</f>
        <v>851880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8" sqref="A8"/>
      <selection pane="bottomLeft" activeCell="A8" sqref="A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320846</v>
      </c>
      <c r="D4" s="1764">
        <f>'Revenues 9-14'!D109</f>
        <v>40208</v>
      </c>
      <c r="E4" s="1764">
        <f>'Revenues 9-14'!E109</f>
        <v>90409</v>
      </c>
      <c r="F4" s="1764">
        <f>'Revenues 9-14'!F109</f>
        <v>11238</v>
      </c>
      <c r="G4" s="1764">
        <f>'Revenues 9-14'!G109</f>
        <v>150860</v>
      </c>
      <c r="H4" s="1764">
        <f>'Revenues 9-14'!H109</f>
        <v>0</v>
      </c>
      <c r="I4" s="1764">
        <f>'Revenues 9-14'!I109</f>
        <v>2809</v>
      </c>
      <c r="J4" s="1764">
        <f>'Revenues 9-14'!J109</f>
        <v>116430</v>
      </c>
      <c r="K4" s="1764">
        <f>'Revenues 9-14'!K109</f>
        <v>2809</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929917</v>
      </c>
      <c r="D6" s="1765">
        <f>'Revenues 9-14'!D173</f>
        <v>216500</v>
      </c>
      <c r="E6" s="1765">
        <f>'Revenues 9-14'!E173</f>
        <v>0</v>
      </c>
      <c r="F6" s="1765">
        <f>'Revenues 9-14'!F173</f>
        <v>99117</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708288</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1959051</v>
      </c>
      <c r="D8" s="1710">
        <f t="shared" ref="D8:K8" si="0">SUM(D4:D7)</f>
        <v>256708</v>
      </c>
      <c r="E8" s="1710">
        <f t="shared" si="0"/>
        <v>90409</v>
      </c>
      <c r="F8" s="1710">
        <f t="shared" si="0"/>
        <v>110355</v>
      </c>
      <c r="G8" s="1710">
        <f t="shared" si="0"/>
        <v>150860</v>
      </c>
      <c r="H8" s="1710">
        <f t="shared" si="0"/>
        <v>0</v>
      </c>
      <c r="I8" s="1710">
        <f t="shared" si="0"/>
        <v>2809</v>
      </c>
      <c r="J8" s="1710">
        <f t="shared" si="0"/>
        <v>116430</v>
      </c>
      <c r="K8" s="1710">
        <f t="shared" si="0"/>
        <v>2809</v>
      </c>
      <c r="L8" s="347"/>
    </row>
    <row r="9" spans="1:13" ht="15.75" thickTop="1" x14ac:dyDescent="0.2">
      <c r="A9" s="514" t="s">
        <v>1752</v>
      </c>
      <c r="B9" s="515">
        <v>3998</v>
      </c>
      <c r="C9" s="481">
        <v>551474</v>
      </c>
      <c r="D9" s="516"/>
      <c r="E9" s="481"/>
      <c r="F9" s="481"/>
      <c r="G9" s="517"/>
      <c r="H9" s="481"/>
      <c r="I9" s="509" t="s">
        <v>1231</v>
      </c>
      <c r="J9" s="478"/>
      <c r="K9" s="481"/>
      <c r="L9" s="347"/>
    </row>
    <row r="10" spans="1:13" s="519" customFormat="1" ht="13.5" thickBot="1" x14ac:dyDescent="0.25">
      <c r="A10" s="1758" t="s">
        <v>1235</v>
      </c>
      <c r="B10" s="1731"/>
      <c r="C10" s="1710">
        <f>SUM(C8:C9)</f>
        <v>2510525</v>
      </c>
      <c r="D10" s="1710">
        <f t="shared" ref="D10:K10" si="1">SUM(D8:D9)</f>
        <v>256708</v>
      </c>
      <c r="E10" s="1710">
        <f t="shared" si="1"/>
        <v>90409</v>
      </c>
      <c r="F10" s="1710">
        <f t="shared" si="1"/>
        <v>110355</v>
      </c>
      <c r="G10" s="1710">
        <f t="shared" si="1"/>
        <v>150860</v>
      </c>
      <c r="H10" s="1710">
        <f t="shared" si="1"/>
        <v>0</v>
      </c>
      <c r="I10" s="1710">
        <f t="shared" si="1"/>
        <v>2809</v>
      </c>
      <c r="J10" s="1710">
        <f t="shared" si="1"/>
        <v>116430</v>
      </c>
      <c r="K10" s="1710">
        <f t="shared" si="1"/>
        <v>2809</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1030374</v>
      </c>
      <c r="D12" s="520" t="s">
        <v>1231</v>
      </c>
      <c r="E12" s="468" t="s">
        <v>1231</v>
      </c>
      <c r="F12" s="468" t="s">
        <v>1231</v>
      </c>
      <c r="G12" s="1764">
        <f>'Expenditures 15-22'!K229</f>
        <v>7317</v>
      </c>
      <c r="H12" s="521"/>
      <c r="I12" s="468" t="s">
        <v>1231</v>
      </c>
      <c r="J12" s="468" t="s">
        <v>1231</v>
      </c>
      <c r="K12" s="521" t="s">
        <v>1231</v>
      </c>
      <c r="L12" s="347"/>
    </row>
    <row r="13" spans="1:13" ht="15.75" customHeight="1" x14ac:dyDescent="0.2">
      <c r="A13" s="1598" t="s">
        <v>477</v>
      </c>
      <c r="B13" s="1600">
        <v>2000</v>
      </c>
      <c r="C13" s="1765">
        <f>'Expenditures 15-22'!K74</f>
        <v>887193</v>
      </c>
      <c r="D13" s="1765">
        <f>'Expenditures 15-22'!K129</f>
        <v>250086</v>
      </c>
      <c r="E13" s="469" t="s">
        <v>1231</v>
      </c>
      <c r="F13" s="1765">
        <f>'Expenditures 15-22'!K184</f>
        <v>94537</v>
      </c>
      <c r="G13" s="1765">
        <f>'Expenditures 15-22'!K279</f>
        <v>61245</v>
      </c>
      <c r="H13" s="1765">
        <f>'Expenditures 15-22'!K303</f>
        <v>0</v>
      </c>
      <c r="I13" s="468" t="s">
        <v>1231</v>
      </c>
      <c r="J13" s="1765">
        <f>'Expenditures 15-22'!K330</f>
        <v>89598</v>
      </c>
      <c r="K13" s="1769">
        <f>'Expenditures 15-22'!K352</f>
        <v>47616</v>
      </c>
      <c r="L13" s="347"/>
    </row>
    <row r="14" spans="1:13" ht="15.75" customHeight="1" x14ac:dyDescent="0.2">
      <c r="A14" s="1598" t="s">
        <v>469</v>
      </c>
      <c r="B14" s="1600">
        <v>3000</v>
      </c>
      <c r="C14" s="1765">
        <f>'Expenditures 15-22'!K75</f>
        <v>42893</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20000</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51541</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1980460</v>
      </c>
      <c r="D17" s="1710">
        <f t="shared" si="2"/>
        <v>250086</v>
      </c>
      <c r="E17" s="1710">
        <f t="shared" si="2"/>
        <v>51541</v>
      </c>
      <c r="F17" s="1710">
        <f t="shared" si="2"/>
        <v>94537</v>
      </c>
      <c r="G17" s="1710">
        <f t="shared" si="2"/>
        <v>68562</v>
      </c>
      <c r="H17" s="1710">
        <f t="shared" si="2"/>
        <v>0</v>
      </c>
      <c r="I17" s="468"/>
      <c r="J17" s="1710">
        <f>SUM(J12:J16)</f>
        <v>89598</v>
      </c>
      <c r="K17" s="1710">
        <f>SUM(K12:K16)</f>
        <v>47616</v>
      </c>
      <c r="L17" s="347"/>
    </row>
    <row r="18" spans="1:12" ht="15" customHeight="1" thickTop="1" x14ac:dyDescent="0.2">
      <c r="A18" s="1766" t="s">
        <v>1753</v>
      </c>
      <c r="B18" s="1767">
        <v>4180</v>
      </c>
      <c r="C18" s="1764">
        <f t="shared" ref="C18:H18" si="3">C9</f>
        <v>551474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2531934</v>
      </c>
      <c r="D19" s="1710">
        <f t="shared" si="4"/>
        <v>250086</v>
      </c>
      <c r="E19" s="1710">
        <f t="shared" si="4"/>
        <v>51541</v>
      </c>
      <c r="F19" s="1710">
        <f t="shared" si="4"/>
        <v>94537</v>
      </c>
      <c r="G19" s="1710">
        <f t="shared" si="4"/>
        <v>68562</v>
      </c>
      <c r="H19" s="1710">
        <f t="shared" si="4"/>
        <v>0</v>
      </c>
      <c r="I19" s="468"/>
      <c r="J19" s="1710">
        <f>SUM(J17:J18)</f>
        <v>89598</v>
      </c>
      <c r="K19" s="1710">
        <f>SUM(K17:K18)</f>
        <v>47616</v>
      </c>
      <c r="L19" s="347"/>
    </row>
    <row r="20" spans="1:12" ht="16.5" thickTop="1" thickBot="1" x14ac:dyDescent="0.25">
      <c r="A20" s="2142" t="s">
        <v>1754</v>
      </c>
      <c r="B20" s="2143"/>
      <c r="C20" s="1768">
        <f>C8-C17</f>
        <v>-21409</v>
      </c>
      <c r="D20" s="1768">
        <f t="shared" ref="D20:K20" si="5">D8-D17</f>
        <v>6622</v>
      </c>
      <c r="E20" s="1768">
        <f t="shared" si="5"/>
        <v>38868</v>
      </c>
      <c r="F20" s="1768">
        <f t="shared" si="5"/>
        <v>15818</v>
      </c>
      <c r="G20" s="1768">
        <f t="shared" si="5"/>
        <v>82298</v>
      </c>
      <c r="H20" s="1768">
        <f t="shared" si="5"/>
        <v>0</v>
      </c>
      <c r="I20" s="1768">
        <f t="shared" si="5"/>
        <v>2809</v>
      </c>
      <c r="J20" s="1768">
        <f t="shared" si="5"/>
        <v>26832</v>
      </c>
      <c r="K20" s="1768">
        <f t="shared" si="5"/>
        <v>-44807</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125000</v>
      </c>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1895</v>
      </c>
      <c r="B30" s="527">
        <v>7160</v>
      </c>
      <c r="C30" s="477"/>
      <c r="D30" s="467"/>
      <c r="E30" s="477"/>
      <c r="F30" s="477"/>
      <c r="G30" s="477"/>
      <c r="H30" s="477"/>
      <c r="I30" s="477"/>
      <c r="J30" s="477"/>
      <c r="K30" s="477"/>
      <c r="L30" s="524"/>
    </row>
    <row r="31" spans="1:12" s="485" customFormat="1" ht="26.25" x14ac:dyDescent="0.2">
      <c r="A31" s="1511" t="s">
        <v>1899</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v>500000</v>
      </c>
      <c r="D33" s="467"/>
      <c r="E33" s="467"/>
      <c r="F33" s="467"/>
      <c r="G33" s="477"/>
      <c r="H33" s="467"/>
      <c r="I33" s="467"/>
      <c r="J33" s="467"/>
      <c r="K33" s="467"/>
      <c r="L33" s="524"/>
    </row>
    <row r="34" spans="1:12" s="485" customFormat="1" x14ac:dyDescent="0.2">
      <c r="A34" s="1511" t="s">
        <v>1058</v>
      </c>
      <c r="B34" s="525">
        <v>7220</v>
      </c>
      <c r="C34" s="467">
        <v>24190</v>
      </c>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649190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125000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1898</v>
      </c>
      <c r="B52" s="483">
        <v>8160</v>
      </c>
      <c r="C52" s="477"/>
      <c r="D52" s="477"/>
      <c r="E52" s="477"/>
      <c r="F52" s="477"/>
      <c r="G52" s="477"/>
      <c r="H52" s="477"/>
      <c r="I52" s="477"/>
      <c r="J52" s="477"/>
      <c r="K52" s="1765">
        <f>D30</f>
        <v>0</v>
      </c>
      <c r="L52" s="524"/>
    </row>
    <row r="53" spans="1:12" s="485" customFormat="1" ht="26.25" x14ac:dyDescent="0.2">
      <c r="A53" s="1512" t="s">
        <v>1897</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v>48303</v>
      </c>
      <c r="D75" s="531"/>
      <c r="E75" s="530"/>
      <c r="F75" s="532"/>
      <c r="G75" s="532"/>
      <c r="H75" s="532"/>
      <c r="I75" s="530"/>
      <c r="J75" s="530"/>
      <c r="K75" s="532"/>
      <c r="L75" s="524"/>
    </row>
    <row r="76" spans="1:12" s="485" customFormat="1" ht="14.25" thickTop="1" thickBot="1" x14ac:dyDescent="0.25">
      <c r="A76" s="2132" t="s">
        <v>460</v>
      </c>
      <c r="B76" s="2133"/>
      <c r="C76" s="1725">
        <f t="shared" ref="C76:K76" si="7">SUM(C47:C75)</f>
        <v>48303</v>
      </c>
      <c r="D76" s="1725">
        <f t="shared" si="7"/>
        <v>0</v>
      </c>
      <c r="E76" s="1725">
        <f t="shared" si="7"/>
        <v>0</v>
      </c>
      <c r="F76" s="1725">
        <f t="shared" si="7"/>
        <v>0</v>
      </c>
      <c r="G76" s="1725">
        <f t="shared" si="7"/>
        <v>0</v>
      </c>
      <c r="H76" s="1725">
        <f t="shared" si="7"/>
        <v>0</v>
      </c>
      <c r="I76" s="1725">
        <f t="shared" si="7"/>
        <v>125000</v>
      </c>
      <c r="J76" s="1725">
        <f t="shared" si="7"/>
        <v>0</v>
      </c>
      <c r="K76" s="1725">
        <f t="shared" si="7"/>
        <v>0</v>
      </c>
      <c r="L76" s="524"/>
    </row>
    <row r="77" spans="1:12" ht="14.25" thickTop="1" thickBot="1" x14ac:dyDescent="0.25">
      <c r="A77" s="2134" t="s">
        <v>1239</v>
      </c>
      <c r="B77" s="2135"/>
      <c r="C77" s="1725">
        <f t="shared" ref="C77:K77" si="8">C44-C76</f>
        <v>600887</v>
      </c>
      <c r="D77" s="1725">
        <f t="shared" si="8"/>
        <v>0</v>
      </c>
      <c r="E77" s="1725">
        <f t="shared" si="8"/>
        <v>0</v>
      </c>
      <c r="F77" s="1725">
        <f t="shared" si="8"/>
        <v>0</v>
      </c>
      <c r="G77" s="1725">
        <f t="shared" si="8"/>
        <v>0</v>
      </c>
      <c r="H77" s="1725">
        <f t="shared" si="8"/>
        <v>0</v>
      </c>
      <c r="I77" s="1725">
        <f t="shared" si="8"/>
        <v>-125000</v>
      </c>
      <c r="J77" s="1725">
        <f t="shared" si="8"/>
        <v>0</v>
      </c>
      <c r="K77" s="1725">
        <f t="shared" si="8"/>
        <v>0</v>
      </c>
      <c r="L77" s="347"/>
    </row>
    <row r="78" spans="1:12" ht="21.75" customHeight="1" thickTop="1" thickBot="1" x14ac:dyDescent="0.25">
      <c r="A78" s="2138" t="s">
        <v>618</v>
      </c>
      <c r="B78" s="2139"/>
      <c r="C78" s="1724">
        <f t="shared" ref="C78:K78" si="9">C20+C77</f>
        <v>579478</v>
      </c>
      <c r="D78" s="1724">
        <f t="shared" si="9"/>
        <v>6622</v>
      </c>
      <c r="E78" s="1724">
        <f t="shared" si="9"/>
        <v>38868</v>
      </c>
      <c r="F78" s="1724">
        <f t="shared" si="9"/>
        <v>15818</v>
      </c>
      <c r="G78" s="1724">
        <f t="shared" si="9"/>
        <v>82298</v>
      </c>
      <c r="H78" s="1724">
        <f t="shared" si="9"/>
        <v>0</v>
      </c>
      <c r="I78" s="1724">
        <f t="shared" si="9"/>
        <v>-122191</v>
      </c>
      <c r="J78" s="1724">
        <f t="shared" si="9"/>
        <v>26832</v>
      </c>
      <c r="K78" s="1724">
        <f t="shared" si="9"/>
        <v>-44807</v>
      </c>
      <c r="L78" s="533"/>
    </row>
    <row r="79" spans="1:12" ht="13.5" thickTop="1" x14ac:dyDescent="0.2">
      <c r="A79" s="1516" t="s">
        <v>2069</v>
      </c>
      <c r="B79" s="534"/>
      <c r="C79" s="478">
        <v>130478</v>
      </c>
      <c r="D79" s="535">
        <v>1569</v>
      </c>
      <c r="E79" s="535">
        <v>34100</v>
      </c>
      <c r="F79" s="535">
        <v>312</v>
      </c>
      <c r="G79" s="535">
        <v>34630</v>
      </c>
      <c r="H79" s="535"/>
      <c r="I79" s="535">
        <v>136654</v>
      </c>
      <c r="J79" s="535">
        <v>23379</v>
      </c>
      <c r="K79" s="535">
        <v>45388</v>
      </c>
      <c r="L79" s="347"/>
    </row>
    <row r="80" spans="1:12" x14ac:dyDescent="0.2">
      <c r="A80" s="2144" t="s">
        <v>1896</v>
      </c>
      <c r="B80" s="2145"/>
      <c r="C80" s="467"/>
      <c r="D80" s="467"/>
      <c r="E80" s="467"/>
      <c r="F80" s="467"/>
      <c r="G80" s="467"/>
      <c r="H80" s="467"/>
      <c r="I80" s="467"/>
      <c r="J80" s="467"/>
      <c r="K80" s="467"/>
      <c r="L80" s="347"/>
    </row>
    <row r="81" spans="1:12" ht="13.5" thickBot="1" x14ac:dyDescent="0.25">
      <c r="A81" s="2136" t="s">
        <v>2070</v>
      </c>
      <c r="B81" s="2137"/>
      <c r="C81" s="1710">
        <f>(SUM(C78:C80))</f>
        <v>709956</v>
      </c>
      <c r="D81" s="1710">
        <f>SUM(D78:D80)</f>
        <v>8191</v>
      </c>
      <c r="E81" s="1710">
        <f t="shared" ref="E81:K81" si="10">SUM(E78:E80)</f>
        <v>72968</v>
      </c>
      <c r="F81" s="1710">
        <f t="shared" si="10"/>
        <v>16130</v>
      </c>
      <c r="G81" s="1710">
        <f t="shared" si="10"/>
        <v>116928</v>
      </c>
      <c r="H81" s="1710">
        <f t="shared" si="10"/>
        <v>0</v>
      </c>
      <c r="I81" s="1710">
        <f t="shared" si="10"/>
        <v>14463</v>
      </c>
      <c r="J81" s="1710">
        <f t="shared" si="10"/>
        <v>50211</v>
      </c>
      <c r="K81" s="1710">
        <f t="shared" si="10"/>
        <v>581</v>
      </c>
      <c r="L81" s="347"/>
    </row>
    <row r="82" spans="1:12" ht="0.75" customHeight="1" thickTop="1" thickBot="1" x14ac:dyDescent="0.25">
      <c r="A82" s="536" t="s">
        <v>361</v>
      </c>
      <c r="B82" s="537"/>
      <c r="C82" s="538">
        <f>(C81-C79)</f>
        <v>579478</v>
      </c>
      <c r="D82" s="538">
        <f t="shared" ref="D82:K82" si="11">(D81-D79)</f>
        <v>6622</v>
      </c>
      <c r="E82" s="538">
        <f t="shared" si="11"/>
        <v>38868</v>
      </c>
      <c r="F82" s="538">
        <f t="shared" si="11"/>
        <v>15818</v>
      </c>
      <c r="G82" s="538">
        <f t="shared" si="11"/>
        <v>82298</v>
      </c>
      <c r="H82" s="538">
        <f t="shared" si="11"/>
        <v>0</v>
      </c>
      <c r="I82" s="538">
        <f t="shared" si="11"/>
        <v>-122191</v>
      </c>
      <c r="J82" s="538">
        <f t="shared" si="11"/>
        <v>26832</v>
      </c>
      <c r="K82" s="538">
        <f t="shared" si="11"/>
        <v>-44807</v>
      </c>
    </row>
    <row r="83" spans="1:12" ht="14.25" hidden="1" thickTop="1" thickBot="1" x14ac:dyDescent="0.25">
      <c r="A83" s="539" t="s">
        <v>362</v>
      </c>
      <c r="B83" s="464"/>
      <c r="C83" s="540">
        <f>C82/C81</f>
        <v>0.81621677963141381</v>
      </c>
      <c r="D83" s="540">
        <f t="shared" ref="D83:K83" si="12">D82/D81</f>
        <v>0.80844829691124409</v>
      </c>
      <c r="E83" s="540">
        <f t="shared" si="12"/>
        <v>0.53267185615612322</v>
      </c>
      <c r="F83" s="540">
        <f t="shared" si="12"/>
        <v>0.98065716057036578</v>
      </c>
      <c r="G83" s="540">
        <f t="shared" si="12"/>
        <v>0.70383483853311435</v>
      </c>
      <c r="H83" s="540" t="e">
        <f t="shared" si="12"/>
        <v>#DIV/0!</v>
      </c>
      <c r="I83" s="540">
        <f t="shared" si="12"/>
        <v>-8.4485238194012311</v>
      </c>
      <c r="J83" s="540">
        <f t="shared" si="12"/>
        <v>0.53438489573997727</v>
      </c>
      <c r="K83" s="540">
        <f t="shared" si="12"/>
        <v>-77.120481927710841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5" activePane="bottomLeft" state="frozen"/>
      <selection activeCell="A8" sqref="A8"/>
      <selection pane="bottomLeft" activeCell="A8" sqref="A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1903</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112374</v>
      </c>
      <c r="D5" s="481">
        <v>28094</v>
      </c>
      <c r="E5" s="466">
        <v>90409</v>
      </c>
      <c r="F5" s="548">
        <v>11238</v>
      </c>
      <c r="G5" s="466">
        <v>81787</v>
      </c>
      <c r="H5" s="466"/>
      <c r="I5" s="466">
        <v>2809</v>
      </c>
      <c r="J5" s="467">
        <v>115833</v>
      </c>
      <c r="K5" s="466">
        <v>2809</v>
      </c>
    </row>
    <row r="6" spans="1:12" ht="15" x14ac:dyDescent="0.2">
      <c r="A6" s="463" t="s">
        <v>1761</v>
      </c>
      <c r="B6" s="470">
        <v>1130</v>
      </c>
      <c r="C6" s="466">
        <v>2494</v>
      </c>
      <c r="D6" s="466"/>
      <c r="E6" s="475"/>
      <c r="F6" s="475"/>
      <c r="G6" s="468"/>
      <c r="H6" s="468"/>
      <c r="I6" s="468"/>
      <c r="J6" s="468"/>
      <c r="K6" s="468"/>
    </row>
    <row r="7" spans="1:12" x14ac:dyDescent="0.2">
      <c r="A7" s="463" t="s">
        <v>112</v>
      </c>
      <c r="B7" s="549">
        <v>1140</v>
      </c>
      <c r="C7" s="466">
        <v>2248</v>
      </c>
      <c r="D7" s="466"/>
      <c r="E7" s="468"/>
      <c r="F7" s="467"/>
      <c r="G7" s="467"/>
      <c r="H7" s="467"/>
      <c r="I7" s="468"/>
      <c r="J7" s="468"/>
      <c r="K7" s="468"/>
    </row>
    <row r="8" spans="1:12" x14ac:dyDescent="0.2">
      <c r="A8" s="463" t="s">
        <v>433</v>
      </c>
      <c r="B8" s="470">
        <v>1150</v>
      </c>
      <c r="C8" s="475"/>
      <c r="D8" s="475"/>
      <c r="E8" s="477"/>
      <c r="F8" s="477"/>
      <c r="G8" s="481">
        <v>59273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117116</v>
      </c>
      <c r="D12" s="1729">
        <f t="shared" si="0"/>
        <v>28094</v>
      </c>
      <c r="E12" s="1729">
        <f t="shared" si="0"/>
        <v>90409</v>
      </c>
      <c r="F12" s="1729">
        <f t="shared" si="0"/>
        <v>11238</v>
      </c>
      <c r="G12" s="1729">
        <f t="shared" si="0"/>
        <v>141060</v>
      </c>
      <c r="H12" s="1729">
        <f t="shared" si="0"/>
        <v>0</v>
      </c>
      <c r="I12" s="1729">
        <f t="shared" si="0"/>
        <v>2809</v>
      </c>
      <c r="J12" s="1729">
        <f t="shared" si="0"/>
        <v>115833</v>
      </c>
      <c r="K12" s="1710">
        <f t="shared" si="0"/>
        <v>2809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190955</v>
      </c>
      <c r="D16" s="466"/>
      <c r="E16" s="466"/>
      <c r="F16" s="466"/>
      <c r="G16" s="466">
        <v>9800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190955</v>
      </c>
      <c r="D18" s="1732">
        <f t="shared" ref="D18:K18" si="1">SUM(D14:D17)</f>
        <v>0</v>
      </c>
      <c r="E18" s="1732">
        <f t="shared" si="1"/>
        <v>0</v>
      </c>
      <c r="F18" s="1732">
        <f t="shared" si="1"/>
        <v>0</v>
      </c>
      <c r="G18" s="1732">
        <f t="shared" si="1"/>
        <v>9800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668</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668</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621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621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9333</v>
      </c>
      <c r="D81" s="466"/>
      <c r="E81" s="468"/>
      <c r="F81" s="468"/>
      <c r="G81" s="468"/>
      <c r="H81" s="468"/>
      <c r="I81" s="468"/>
      <c r="J81" s="468"/>
      <c r="K81" s="468"/>
    </row>
    <row r="82" spans="1:11" ht="12.75" customHeight="1" thickBot="1" x14ac:dyDescent="0.25">
      <c r="A82" s="1730" t="s">
        <v>259</v>
      </c>
      <c r="B82" s="1731"/>
      <c r="C82" s="1729">
        <f>SUM(C77:C81)</f>
        <v>9333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10200</v>
      </c>
      <c r="E95" s="521"/>
      <c r="F95" s="521"/>
      <c r="G95" s="521"/>
      <c r="H95" s="521"/>
      <c r="I95" s="521"/>
      <c r="J95" s="521"/>
      <c r="K95" s="521"/>
    </row>
    <row r="96" spans="1:11" ht="12.75" customHeight="1" x14ac:dyDescent="0.2">
      <c r="A96" s="463" t="s">
        <v>409</v>
      </c>
      <c r="B96" s="470">
        <v>1920</v>
      </c>
      <c r="C96" s="551">
        <v>14</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1841</v>
      </c>
      <c r="D99" s="466"/>
      <c r="E99" s="466"/>
      <c r="F99" s="466"/>
      <c r="G99" s="466"/>
      <c r="H99" s="466"/>
      <c r="I99" s="468"/>
      <c r="J99" s="467">
        <v>597</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298</v>
      </c>
      <c r="D107" s="466">
        <v>1914</v>
      </c>
      <c r="E107" s="466"/>
      <c r="F107" s="466"/>
      <c r="G107" s="466"/>
      <c r="H107" s="466"/>
      <c r="I107" s="466"/>
      <c r="J107" s="467"/>
      <c r="K107" s="466"/>
    </row>
    <row r="108" spans="1:12" ht="12.75" customHeight="1" thickBot="1" x14ac:dyDescent="0.25">
      <c r="A108" s="1730" t="s">
        <v>508</v>
      </c>
      <c r="B108" s="1734"/>
      <c r="C108" s="1729">
        <f>SUM(C95:C107)</f>
        <v>2153</v>
      </c>
      <c r="D108" s="1729">
        <f t="shared" ref="D108:K108" si="3">SUM(D95:D107)</f>
        <v>12114</v>
      </c>
      <c r="E108" s="1729">
        <f t="shared" si="3"/>
        <v>0</v>
      </c>
      <c r="F108" s="1729">
        <f t="shared" si="3"/>
        <v>0</v>
      </c>
      <c r="G108" s="1729">
        <f t="shared" si="3"/>
        <v>0</v>
      </c>
      <c r="H108" s="1729">
        <f t="shared" si="3"/>
        <v>0</v>
      </c>
      <c r="I108" s="1729">
        <f t="shared" si="3"/>
        <v>0</v>
      </c>
      <c r="J108" s="1729">
        <f t="shared" si="3"/>
        <v>597</v>
      </c>
      <c r="K108" s="1710">
        <f t="shared" si="3"/>
        <v>0</v>
      </c>
    </row>
    <row r="109" spans="1:12" ht="14.25" thickTop="1" thickBot="1" x14ac:dyDescent="0.25">
      <c r="A109" s="1735" t="s">
        <v>266</v>
      </c>
      <c r="B109" s="1736" t="s">
        <v>591</v>
      </c>
      <c r="C109" s="1737">
        <f t="shared" ref="C109:K109" si="4">SUM(C12,C18,C40,C63,C67,C75,C82,C93,C108,)</f>
        <v>320846</v>
      </c>
      <c r="D109" s="1737">
        <f t="shared" si="4"/>
        <v>40208</v>
      </c>
      <c r="E109" s="1737">
        <f t="shared" si="4"/>
        <v>90409</v>
      </c>
      <c r="F109" s="1737">
        <f t="shared" si="4"/>
        <v>11238</v>
      </c>
      <c r="G109" s="1737">
        <f t="shared" si="4"/>
        <v>150860</v>
      </c>
      <c r="H109" s="1737">
        <f t="shared" si="4"/>
        <v>0</v>
      </c>
      <c r="I109" s="1737">
        <f t="shared" si="4"/>
        <v>2809</v>
      </c>
      <c r="J109" s="1737">
        <f t="shared" si="4"/>
        <v>116430</v>
      </c>
      <c r="K109" s="1724">
        <f t="shared" si="4"/>
        <v>2809</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634118</v>
      </c>
      <c r="D117" s="481">
        <v>216500</v>
      </c>
      <c r="E117" s="466"/>
      <c r="F117" s="481">
        <v>32500</v>
      </c>
      <c r="G117" s="481"/>
      <c r="H117" s="466"/>
      <c r="I117" s="468"/>
      <c r="J117" s="467"/>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8" t="s">
        <v>1902</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634118</v>
      </c>
      <c r="D121" s="1729">
        <f t="shared" si="5"/>
        <v>216500</v>
      </c>
      <c r="E121" s="1729">
        <f t="shared" si="5"/>
        <v>0</v>
      </c>
      <c r="F121" s="1729">
        <f t="shared" si="5"/>
        <v>32500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10193</v>
      </c>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10193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1878</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1878</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1500</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1959</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534</v>
      </c>
      <c r="G151" s="467"/>
      <c r="H151" s="468"/>
      <c r="I151" s="468"/>
      <c r="J151" s="468"/>
      <c r="K151" s="468"/>
    </row>
    <row r="152" spans="1:11" ht="12.75" customHeight="1" x14ac:dyDescent="0.2">
      <c r="A152" s="463" t="s">
        <v>1117</v>
      </c>
      <c r="B152" s="562">
        <v>3510</v>
      </c>
      <c r="C152" s="551"/>
      <c r="D152" s="466"/>
      <c r="E152" s="561"/>
      <c r="F152" s="466">
        <v>66083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66617</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v>101568</v>
      </c>
      <c r="D157" s="468"/>
      <c r="E157" s="561"/>
      <c r="F157" s="576"/>
      <c r="G157" s="576"/>
      <c r="H157" s="468"/>
      <c r="I157" s="468"/>
      <c r="J157" s="468"/>
      <c r="K157" s="468"/>
    </row>
    <row r="158" spans="1:11" ht="12.75" customHeight="1" thickTop="1" thickBot="1" x14ac:dyDescent="0.25">
      <c r="A158" s="1522" t="s">
        <v>1111</v>
      </c>
      <c r="B158" s="574">
        <v>3705</v>
      </c>
      <c r="C158" s="576">
        <v>114307</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64394</v>
      </c>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295799</v>
      </c>
      <c r="D172" s="1744">
        <f t="shared" si="6"/>
        <v>0</v>
      </c>
      <c r="E172" s="1744">
        <f t="shared" si="6"/>
        <v>0</v>
      </c>
      <c r="F172" s="1744">
        <f t="shared" si="6"/>
        <v>66617</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929917</v>
      </c>
      <c r="D173" s="1737">
        <f>SUM(D121,D172)</f>
        <v>216500</v>
      </c>
      <c r="E173" s="1737">
        <f>SUM(E121,E172)</f>
        <v>0</v>
      </c>
      <c r="F173" s="1737">
        <f t="shared" ref="F173:K173" si="7">SUM(F121,F172)</f>
        <v>99117</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1904</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63406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29032</v>
      </c>
      <c r="D196" s="468"/>
      <c r="E196" s="561"/>
      <c r="F196" s="468"/>
      <c r="G196" s="585"/>
      <c r="H196" s="468"/>
      <c r="I196" s="468"/>
      <c r="J196" s="468"/>
      <c r="K196" s="468"/>
    </row>
    <row r="197" spans="1:11" ht="12.75" customHeight="1" x14ac:dyDescent="0.2">
      <c r="A197" s="463" t="s">
        <v>1526</v>
      </c>
      <c r="B197" s="470">
        <v>4225</v>
      </c>
      <c r="C197" s="551">
        <v>9745</v>
      </c>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v>4955</v>
      </c>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107138</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220136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v>359667</v>
      </c>
      <c r="D210" s="466"/>
      <c r="E210" s="468"/>
      <c r="F210" s="466"/>
      <c r="G210" s="466"/>
      <c r="H210" s="468"/>
      <c r="I210" s="468"/>
      <c r="J210" s="468"/>
      <c r="K210" s="468"/>
    </row>
    <row r="211" spans="1:11" ht="12.75" customHeight="1" thickBot="1" x14ac:dyDescent="0.25">
      <c r="A211" s="1730" t="s">
        <v>420</v>
      </c>
      <c r="B211" s="1731"/>
      <c r="C211" s="1729">
        <f>SUM(C203:C210)</f>
        <v>579803</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18500</v>
      </c>
      <c r="D268" s="576"/>
      <c r="E268" s="468"/>
      <c r="F268" s="576"/>
      <c r="G268" s="576"/>
      <c r="H268" s="468"/>
      <c r="I268" s="468"/>
      <c r="J268" s="468"/>
      <c r="K268" s="468"/>
    </row>
    <row r="269" spans="1:11" ht="12.75" customHeight="1" thickTop="1" thickBot="1" x14ac:dyDescent="0.25">
      <c r="A269" s="463" t="s">
        <v>946</v>
      </c>
      <c r="B269" s="470">
        <v>4960</v>
      </c>
      <c r="C269" s="575">
        <v>2847</v>
      </c>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708288</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708288</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1959051</v>
      </c>
      <c r="D275" s="1737">
        <f t="shared" si="12"/>
        <v>256708</v>
      </c>
      <c r="E275" s="1737">
        <f t="shared" si="12"/>
        <v>90409</v>
      </c>
      <c r="F275" s="1737">
        <f t="shared" si="12"/>
        <v>110355</v>
      </c>
      <c r="G275" s="1737">
        <f t="shared" si="12"/>
        <v>150860</v>
      </c>
      <c r="H275" s="1737">
        <f t="shared" si="12"/>
        <v>0</v>
      </c>
      <c r="I275" s="1737">
        <f t="shared" si="12"/>
        <v>2809</v>
      </c>
      <c r="J275" s="1737">
        <f t="shared" si="12"/>
        <v>116430</v>
      </c>
      <c r="K275" s="1724">
        <f t="shared" si="12"/>
        <v>2809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&amp;L&amp;8See notes.
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5" activePane="bottomLeft" state="frozen"/>
      <selection activeCell="A8" sqref="A8"/>
      <selection pane="bottomLeft" activeCell="A8" sqref="A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1903</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519521</v>
      </c>
      <c r="D5" s="466">
        <v>85972</v>
      </c>
      <c r="E5" s="466">
        <v>15539</v>
      </c>
      <c r="F5" s="466">
        <v>87054</v>
      </c>
      <c r="G5" s="466">
        <v>28010</v>
      </c>
      <c r="H5" s="466"/>
      <c r="I5" s="467">
        <v>3789</v>
      </c>
      <c r="J5" s="467"/>
      <c r="K5" s="1693">
        <f>SUM(C5:J5)</f>
        <v>739885</v>
      </c>
      <c r="L5" s="466">
        <v>810208</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66575</v>
      </c>
      <c r="D7" s="467">
        <v>12298</v>
      </c>
      <c r="E7" s="467"/>
      <c r="F7" s="467">
        <v>6974</v>
      </c>
      <c r="G7" s="467"/>
      <c r="H7" s="467"/>
      <c r="I7" s="467"/>
      <c r="J7" s="467"/>
      <c r="K7" s="1693">
        <f t="shared" ref="K7:K32" si="0">SUM(C7:J7)</f>
        <v>85847</v>
      </c>
      <c r="L7" s="466">
        <v>116360</v>
      </c>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68195</v>
      </c>
      <c r="D10" s="466">
        <v>57693</v>
      </c>
      <c r="E10" s="466">
        <v>4139</v>
      </c>
      <c r="F10" s="466">
        <v>18280</v>
      </c>
      <c r="G10" s="466"/>
      <c r="H10" s="466"/>
      <c r="I10" s="467"/>
      <c r="J10" s="467"/>
      <c r="K10" s="1693">
        <f t="shared" si="0"/>
        <v>148307</v>
      </c>
      <c r="L10" s="466">
        <v>159106</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250</v>
      </c>
      <c r="D13" s="466"/>
      <c r="E13" s="466">
        <v>169</v>
      </c>
      <c r="F13" s="466">
        <v>2396</v>
      </c>
      <c r="G13" s="466"/>
      <c r="H13" s="466"/>
      <c r="I13" s="467"/>
      <c r="J13" s="467"/>
      <c r="K13" s="1693">
        <f t="shared" si="0"/>
        <v>2815</v>
      </c>
      <c r="L13" s="466">
        <v>11964</v>
      </c>
    </row>
    <row r="14" spans="1:14" x14ac:dyDescent="0.2">
      <c r="A14" s="1526" t="s">
        <v>1020</v>
      </c>
      <c r="B14" s="615">
        <v>1500</v>
      </c>
      <c r="C14" s="466">
        <v>12727</v>
      </c>
      <c r="D14" s="466">
        <v>84</v>
      </c>
      <c r="E14" s="466">
        <v>5577</v>
      </c>
      <c r="F14" s="466">
        <v>17382</v>
      </c>
      <c r="G14" s="466"/>
      <c r="H14" s="466"/>
      <c r="I14" s="467"/>
      <c r="J14" s="467"/>
      <c r="K14" s="1693">
        <f t="shared" si="0"/>
        <v>35770</v>
      </c>
      <c r="L14" s="466">
        <v>36395</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v>2070</v>
      </c>
      <c r="F17" s="467"/>
      <c r="G17" s="467"/>
      <c r="H17" s="467"/>
      <c r="I17" s="467"/>
      <c r="J17" s="467"/>
      <c r="K17" s="1693">
        <f t="shared" si="0"/>
        <v>2070</v>
      </c>
      <c r="L17" s="466">
        <v>2100</v>
      </c>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15680</v>
      </c>
      <c r="I22" s="617"/>
      <c r="J22" s="477"/>
      <c r="K22" s="1693">
        <f t="shared" si="0"/>
        <v>15680</v>
      </c>
      <c r="L22" s="471">
        <v>15700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667268</v>
      </c>
      <c r="D33" s="1692">
        <f t="shared" ref="D33:L33" si="1">SUM(D5:D32)</f>
        <v>156047</v>
      </c>
      <c r="E33" s="1692">
        <f t="shared" si="1"/>
        <v>27494</v>
      </c>
      <c r="F33" s="1692">
        <f t="shared" si="1"/>
        <v>132086</v>
      </c>
      <c r="G33" s="1692">
        <f t="shared" si="1"/>
        <v>28010</v>
      </c>
      <c r="H33" s="1692">
        <f t="shared" si="1"/>
        <v>15680</v>
      </c>
      <c r="I33" s="1692">
        <f t="shared" si="1"/>
        <v>3789</v>
      </c>
      <c r="J33" s="1692">
        <f t="shared" si="1"/>
        <v>0</v>
      </c>
      <c r="K33" s="1692">
        <f t="shared" si="1"/>
        <v>1030374</v>
      </c>
      <c r="L33" s="1692">
        <f t="shared" si="1"/>
        <v>1151833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41039</v>
      </c>
      <c r="D36" s="481">
        <v>6575</v>
      </c>
      <c r="E36" s="481">
        <v>19200</v>
      </c>
      <c r="F36" s="481">
        <v>1471</v>
      </c>
      <c r="G36" s="481"/>
      <c r="H36" s="481"/>
      <c r="I36" s="467"/>
      <c r="J36" s="467"/>
      <c r="K36" s="1693">
        <f t="shared" ref="K36:K41" si="2">SUM(C36:J36)</f>
        <v>68285</v>
      </c>
      <c r="L36" s="466">
        <v>76080</v>
      </c>
    </row>
    <row r="37" spans="1:14" x14ac:dyDescent="0.2">
      <c r="A37" s="1526" t="s">
        <v>1151</v>
      </c>
      <c r="B37" s="615">
        <v>2120</v>
      </c>
      <c r="C37" s="466">
        <v>32815</v>
      </c>
      <c r="D37" s="466">
        <v>14023</v>
      </c>
      <c r="E37" s="466">
        <v>6227</v>
      </c>
      <c r="F37" s="466">
        <v>99</v>
      </c>
      <c r="G37" s="466"/>
      <c r="H37" s="466"/>
      <c r="I37" s="467"/>
      <c r="J37" s="467"/>
      <c r="K37" s="1693">
        <f t="shared" si="2"/>
        <v>53164</v>
      </c>
      <c r="L37" s="466">
        <v>74010</v>
      </c>
    </row>
    <row r="38" spans="1:14" x14ac:dyDescent="0.2">
      <c r="A38" s="1526" t="s">
        <v>207</v>
      </c>
      <c r="B38" s="615">
        <v>2130</v>
      </c>
      <c r="C38" s="466"/>
      <c r="D38" s="466"/>
      <c r="E38" s="466"/>
      <c r="F38" s="466"/>
      <c r="G38" s="466"/>
      <c r="H38" s="466"/>
      <c r="I38" s="467"/>
      <c r="J38" s="467"/>
      <c r="K38" s="1693">
        <f t="shared" si="2"/>
        <v>0</v>
      </c>
      <c r="L38" s="466">
        <v>900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v>6127</v>
      </c>
      <c r="G41" s="466"/>
      <c r="H41" s="466"/>
      <c r="I41" s="467"/>
      <c r="J41" s="467"/>
      <c r="K41" s="1693">
        <f t="shared" si="2"/>
        <v>6127</v>
      </c>
      <c r="L41" s="466"/>
    </row>
    <row r="42" spans="1:14" ht="12.75" customHeight="1" thickBot="1" x14ac:dyDescent="0.25">
      <c r="A42" s="1690" t="s">
        <v>581</v>
      </c>
      <c r="B42" s="1691" t="s">
        <v>740</v>
      </c>
      <c r="C42" s="1692">
        <f>SUM(C36:C41)</f>
        <v>73854</v>
      </c>
      <c r="D42" s="1692">
        <f t="shared" ref="D42:L42" si="3">SUM(D36:D41)</f>
        <v>20598</v>
      </c>
      <c r="E42" s="1692">
        <f t="shared" si="3"/>
        <v>25427</v>
      </c>
      <c r="F42" s="1692">
        <f t="shared" si="3"/>
        <v>7697</v>
      </c>
      <c r="G42" s="1692">
        <f t="shared" si="3"/>
        <v>0</v>
      </c>
      <c r="H42" s="1692">
        <f t="shared" si="3"/>
        <v>0</v>
      </c>
      <c r="I42" s="1692">
        <f t="shared" si="3"/>
        <v>0</v>
      </c>
      <c r="J42" s="1692">
        <f t="shared" si="3"/>
        <v>0</v>
      </c>
      <c r="K42" s="1692">
        <f t="shared" si="3"/>
        <v>127576</v>
      </c>
      <c r="L42" s="1692">
        <f t="shared" si="3"/>
        <v>150990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22131</v>
      </c>
      <c r="D44" s="481">
        <v>13900</v>
      </c>
      <c r="E44" s="481">
        <v>72270</v>
      </c>
      <c r="F44" s="481"/>
      <c r="G44" s="481"/>
      <c r="H44" s="481"/>
      <c r="I44" s="467"/>
      <c r="J44" s="467"/>
      <c r="K44" s="1694">
        <f>SUM(C44:J44)</f>
        <v>108301</v>
      </c>
      <c r="L44" s="481">
        <v>107066</v>
      </c>
    </row>
    <row r="45" spans="1:14" x14ac:dyDescent="0.2">
      <c r="A45" s="1526" t="s">
        <v>869</v>
      </c>
      <c r="B45" s="615">
        <v>2220</v>
      </c>
      <c r="C45" s="466"/>
      <c r="D45" s="466"/>
      <c r="E45" s="466">
        <v>50625</v>
      </c>
      <c r="F45" s="466">
        <v>561</v>
      </c>
      <c r="G45" s="466"/>
      <c r="H45" s="466"/>
      <c r="I45" s="467"/>
      <c r="J45" s="467"/>
      <c r="K45" s="1694">
        <f>SUM(C45:J45)</f>
        <v>51186</v>
      </c>
      <c r="L45" s="466">
        <v>84807</v>
      </c>
    </row>
    <row r="46" spans="1:14" x14ac:dyDescent="0.2">
      <c r="A46" s="1526" t="s">
        <v>870</v>
      </c>
      <c r="B46" s="615">
        <v>2230</v>
      </c>
      <c r="C46" s="466"/>
      <c r="D46" s="466"/>
      <c r="E46" s="466">
        <v>5087</v>
      </c>
      <c r="F46" s="466"/>
      <c r="G46" s="466"/>
      <c r="H46" s="466"/>
      <c r="I46" s="467"/>
      <c r="J46" s="467"/>
      <c r="K46" s="1694">
        <f>SUM(C46:J46)</f>
        <v>5087</v>
      </c>
      <c r="L46" s="466">
        <v>6110</v>
      </c>
    </row>
    <row r="47" spans="1:14" ht="12.75" customHeight="1" thickBot="1" x14ac:dyDescent="0.25">
      <c r="A47" s="1690" t="s">
        <v>582</v>
      </c>
      <c r="B47" s="1691" t="s">
        <v>32</v>
      </c>
      <c r="C47" s="1692">
        <f>SUM(C44:C46)</f>
        <v>22131</v>
      </c>
      <c r="D47" s="1692">
        <f t="shared" ref="D47:K47" si="4">SUM(D44:D46)</f>
        <v>13900</v>
      </c>
      <c r="E47" s="1692">
        <f t="shared" si="4"/>
        <v>127982</v>
      </c>
      <c r="F47" s="1692">
        <f t="shared" si="4"/>
        <v>561</v>
      </c>
      <c r="G47" s="1692">
        <f t="shared" si="4"/>
        <v>0</v>
      </c>
      <c r="H47" s="1692">
        <f t="shared" si="4"/>
        <v>0</v>
      </c>
      <c r="I47" s="1692">
        <f t="shared" si="4"/>
        <v>0</v>
      </c>
      <c r="J47" s="1692">
        <f t="shared" si="4"/>
        <v>0</v>
      </c>
      <c r="K47" s="1692">
        <f t="shared" si="4"/>
        <v>164574</v>
      </c>
      <c r="L47" s="1692">
        <f>SUM(L44:L46)</f>
        <v>197983</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40639</v>
      </c>
      <c r="F49" s="481">
        <v>14467</v>
      </c>
      <c r="G49" s="481"/>
      <c r="H49" s="481">
        <v>5809</v>
      </c>
      <c r="I49" s="467"/>
      <c r="J49" s="467"/>
      <c r="K49" s="1694">
        <f>SUM(C49:J49)</f>
        <v>60915</v>
      </c>
      <c r="L49" s="481">
        <v>63800</v>
      </c>
    </row>
    <row r="50" spans="1:14" x14ac:dyDescent="0.2">
      <c r="A50" s="1526" t="s">
        <v>872</v>
      </c>
      <c r="B50" s="615">
        <v>2320</v>
      </c>
      <c r="C50" s="466">
        <v>118129</v>
      </c>
      <c r="D50" s="466">
        <v>9326</v>
      </c>
      <c r="E50" s="466">
        <v>850</v>
      </c>
      <c r="F50" s="466">
        <v>3722</v>
      </c>
      <c r="G50" s="466"/>
      <c r="H50" s="466">
        <v>562</v>
      </c>
      <c r="I50" s="467"/>
      <c r="J50" s="467"/>
      <c r="K50" s="1694">
        <f>SUM(C50:J50)</f>
        <v>132589</v>
      </c>
      <c r="L50" s="466">
        <v>134594</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118129</v>
      </c>
      <c r="D53" s="1692">
        <f t="shared" ref="D53:L53" si="5">SUM(D49:D52)</f>
        <v>9326</v>
      </c>
      <c r="E53" s="1692">
        <f t="shared" si="5"/>
        <v>41489</v>
      </c>
      <c r="F53" s="1692">
        <f t="shared" si="5"/>
        <v>18189</v>
      </c>
      <c r="G53" s="1692">
        <f t="shared" si="5"/>
        <v>0</v>
      </c>
      <c r="H53" s="1692">
        <f t="shared" si="5"/>
        <v>6371</v>
      </c>
      <c r="I53" s="1692">
        <f t="shared" si="5"/>
        <v>0</v>
      </c>
      <c r="J53" s="1692">
        <f t="shared" si="5"/>
        <v>0</v>
      </c>
      <c r="K53" s="1692">
        <f t="shared" si="5"/>
        <v>193504</v>
      </c>
      <c r="L53" s="1692">
        <f t="shared" si="5"/>
        <v>198394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c r="D55" s="481"/>
      <c r="E55" s="481"/>
      <c r="F55" s="481">
        <v>2021</v>
      </c>
      <c r="G55" s="481"/>
      <c r="H55" s="481"/>
      <c r="I55" s="467"/>
      <c r="J55" s="467"/>
      <c r="K55" s="1694">
        <f>SUM(C55:J55)</f>
        <v>2021</v>
      </c>
      <c r="L55" s="481">
        <v>2200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0</v>
      </c>
      <c r="D57" s="1696">
        <f t="shared" ref="D57:K57" si="6">SUM(D55:D56)</f>
        <v>0</v>
      </c>
      <c r="E57" s="1696">
        <f t="shared" si="6"/>
        <v>0</v>
      </c>
      <c r="F57" s="1696">
        <f t="shared" si="6"/>
        <v>2021</v>
      </c>
      <c r="G57" s="1696">
        <f t="shared" si="6"/>
        <v>0</v>
      </c>
      <c r="H57" s="1696">
        <f t="shared" si="6"/>
        <v>0</v>
      </c>
      <c r="I57" s="1696">
        <f t="shared" si="6"/>
        <v>0</v>
      </c>
      <c r="J57" s="1696">
        <f t="shared" si="6"/>
        <v>0</v>
      </c>
      <c r="K57" s="1696">
        <f t="shared" si="6"/>
        <v>2021</v>
      </c>
      <c r="L57" s="1692">
        <f>SUM(L55:L56)</f>
        <v>2200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38609</v>
      </c>
      <c r="D60" s="466">
        <v>8429</v>
      </c>
      <c r="E60" s="466">
        <v>33381</v>
      </c>
      <c r="F60" s="466">
        <v>22</v>
      </c>
      <c r="G60" s="466"/>
      <c r="H60" s="466">
        <v>370</v>
      </c>
      <c r="I60" s="467"/>
      <c r="J60" s="467"/>
      <c r="K60" s="1694">
        <f t="shared" si="7"/>
        <v>80811</v>
      </c>
      <c r="L60" s="466">
        <v>87909</v>
      </c>
      <c r="M60" s="610"/>
      <c r="N60" s="610"/>
    </row>
    <row r="61" spans="1:14" s="343" customFormat="1" x14ac:dyDescent="0.2">
      <c r="A61" s="1526" t="s">
        <v>206</v>
      </c>
      <c r="B61" s="615">
        <v>2540</v>
      </c>
      <c r="C61" s="466"/>
      <c r="D61" s="466"/>
      <c r="E61" s="466">
        <v>16965</v>
      </c>
      <c r="F61" s="466"/>
      <c r="G61" s="466"/>
      <c r="H61" s="466"/>
      <c r="I61" s="467"/>
      <c r="J61" s="467"/>
      <c r="K61" s="1694">
        <f t="shared" si="7"/>
        <v>16965</v>
      </c>
      <c r="L61" s="466">
        <v>17160</v>
      </c>
      <c r="M61" s="610"/>
      <c r="N61" s="610"/>
    </row>
    <row r="62" spans="1:14" s="343" customFormat="1" x14ac:dyDescent="0.2">
      <c r="A62" s="1526" t="s">
        <v>1010</v>
      </c>
      <c r="B62" s="615">
        <v>2550</v>
      </c>
      <c r="C62" s="466">
        <v>6428</v>
      </c>
      <c r="D62" s="466">
        <v>1557</v>
      </c>
      <c r="E62" s="466">
        <v>800</v>
      </c>
      <c r="F62" s="466"/>
      <c r="G62" s="466"/>
      <c r="H62" s="466"/>
      <c r="I62" s="467"/>
      <c r="J62" s="467"/>
      <c r="K62" s="1694">
        <f t="shared" si="7"/>
        <v>8785</v>
      </c>
      <c r="L62" s="466">
        <v>9072</v>
      </c>
      <c r="M62" s="610"/>
      <c r="N62" s="610"/>
    </row>
    <row r="63" spans="1:14" s="610" customFormat="1" x14ac:dyDescent="0.2">
      <c r="A63" s="1526" t="s">
        <v>102</v>
      </c>
      <c r="B63" s="615">
        <v>2560</v>
      </c>
      <c r="C63" s="466">
        <v>30827</v>
      </c>
      <c r="D63" s="466">
        <v>6372</v>
      </c>
      <c r="E63" s="466">
        <v>86751</v>
      </c>
      <c r="F63" s="466">
        <v>7431</v>
      </c>
      <c r="G63" s="466"/>
      <c r="H63" s="466"/>
      <c r="I63" s="467"/>
      <c r="J63" s="467"/>
      <c r="K63" s="1694">
        <f t="shared" si="7"/>
        <v>131381</v>
      </c>
      <c r="L63" s="466">
        <v>137039</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75864</v>
      </c>
      <c r="D65" s="1692">
        <f t="shared" ref="D65:L65" si="8">SUM(D59:D64)</f>
        <v>16358</v>
      </c>
      <c r="E65" s="1692">
        <f t="shared" si="8"/>
        <v>137897</v>
      </c>
      <c r="F65" s="1692">
        <f t="shared" si="8"/>
        <v>7453</v>
      </c>
      <c r="G65" s="1692">
        <f t="shared" si="8"/>
        <v>0</v>
      </c>
      <c r="H65" s="1692">
        <f t="shared" si="8"/>
        <v>370</v>
      </c>
      <c r="I65" s="1692">
        <f t="shared" si="8"/>
        <v>0</v>
      </c>
      <c r="J65" s="1692">
        <f t="shared" si="8"/>
        <v>0</v>
      </c>
      <c r="K65" s="1692">
        <f t="shared" si="8"/>
        <v>237942</v>
      </c>
      <c r="L65" s="1692">
        <f t="shared" si="8"/>
        <v>251180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v>150000</v>
      </c>
      <c r="F67" s="466"/>
      <c r="G67" s="466"/>
      <c r="H67" s="466"/>
      <c r="I67" s="467"/>
      <c r="J67" s="467"/>
      <c r="K67" s="1694">
        <f>SUM(C67:J67)</f>
        <v>150000</v>
      </c>
      <c r="L67" s="481">
        <v>150000</v>
      </c>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v>3996</v>
      </c>
      <c r="G70" s="466"/>
      <c r="H70" s="466"/>
      <c r="I70" s="467"/>
      <c r="J70" s="467"/>
      <c r="K70" s="1694">
        <f>SUM(C70:J70)</f>
        <v>3996</v>
      </c>
      <c r="L70" s="466">
        <v>6040</v>
      </c>
      <c r="M70" s="610"/>
      <c r="N70" s="610"/>
    </row>
    <row r="71" spans="1:14" s="343" customFormat="1" x14ac:dyDescent="0.2">
      <c r="A71" s="1526" t="s">
        <v>424</v>
      </c>
      <c r="B71" s="615">
        <v>2660</v>
      </c>
      <c r="C71" s="466"/>
      <c r="D71" s="466"/>
      <c r="E71" s="466">
        <v>7530</v>
      </c>
      <c r="F71" s="466"/>
      <c r="G71" s="466"/>
      <c r="H71" s="466"/>
      <c r="I71" s="467"/>
      <c r="J71" s="467"/>
      <c r="K71" s="1694">
        <f>SUM(C71:J71)</f>
        <v>7530</v>
      </c>
      <c r="L71" s="466">
        <v>10000</v>
      </c>
      <c r="M71" s="610"/>
      <c r="N71" s="610"/>
    </row>
    <row r="72" spans="1:14" s="343" customFormat="1" ht="12.75" customHeight="1" thickBot="1" x14ac:dyDescent="0.25">
      <c r="A72" s="1690" t="s">
        <v>37</v>
      </c>
      <c r="B72" s="1697" t="s">
        <v>36</v>
      </c>
      <c r="C72" s="1692">
        <f>SUM(C67:C71)</f>
        <v>0</v>
      </c>
      <c r="D72" s="1692">
        <f t="shared" ref="D72:K72" si="9">SUM(D67:D71)</f>
        <v>0</v>
      </c>
      <c r="E72" s="1692">
        <f t="shared" si="9"/>
        <v>157530</v>
      </c>
      <c r="F72" s="1692">
        <f t="shared" si="9"/>
        <v>3996</v>
      </c>
      <c r="G72" s="1692">
        <f t="shared" si="9"/>
        <v>0</v>
      </c>
      <c r="H72" s="1692">
        <f t="shared" si="9"/>
        <v>0</v>
      </c>
      <c r="I72" s="1692">
        <f t="shared" si="9"/>
        <v>0</v>
      </c>
      <c r="J72" s="1692">
        <f t="shared" si="9"/>
        <v>0</v>
      </c>
      <c r="K72" s="1692">
        <f t="shared" si="9"/>
        <v>161526</v>
      </c>
      <c r="L72" s="1692">
        <f>SUM(L67:L71)</f>
        <v>166040</v>
      </c>
      <c r="M72" s="610"/>
      <c r="N72" s="610"/>
    </row>
    <row r="73" spans="1:14" s="343" customFormat="1" ht="14.25" thickTop="1" thickBot="1" x14ac:dyDescent="0.25">
      <c r="A73" s="1532" t="s">
        <v>1037</v>
      </c>
      <c r="B73" s="633" t="s">
        <v>595</v>
      </c>
      <c r="C73" s="573"/>
      <c r="D73" s="573"/>
      <c r="E73" s="573">
        <v>50</v>
      </c>
      <c r="F73" s="573"/>
      <c r="G73" s="573"/>
      <c r="H73" s="573"/>
      <c r="I73" s="531"/>
      <c r="J73" s="531"/>
      <c r="K73" s="1692">
        <f>SUM(C73:J73)</f>
        <v>50</v>
      </c>
      <c r="L73" s="576">
        <v>18953</v>
      </c>
      <c r="M73" s="610"/>
      <c r="N73" s="610"/>
    </row>
    <row r="74" spans="1:14" ht="12.75" customHeight="1" thickTop="1" thickBot="1" x14ac:dyDescent="0.25">
      <c r="A74" s="1690" t="s">
        <v>865</v>
      </c>
      <c r="B74" s="1698">
        <v>2000</v>
      </c>
      <c r="C74" s="1699">
        <f>SUM(C42,C47,C53,C57,C65,C72,C73)</f>
        <v>289978</v>
      </c>
      <c r="D74" s="1699">
        <f t="shared" ref="D74:K74" si="10">SUM(D42,D47,D53,D57,D65,D72,D73)</f>
        <v>60182</v>
      </c>
      <c r="E74" s="1699">
        <f t="shared" si="10"/>
        <v>490375</v>
      </c>
      <c r="F74" s="1699">
        <f t="shared" si="10"/>
        <v>39917</v>
      </c>
      <c r="G74" s="1699">
        <f t="shared" si="10"/>
        <v>0</v>
      </c>
      <c r="H74" s="1699">
        <f t="shared" si="10"/>
        <v>6741</v>
      </c>
      <c r="I74" s="1699">
        <f t="shared" si="10"/>
        <v>0</v>
      </c>
      <c r="J74" s="1699">
        <f t="shared" si="10"/>
        <v>0</v>
      </c>
      <c r="K74" s="1699">
        <f t="shared" si="10"/>
        <v>887193</v>
      </c>
      <c r="L74" s="1699">
        <f>SUM(L42,L47,L53,L57,L65,L72,L73)</f>
        <v>985740</v>
      </c>
    </row>
    <row r="75" spans="1:14" s="259" customFormat="1" ht="15.75" customHeight="1" thickTop="1" thickBot="1" x14ac:dyDescent="0.25">
      <c r="A75" s="1632" t="s">
        <v>49</v>
      </c>
      <c r="B75" s="1633" t="s">
        <v>596</v>
      </c>
      <c r="C75" s="573">
        <v>21969</v>
      </c>
      <c r="D75" s="573">
        <v>6850</v>
      </c>
      <c r="E75" s="573">
        <v>10975</v>
      </c>
      <c r="F75" s="573">
        <v>3099</v>
      </c>
      <c r="G75" s="573"/>
      <c r="H75" s="573"/>
      <c r="I75" s="531"/>
      <c r="J75" s="531"/>
      <c r="K75" s="1692">
        <f>SUM(C75:J75)</f>
        <v>42893</v>
      </c>
      <c r="L75" s="576">
        <v>41940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v>1800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1800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6000</v>
      </c>
    </row>
    <row r="87" spans="1:12" ht="14.25" thickTop="1" thickBot="1" x14ac:dyDescent="0.25">
      <c r="A87" s="1535" t="s">
        <v>724</v>
      </c>
      <c r="B87" s="640">
        <v>4230</v>
      </c>
      <c r="C87" s="617"/>
      <c r="D87" s="617"/>
      <c r="E87" s="639"/>
      <c r="F87" s="617"/>
      <c r="G87" s="617"/>
      <c r="H87" s="467">
        <v>20000</v>
      </c>
      <c r="I87" s="477"/>
      <c r="J87" s="477"/>
      <c r="K87" s="1699">
        <f t="shared" si="12"/>
        <v>20000</v>
      </c>
      <c r="L87" s="530">
        <v>318113</v>
      </c>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20000</v>
      </c>
      <c r="I92" s="477"/>
      <c r="J92" s="477"/>
      <c r="K92" s="1699">
        <f t="shared" si="12"/>
        <v>20000</v>
      </c>
      <c r="L92" s="1692">
        <f>SUM(L85:L91)</f>
        <v>324113</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20000</v>
      </c>
      <c r="I102" s="477"/>
      <c r="J102" s="477"/>
      <c r="K102" s="1699">
        <f>SUM(K84,K92,K100,K101)</f>
        <v>20000</v>
      </c>
      <c r="L102" s="1699">
        <f>SUM(L84,L92,L100,L101)</f>
        <v>325913</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979215</v>
      </c>
      <c r="D114" s="1692">
        <f t="shared" ref="D114:K114" si="13">SUM(D33,D74,D75,D102,D112,D113)</f>
        <v>223079</v>
      </c>
      <c r="E114" s="1692">
        <f t="shared" si="13"/>
        <v>528844</v>
      </c>
      <c r="F114" s="1692">
        <f t="shared" si="13"/>
        <v>175102</v>
      </c>
      <c r="G114" s="1692">
        <f t="shared" si="13"/>
        <v>28010</v>
      </c>
      <c r="H114" s="1692">
        <f>SUM(H33,H74,H75,H102,H112,H113)</f>
        <v>42421</v>
      </c>
      <c r="I114" s="1692">
        <f t="shared" si="13"/>
        <v>3789</v>
      </c>
      <c r="J114" s="1692">
        <f t="shared" si="13"/>
        <v>0</v>
      </c>
      <c r="K114" s="1692">
        <f t="shared" si="13"/>
        <v>1980460</v>
      </c>
      <c r="L114" s="1692">
        <f>SUM(L33,L74,L75,L102,L112,L113)</f>
        <v>2505426</v>
      </c>
    </row>
    <row r="115" spans="1:14" ht="13.5" thickTop="1" x14ac:dyDescent="0.2">
      <c r="A115" s="2197" t="s">
        <v>1053</v>
      </c>
      <c r="B115" s="2198"/>
      <c r="C115" s="619"/>
      <c r="D115" s="619"/>
      <c r="E115" s="619"/>
      <c r="F115" s="619"/>
      <c r="G115" s="619"/>
      <c r="H115" s="619"/>
      <c r="I115" s="619"/>
      <c r="J115" s="619"/>
      <c r="K115" s="1706">
        <f>'Revenues 9-14'!C275-'Expenditures 15-22'!K114</f>
        <v>-21409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81769</v>
      </c>
      <c r="D124" s="466">
        <v>11648</v>
      </c>
      <c r="E124" s="466">
        <v>55786</v>
      </c>
      <c r="F124" s="466">
        <v>100883</v>
      </c>
      <c r="G124" s="466"/>
      <c r="H124" s="466"/>
      <c r="I124" s="467"/>
      <c r="J124" s="467"/>
      <c r="K124" s="1692">
        <f>SUM(C124:J124)</f>
        <v>250086</v>
      </c>
      <c r="L124" s="466">
        <v>251111</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81769</v>
      </c>
      <c r="D127" s="1692">
        <f t="shared" ref="D127:L127" si="14">SUM(D122:D126)</f>
        <v>11648</v>
      </c>
      <c r="E127" s="1692">
        <f t="shared" si="14"/>
        <v>55786</v>
      </c>
      <c r="F127" s="1692">
        <f t="shared" si="14"/>
        <v>100883</v>
      </c>
      <c r="G127" s="1692">
        <f t="shared" si="14"/>
        <v>0</v>
      </c>
      <c r="H127" s="1692">
        <f t="shared" si="14"/>
        <v>0</v>
      </c>
      <c r="I127" s="1692">
        <f t="shared" si="14"/>
        <v>0</v>
      </c>
      <c r="J127" s="1692">
        <f t="shared" si="14"/>
        <v>0</v>
      </c>
      <c r="K127" s="1692">
        <f t="shared" si="14"/>
        <v>250086</v>
      </c>
      <c r="L127" s="1692">
        <f t="shared" si="14"/>
        <v>251111</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81769</v>
      </c>
      <c r="D129" s="1699">
        <f t="shared" ref="D129:L129" si="15">SUM(D120,D127,D128)</f>
        <v>11648</v>
      </c>
      <c r="E129" s="1699">
        <f t="shared" si="15"/>
        <v>55786</v>
      </c>
      <c r="F129" s="1699">
        <f t="shared" si="15"/>
        <v>100883</v>
      </c>
      <c r="G129" s="1699">
        <f t="shared" si="15"/>
        <v>0</v>
      </c>
      <c r="H129" s="1699">
        <f t="shared" si="15"/>
        <v>0</v>
      </c>
      <c r="I129" s="1699">
        <f t="shared" si="15"/>
        <v>0</v>
      </c>
      <c r="J129" s="1699">
        <f t="shared" si="15"/>
        <v>0</v>
      </c>
      <c r="K129" s="1699">
        <f t="shared" si="15"/>
        <v>250086</v>
      </c>
      <c r="L129" s="1699">
        <f t="shared" si="15"/>
        <v>251111</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9"/>
      <c r="C151" s="1692">
        <f>SUM(C129,C130,C139,C149,C150)</f>
        <v>81769</v>
      </c>
      <c r="D151" s="1692">
        <f t="shared" ref="D151:K151" si="16">SUM(D129,D130,D139,D149,D150)</f>
        <v>11648</v>
      </c>
      <c r="E151" s="1692">
        <f t="shared" si="16"/>
        <v>55786</v>
      </c>
      <c r="F151" s="1692">
        <f t="shared" si="16"/>
        <v>100883</v>
      </c>
      <c r="G151" s="1692">
        <f t="shared" si="16"/>
        <v>0</v>
      </c>
      <c r="H151" s="1692">
        <f t="shared" si="16"/>
        <v>0</v>
      </c>
      <c r="I151" s="1692">
        <f t="shared" si="16"/>
        <v>0</v>
      </c>
      <c r="J151" s="1692">
        <f t="shared" si="16"/>
        <v>0</v>
      </c>
      <c r="K151" s="1692">
        <f t="shared" si="16"/>
        <v>250086</v>
      </c>
      <c r="L151" s="1692">
        <f>SUM(L129,L130,L139,L149,L150)</f>
        <v>251111</v>
      </c>
    </row>
    <row r="152" spans="1:14" ht="12.75" customHeight="1" thickTop="1" x14ac:dyDescent="0.2">
      <c r="A152" s="2190" t="s">
        <v>1240</v>
      </c>
      <c r="B152" s="2191"/>
      <c r="C152" s="619"/>
      <c r="D152" s="619"/>
      <c r="E152" s="619"/>
      <c r="F152" s="619"/>
      <c r="G152" s="619"/>
      <c r="H152" s="619"/>
      <c r="I152" s="619"/>
      <c r="J152" s="617"/>
      <c r="K152" s="1706">
        <f>'Revenues 9-14'!D275-'Expenditures 15-22'!K151</f>
        <v>6622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1956</v>
      </c>
      <c r="C158" s="617"/>
      <c r="D158" s="617"/>
      <c r="E158" s="617"/>
      <c r="F158" s="617"/>
      <c r="G158" s="617"/>
      <c r="H158" s="467"/>
      <c r="I158" s="617"/>
      <c r="J158" s="617"/>
      <c r="K158" s="1693">
        <f>H158</f>
        <v>0</v>
      </c>
      <c r="L158" s="467"/>
      <c r="M158" s="620"/>
      <c r="N158" s="620"/>
    </row>
    <row r="159" spans="1:14" s="621" customFormat="1" ht="12" x14ac:dyDescent="0.2">
      <c r="A159" s="1849" t="s">
        <v>1957</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16170</v>
      </c>
      <c r="I169" s="617"/>
      <c r="J169" s="617"/>
      <c r="K169" s="1693">
        <f>SUM(C169:H169)</f>
        <v>16170</v>
      </c>
      <c r="L169" s="657">
        <v>16170</v>
      </c>
    </row>
    <row r="170" spans="1:14" ht="33.75" customHeight="1" x14ac:dyDescent="0.2">
      <c r="A170" s="670" t="s">
        <v>1769</v>
      </c>
      <c r="B170" s="672" t="s">
        <v>31</v>
      </c>
      <c r="C170" s="617"/>
      <c r="D170" s="617"/>
      <c r="E170" s="617"/>
      <c r="F170" s="617"/>
      <c r="G170" s="617"/>
      <c r="H170" s="569">
        <v>33376</v>
      </c>
      <c r="I170" s="617"/>
      <c r="J170" s="617"/>
      <c r="K170" s="1693">
        <f>SUM(C170:J170)</f>
        <v>33376</v>
      </c>
      <c r="L170" s="569">
        <v>33376</v>
      </c>
    </row>
    <row r="171" spans="1:14" ht="15.75" customHeight="1" x14ac:dyDescent="0.2">
      <c r="A171" s="622" t="s">
        <v>790</v>
      </c>
      <c r="B171" s="673" t="s">
        <v>86</v>
      </c>
      <c r="C171" s="617"/>
      <c r="D171" s="617"/>
      <c r="E171" s="466"/>
      <c r="F171" s="617"/>
      <c r="G171" s="617"/>
      <c r="H171" s="569">
        <v>1995</v>
      </c>
      <c r="I171" s="477"/>
      <c r="J171" s="617"/>
      <c r="K171" s="1693">
        <f>SUM(C171:J171)</f>
        <v>1995</v>
      </c>
      <c r="L171" s="569">
        <v>1985</v>
      </c>
    </row>
    <row r="172" spans="1:14" ht="12.75" customHeight="1" thickBot="1" x14ac:dyDescent="0.25">
      <c r="A172" s="1690" t="s">
        <v>659</v>
      </c>
      <c r="B172" s="1691" t="s">
        <v>513</v>
      </c>
      <c r="C172" s="617"/>
      <c r="D172" s="617"/>
      <c r="E172" s="1699">
        <f>SUM(E168,E169,E170,E171)</f>
        <v>0</v>
      </c>
      <c r="F172" s="617"/>
      <c r="G172" s="617"/>
      <c r="H172" s="1699">
        <f>SUM(H168,H169,H170,H171)</f>
        <v>51541</v>
      </c>
      <c r="I172" s="639"/>
      <c r="J172" s="617"/>
      <c r="K172" s="1699">
        <f>SUM(K168,K169,K170,K171)</f>
        <v>51541</v>
      </c>
      <c r="L172" s="1699">
        <f>SUM(L168,L169,L170,L171)</f>
        <v>51531</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51541</v>
      </c>
      <c r="I174" s="639"/>
      <c r="J174" s="617"/>
      <c r="K174" s="1699">
        <f>SUM(K160,K172,K173)</f>
        <v>51541</v>
      </c>
      <c r="L174" s="1699">
        <f>SUM(L160,L172,L173)</f>
        <v>51531</v>
      </c>
    </row>
    <row r="175" spans="1:14" ht="13.5" thickTop="1" x14ac:dyDescent="0.2">
      <c r="A175" s="2197" t="s">
        <v>1053</v>
      </c>
      <c r="B175" s="2198"/>
      <c r="C175" s="617"/>
      <c r="D175" s="617"/>
      <c r="E175" s="617"/>
      <c r="F175" s="617"/>
      <c r="G175" s="617"/>
      <c r="H175" s="619"/>
      <c r="I175" s="617"/>
      <c r="J175" s="617"/>
      <c r="K175" s="1706">
        <f>'Revenues 9-14'!E275-'Expenditures 15-22'!K174</f>
        <v>38868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48431</v>
      </c>
      <c r="D182" s="466">
        <v>9418</v>
      </c>
      <c r="E182" s="466">
        <v>21913</v>
      </c>
      <c r="F182" s="466">
        <v>14775</v>
      </c>
      <c r="G182" s="466"/>
      <c r="H182" s="466"/>
      <c r="I182" s="467"/>
      <c r="J182" s="467"/>
      <c r="K182" s="1693">
        <f>SUM(C182:J182)</f>
        <v>94537</v>
      </c>
      <c r="L182" s="466">
        <v>95140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48431</v>
      </c>
      <c r="D184" s="1699">
        <f t="shared" ref="D184:J184" si="17">SUM(D180,D182,D183)</f>
        <v>9418</v>
      </c>
      <c r="E184" s="1699">
        <f t="shared" si="17"/>
        <v>21913</v>
      </c>
      <c r="F184" s="1699">
        <f t="shared" si="17"/>
        <v>14775</v>
      </c>
      <c r="G184" s="1699">
        <f t="shared" si="17"/>
        <v>0</v>
      </c>
      <c r="H184" s="1699">
        <f t="shared" si="17"/>
        <v>0</v>
      </c>
      <c r="I184" s="1699">
        <f t="shared" si="17"/>
        <v>0</v>
      </c>
      <c r="J184" s="1699">
        <f t="shared" si="17"/>
        <v>0</v>
      </c>
      <c r="K184" s="1699">
        <f>SUM(K180,K182,K183)</f>
        <v>94537</v>
      </c>
      <c r="L184" s="1699">
        <f>SUM(L180, L182:L183)</f>
        <v>95140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v>4000</v>
      </c>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4000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48431</v>
      </c>
      <c r="D210" s="1692">
        <f>SUM(D184,D185)</f>
        <v>9418</v>
      </c>
      <c r="E210" s="1692">
        <f>SUM(E184,E185,E196)</f>
        <v>21913</v>
      </c>
      <c r="F210" s="1692">
        <f>SUM(F184,F185)</f>
        <v>14775</v>
      </c>
      <c r="G210" s="1692">
        <f>SUM(G184,G185)</f>
        <v>0</v>
      </c>
      <c r="H210" s="1692">
        <f>SUM(H184,H185,H196,H208,H209)</f>
        <v>0</v>
      </c>
      <c r="I210" s="1692">
        <f>SUM(I184,I185)</f>
        <v>0</v>
      </c>
      <c r="J210" s="1692">
        <f>SUM(J184,J185)</f>
        <v>0</v>
      </c>
      <c r="K210" s="1693">
        <f>SUM(K184,K185,K196,K208,K209)</f>
        <v>94537</v>
      </c>
      <c r="L210" s="1692">
        <f>SUM(L184,L185,L196,L208,L209)</f>
        <v>99140</v>
      </c>
    </row>
    <row r="211" spans="1:14" ht="13.5" thickTop="1" x14ac:dyDescent="0.2">
      <c r="A211" s="2197" t="s">
        <v>1053</v>
      </c>
      <c r="B211" s="2198"/>
      <c r="C211" s="619"/>
      <c r="D211" s="619"/>
      <c r="E211" s="619"/>
      <c r="F211" s="619"/>
      <c r="G211" s="619"/>
      <c r="H211" s="619"/>
      <c r="I211" s="617"/>
      <c r="J211" s="617"/>
      <c r="K211" s="1706">
        <f>'Revenues 9-14'!F275-'Expenditures 15-22'!K210</f>
        <v>15818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5917</v>
      </c>
      <c r="E215" s="617"/>
      <c r="F215" s="617"/>
      <c r="G215" s="617"/>
      <c r="H215" s="617"/>
      <c r="I215" s="617"/>
      <c r="J215" s="617"/>
      <c r="K215" s="1693">
        <f>D215</f>
        <v>5917</v>
      </c>
      <c r="L215" s="466">
        <v>6035</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61</v>
      </c>
      <c r="E222" s="617"/>
      <c r="F222" s="617"/>
      <c r="G222" s="617"/>
      <c r="H222" s="617"/>
      <c r="I222" s="617"/>
      <c r="J222" s="617"/>
      <c r="K222" s="1693">
        <f t="shared" si="19"/>
        <v>61</v>
      </c>
      <c r="L222" s="466">
        <v>62</v>
      </c>
    </row>
    <row r="223" spans="1:14" x14ac:dyDescent="0.2">
      <c r="A223" s="1526" t="s">
        <v>1020</v>
      </c>
      <c r="B223" s="615">
        <v>1500</v>
      </c>
      <c r="C223" s="617"/>
      <c r="D223" s="466">
        <v>1339</v>
      </c>
      <c r="E223" s="617"/>
      <c r="F223" s="617"/>
      <c r="G223" s="617"/>
      <c r="H223" s="617"/>
      <c r="I223" s="617"/>
      <c r="J223" s="617"/>
      <c r="K223" s="1693">
        <f t="shared" si="19"/>
        <v>1339</v>
      </c>
      <c r="L223" s="466">
        <v>1375</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7317</v>
      </c>
      <c r="E229" s="617"/>
      <c r="F229" s="617"/>
      <c r="G229" s="617"/>
      <c r="H229" s="617"/>
      <c r="I229" s="617"/>
      <c r="J229" s="617"/>
      <c r="K229" s="1692">
        <f>SUM(K215:K228)</f>
        <v>7317</v>
      </c>
      <c r="L229" s="1692">
        <f>SUM(L215:L228)</f>
        <v>7472</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1975</v>
      </c>
      <c r="E232" s="617"/>
      <c r="F232" s="617"/>
      <c r="G232" s="617"/>
      <c r="H232" s="617"/>
      <c r="I232" s="617"/>
      <c r="J232" s="617"/>
      <c r="K232" s="1693">
        <f t="shared" ref="K232:K237" si="20">D232</f>
        <v>1975</v>
      </c>
      <c r="L232" s="466">
        <v>2050</v>
      </c>
    </row>
    <row r="233" spans="1:12" x14ac:dyDescent="0.2">
      <c r="A233" s="1526" t="s">
        <v>1151</v>
      </c>
      <c r="B233" s="615">
        <v>2120</v>
      </c>
      <c r="C233" s="617"/>
      <c r="D233" s="466">
        <v>7948</v>
      </c>
      <c r="E233" s="617"/>
      <c r="F233" s="617"/>
      <c r="G233" s="617"/>
      <c r="H233" s="617"/>
      <c r="I233" s="617"/>
      <c r="J233" s="617"/>
      <c r="K233" s="1693">
        <f t="shared" si="20"/>
        <v>7948</v>
      </c>
      <c r="L233" s="466">
        <v>8040</v>
      </c>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9923</v>
      </c>
      <c r="E238" s="617"/>
      <c r="F238" s="617"/>
      <c r="G238" s="617"/>
      <c r="H238" s="617"/>
      <c r="I238" s="617"/>
      <c r="J238" s="617"/>
      <c r="K238" s="1692">
        <f>SUM(K232:K237)</f>
        <v>9923</v>
      </c>
      <c r="L238" s="1692">
        <f>SUM(L232:L237)</f>
        <v>10090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29</v>
      </c>
      <c r="E240" s="617"/>
      <c r="F240" s="617"/>
      <c r="G240" s="617"/>
      <c r="H240" s="617"/>
      <c r="I240" s="617"/>
      <c r="J240" s="617"/>
      <c r="K240" s="1694">
        <f>D240</f>
        <v>29</v>
      </c>
      <c r="L240" s="481">
        <v>40</v>
      </c>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29</v>
      </c>
      <c r="E243" s="617"/>
      <c r="F243" s="617"/>
      <c r="G243" s="617"/>
      <c r="H243" s="617"/>
      <c r="I243" s="617"/>
      <c r="J243" s="617"/>
      <c r="K243" s="1692">
        <f>SUM(K240:K242)</f>
        <v>29</v>
      </c>
      <c r="L243" s="1692">
        <f>SUM(L240:L242)</f>
        <v>40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2120</v>
      </c>
      <c r="E246" s="617"/>
      <c r="F246" s="617"/>
      <c r="G246" s="617"/>
      <c r="H246" s="617"/>
      <c r="I246" s="617"/>
      <c r="J246" s="617"/>
      <c r="K246" s="1694">
        <f t="shared" ref="K246:K256" si="21">D246</f>
        <v>2120</v>
      </c>
      <c r="L246" s="466">
        <v>2165</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1906</v>
      </c>
      <c r="B249" s="684" t="s">
        <v>300</v>
      </c>
      <c r="C249" s="617"/>
      <c r="D249" s="474"/>
      <c r="E249" s="617"/>
      <c r="F249" s="617"/>
      <c r="G249" s="617"/>
      <c r="H249" s="617"/>
      <c r="I249" s="617"/>
      <c r="J249" s="617"/>
      <c r="K249" s="1694">
        <f t="shared" si="21"/>
        <v>0</v>
      </c>
      <c r="L249" s="466"/>
    </row>
    <row r="250" spans="1:12" x14ac:dyDescent="0.2">
      <c r="A250" s="1527" t="s">
        <v>1907</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4057</v>
      </c>
      <c r="E254" s="617"/>
      <c r="F254" s="617"/>
      <c r="G254" s="617"/>
      <c r="H254" s="617"/>
      <c r="I254" s="617"/>
      <c r="J254" s="617"/>
      <c r="K254" s="1694">
        <f t="shared" si="21"/>
        <v>4057</v>
      </c>
      <c r="L254" s="466">
        <v>4090</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6177</v>
      </c>
      <c r="E257" s="617"/>
      <c r="F257" s="617"/>
      <c r="G257" s="617"/>
      <c r="H257" s="617"/>
      <c r="I257" s="617"/>
      <c r="J257" s="617"/>
      <c r="K257" s="1692">
        <f>SUM(K245:K256)</f>
        <v>6177</v>
      </c>
      <c r="L257" s="1692">
        <f>SUM(L245:L256)</f>
        <v>6255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1905</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8382</v>
      </c>
      <c r="E264" s="617"/>
      <c r="F264" s="617"/>
      <c r="G264" s="617"/>
      <c r="H264" s="617"/>
      <c r="I264" s="617"/>
      <c r="J264" s="617"/>
      <c r="K264" s="1694">
        <f t="shared" ref="K264:K269" si="22">D264</f>
        <v>8382</v>
      </c>
      <c r="L264" s="466">
        <v>8460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17584</v>
      </c>
      <c r="E266" s="617"/>
      <c r="F266" s="617"/>
      <c r="G266" s="617"/>
      <c r="H266" s="617"/>
      <c r="I266" s="617"/>
      <c r="J266" s="617"/>
      <c r="K266" s="1694">
        <f t="shared" si="22"/>
        <v>17584</v>
      </c>
      <c r="L266" s="466">
        <v>17700</v>
      </c>
    </row>
    <row r="267" spans="1:14" x14ac:dyDescent="0.2">
      <c r="A267" s="1526" t="s">
        <v>1010</v>
      </c>
      <c r="B267" s="615">
        <v>2550</v>
      </c>
      <c r="C267" s="617"/>
      <c r="D267" s="466">
        <v>11730</v>
      </c>
      <c r="E267" s="617"/>
      <c r="F267" s="617"/>
      <c r="G267" s="617"/>
      <c r="H267" s="617"/>
      <c r="I267" s="617"/>
      <c r="J267" s="617"/>
      <c r="K267" s="1694">
        <f t="shared" si="22"/>
        <v>11730</v>
      </c>
      <c r="L267" s="466">
        <v>11875</v>
      </c>
    </row>
    <row r="268" spans="1:14" x14ac:dyDescent="0.2">
      <c r="A268" s="1526" t="s">
        <v>102</v>
      </c>
      <c r="B268" s="615">
        <v>2560</v>
      </c>
      <c r="C268" s="617"/>
      <c r="D268" s="466">
        <v>7420</v>
      </c>
      <c r="E268" s="617"/>
      <c r="F268" s="617"/>
      <c r="G268" s="617"/>
      <c r="H268" s="617"/>
      <c r="I268" s="617"/>
      <c r="J268" s="617"/>
      <c r="K268" s="1694">
        <f t="shared" si="22"/>
        <v>7420</v>
      </c>
      <c r="L268" s="466">
        <v>7550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45116</v>
      </c>
      <c r="E270" s="617"/>
      <c r="F270" s="617"/>
      <c r="G270" s="617"/>
      <c r="H270" s="617"/>
      <c r="I270" s="617"/>
      <c r="J270" s="617"/>
      <c r="K270" s="1692">
        <f>SUM(K263:K269)</f>
        <v>45116</v>
      </c>
      <c r="L270" s="1692">
        <f>SUM(L263:L269)</f>
        <v>45585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61245</v>
      </c>
      <c r="E279" s="617"/>
      <c r="F279" s="617"/>
      <c r="G279" s="617"/>
      <c r="H279" s="617"/>
      <c r="I279" s="617"/>
      <c r="J279" s="617"/>
      <c r="K279" s="1699">
        <f>SUM(K238,K243,K257,K261,K270,K277,K278)</f>
        <v>61245</v>
      </c>
      <c r="L279" s="1699">
        <f>SUM(L238,L243,L257,L261,L270,L277,L278)</f>
        <v>61970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68562</v>
      </c>
      <c r="E295" s="617"/>
      <c r="F295" s="617"/>
      <c r="G295" s="617"/>
      <c r="H295" s="1692">
        <f>H293</f>
        <v>0</v>
      </c>
      <c r="I295" s="617"/>
      <c r="J295" s="617"/>
      <c r="K295" s="1692">
        <f>SUM(K229,K279,K280,K285,K293,K294)</f>
        <v>68562</v>
      </c>
      <c r="L295" s="1692">
        <f>SUM(L229,L279,L280,L285,L293,L294)</f>
        <v>69442</v>
      </c>
    </row>
    <row r="296" spans="1:14" ht="13.5" thickTop="1" x14ac:dyDescent="0.2">
      <c r="A296" s="2197" t="s">
        <v>1053</v>
      </c>
      <c r="B296" s="2198"/>
      <c r="C296" s="617"/>
      <c r="D296" s="619"/>
      <c r="E296" s="617"/>
      <c r="F296" s="617"/>
      <c r="G296" s="617"/>
      <c r="H296" s="688"/>
      <c r="I296" s="617"/>
      <c r="J296" s="617"/>
      <c r="K296" s="1706">
        <f>'Revenues 9-14'!G275-'Expenditures 15-22'!K295</f>
        <v>82298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1906</v>
      </c>
      <c r="B320" s="699" t="s">
        <v>300</v>
      </c>
      <c r="C320" s="467"/>
      <c r="D320" s="467"/>
      <c r="E320" s="467">
        <v>11397</v>
      </c>
      <c r="F320" s="467"/>
      <c r="G320" s="467"/>
      <c r="H320" s="467"/>
      <c r="I320" s="467"/>
      <c r="J320" s="467"/>
      <c r="K320" s="1693">
        <f t="shared" ref="K320:K327" si="24">SUM(C320:J320)</f>
        <v>11397</v>
      </c>
      <c r="L320" s="467">
        <v>11400</v>
      </c>
      <c r="M320" s="666"/>
      <c r="N320" s="666"/>
    </row>
    <row r="321" spans="1:14" s="675" customFormat="1" x14ac:dyDescent="0.2">
      <c r="A321" s="1541" t="s">
        <v>318</v>
      </c>
      <c r="B321" s="698" t="s">
        <v>301</v>
      </c>
      <c r="C321" s="467"/>
      <c r="D321" s="467"/>
      <c r="E321" s="467">
        <v>8593</v>
      </c>
      <c r="F321" s="467"/>
      <c r="G321" s="467"/>
      <c r="H321" s="467"/>
      <c r="I321" s="467"/>
      <c r="J321" s="467"/>
      <c r="K321" s="1693">
        <f t="shared" si="24"/>
        <v>8593</v>
      </c>
      <c r="L321" s="467">
        <v>8600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v>3470</v>
      </c>
      <c r="F323" s="467"/>
      <c r="G323" s="467"/>
      <c r="H323" s="467"/>
      <c r="I323" s="467"/>
      <c r="J323" s="467"/>
      <c r="K323" s="1693">
        <f t="shared" si="24"/>
        <v>3470</v>
      </c>
      <c r="L323" s="467">
        <v>4000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16749</v>
      </c>
      <c r="D325" s="467">
        <v>3718</v>
      </c>
      <c r="E325" s="467">
        <v>21060</v>
      </c>
      <c r="F325" s="467">
        <v>395</v>
      </c>
      <c r="G325" s="467"/>
      <c r="H325" s="467"/>
      <c r="I325" s="467"/>
      <c r="J325" s="467"/>
      <c r="K325" s="1693">
        <f t="shared" si="24"/>
        <v>41922</v>
      </c>
      <c r="L325" s="467">
        <v>42150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v>24216</v>
      </c>
      <c r="F328" s="474"/>
      <c r="G328" s="474"/>
      <c r="H328" s="474"/>
      <c r="I328" s="474"/>
      <c r="J328" s="474"/>
      <c r="K328" s="1721">
        <f>SUM(C328:J328)</f>
        <v>24216</v>
      </c>
      <c r="L328" s="474">
        <v>24250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16749</v>
      </c>
      <c r="D330" s="1692">
        <f t="shared" ref="D330:J330" si="25">SUM(D319:D329)</f>
        <v>3718</v>
      </c>
      <c r="E330" s="1692">
        <f t="shared" si="25"/>
        <v>68736</v>
      </c>
      <c r="F330" s="1692">
        <f t="shared" si="25"/>
        <v>395</v>
      </c>
      <c r="G330" s="1692">
        <f t="shared" si="25"/>
        <v>0</v>
      </c>
      <c r="H330" s="1692">
        <f t="shared" si="25"/>
        <v>0</v>
      </c>
      <c r="I330" s="1692">
        <f t="shared" si="25"/>
        <v>0</v>
      </c>
      <c r="J330" s="1692">
        <f t="shared" si="25"/>
        <v>0</v>
      </c>
      <c r="K330" s="1692">
        <f>SUM(K319:K329)</f>
        <v>89598</v>
      </c>
      <c r="L330" s="1692">
        <f>SUM(L319:L329)</f>
        <v>90400</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1956</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16749</v>
      </c>
      <c r="D342" s="1692">
        <f>SUM(D330)</f>
        <v>3718</v>
      </c>
      <c r="E342" s="1692">
        <f>SUM(E330)</f>
        <v>68736</v>
      </c>
      <c r="F342" s="1692">
        <f>SUM(F330)</f>
        <v>395</v>
      </c>
      <c r="G342" s="1692">
        <f>SUM(G330)</f>
        <v>0</v>
      </c>
      <c r="H342" s="1692">
        <f>SUM(H330,H334,H340)</f>
        <v>0</v>
      </c>
      <c r="I342" s="1692">
        <f>SUM(I330)</f>
        <v>0</v>
      </c>
      <c r="J342" s="1692">
        <f>SUM(J330)</f>
        <v>0</v>
      </c>
      <c r="K342" s="1692">
        <f>SUM(K330,K334,K340)</f>
        <v>89598</v>
      </c>
      <c r="L342" s="1699">
        <f>SUM(L330,L340,L341)</f>
        <v>90400</v>
      </c>
    </row>
    <row r="343" spans="1:14" ht="12.75" customHeight="1" thickTop="1" x14ac:dyDescent="0.2">
      <c r="A343" s="2183" t="s">
        <v>1053</v>
      </c>
      <c r="B343" s="2184"/>
      <c r="C343" s="617"/>
      <c r="D343" s="617"/>
      <c r="E343" s="617"/>
      <c r="F343" s="617"/>
      <c r="G343" s="617"/>
      <c r="H343" s="617"/>
      <c r="I343" s="617"/>
      <c r="J343" s="617"/>
      <c r="K343" s="1706">
        <f>'Revenues 9-14'!J275-'Expenditures 15-22'!K342</f>
        <v>26832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47616</v>
      </c>
      <c r="F349" s="466"/>
      <c r="G349" s="466"/>
      <c r="H349" s="466"/>
      <c r="I349" s="467"/>
      <c r="J349" s="467"/>
      <c r="K349" s="1693">
        <f>SUM(C349:J349)</f>
        <v>47616</v>
      </c>
      <c r="L349" s="466">
        <v>47617</v>
      </c>
    </row>
    <row r="350" spans="1:14" ht="12.75" customHeight="1" thickBot="1" x14ac:dyDescent="0.25">
      <c r="A350" s="1690" t="s">
        <v>743</v>
      </c>
      <c r="B350" s="1691" t="s">
        <v>35</v>
      </c>
      <c r="C350" s="1692">
        <f>SUM(C348:C349)</f>
        <v>0</v>
      </c>
      <c r="D350" s="1692">
        <f t="shared" ref="D350:L350" si="26">SUM(D348:D349)</f>
        <v>0</v>
      </c>
      <c r="E350" s="1692">
        <f t="shared" si="26"/>
        <v>47616</v>
      </c>
      <c r="F350" s="1692">
        <f t="shared" si="26"/>
        <v>0</v>
      </c>
      <c r="G350" s="1692">
        <f t="shared" si="26"/>
        <v>0</v>
      </c>
      <c r="H350" s="1692">
        <f t="shared" si="26"/>
        <v>0</v>
      </c>
      <c r="I350" s="1692">
        <f t="shared" si="26"/>
        <v>0</v>
      </c>
      <c r="J350" s="1692">
        <f t="shared" si="26"/>
        <v>0</v>
      </c>
      <c r="K350" s="1692">
        <f t="shared" si="26"/>
        <v>47616</v>
      </c>
      <c r="L350" s="1692">
        <f t="shared" si="26"/>
        <v>47617</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47616</v>
      </c>
      <c r="F352" s="1692">
        <f t="shared" si="27"/>
        <v>0</v>
      </c>
      <c r="G352" s="1692">
        <f t="shared" si="27"/>
        <v>0</v>
      </c>
      <c r="H352" s="1692">
        <f t="shared" si="27"/>
        <v>0</v>
      </c>
      <c r="I352" s="1692">
        <f t="shared" si="27"/>
        <v>0</v>
      </c>
      <c r="J352" s="1692">
        <f t="shared" si="27"/>
        <v>0</v>
      </c>
      <c r="K352" s="1692">
        <f t="shared" si="27"/>
        <v>47616</v>
      </c>
      <c r="L352" s="1692">
        <f t="shared" si="27"/>
        <v>47617</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c r="I354" s="702"/>
      <c r="J354" s="617"/>
      <c r="K354" s="1721">
        <f>H354</f>
        <v>0</v>
      </c>
      <c r="L354" s="471"/>
    </row>
    <row r="355" spans="1:14" ht="12.75" customHeight="1" x14ac:dyDescent="0.2">
      <c r="A355" s="1535" t="s">
        <v>1963</v>
      </c>
      <c r="B355" s="691" t="s">
        <v>1956</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47616</v>
      </c>
      <c r="F367" s="1692">
        <f t="shared" si="28"/>
        <v>0</v>
      </c>
      <c r="G367" s="1692">
        <f t="shared" si="28"/>
        <v>0</v>
      </c>
      <c r="H367" s="1692">
        <f t="shared" si="28"/>
        <v>0</v>
      </c>
      <c r="I367" s="1692">
        <f t="shared" si="28"/>
        <v>0</v>
      </c>
      <c r="J367" s="1692">
        <f t="shared" si="28"/>
        <v>0</v>
      </c>
      <c r="K367" s="1692">
        <f t="shared" si="28"/>
        <v>47616</v>
      </c>
      <c r="L367" s="1692">
        <f t="shared" si="28"/>
        <v>47617</v>
      </c>
    </row>
    <row r="368" spans="1:14" ht="13.5" thickTop="1" x14ac:dyDescent="0.2">
      <c r="A368" s="2197" t="s">
        <v>1053</v>
      </c>
      <c r="B368" s="2198"/>
      <c r="C368" s="655"/>
      <c r="D368" s="655"/>
      <c r="E368" s="627"/>
      <c r="F368" s="627"/>
      <c r="G368" s="627"/>
      <c r="H368" s="627"/>
      <c r="I368" s="627"/>
      <c r="J368" s="624"/>
      <c r="K368" s="1693">
        <f>'Revenues 9-14'!K275-'Expenditures 15-22'!K367</f>
        <v>-44807</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
See notes.
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8" sqref="A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1903</v>
      </c>
      <c r="B2" s="1550" t="s">
        <v>2033</v>
      </c>
      <c r="C2" s="715" t="s">
        <v>1908</v>
      </c>
      <c r="D2" s="715" t="s">
        <v>1909</v>
      </c>
      <c r="E2" s="715" t="s">
        <v>1910</v>
      </c>
      <c r="F2" s="715" t="s">
        <v>1911</v>
      </c>
    </row>
    <row r="3" spans="1:6" ht="12" customHeight="1" x14ac:dyDescent="0.2">
      <c r="A3" s="2200"/>
      <c r="B3" s="1547"/>
      <c r="C3" s="1548"/>
      <c r="D3" s="1549" t="s">
        <v>274</v>
      </c>
      <c r="E3" s="1548"/>
      <c r="F3" s="1549" t="s">
        <v>275</v>
      </c>
    </row>
    <row r="4" spans="1:6" ht="13.7" customHeight="1" x14ac:dyDescent="0.2">
      <c r="A4" s="716" t="s">
        <v>1217</v>
      </c>
      <c r="B4" s="1771">
        <f>'Revenues 9-14'!C5</f>
        <v>112374</v>
      </c>
      <c r="C4" s="1546">
        <v>23232</v>
      </c>
      <c r="D4" s="1774">
        <f>B4-C4</f>
        <v>89142</v>
      </c>
      <c r="E4" s="1546">
        <v>87851</v>
      </c>
      <c r="F4" s="1774">
        <f>E4-C4</f>
        <v>64619</v>
      </c>
    </row>
    <row r="5" spans="1:6" ht="13.7" customHeight="1" x14ac:dyDescent="0.2">
      <c r="A5" s="716" t="s">
        <v>925</v>
      </c>
      <c r="B5" s="1772">
        <f>'Revenues 9-14'!D5</f>
        <v>28094</v>
      </c>
      <c r="C5" s="585">
        <v>5808</v>
      </c>
      <c r="D5" s="1775">
        <f t="shared" ref="D5:D18" si="0">B5-C5</f>
        <v>22286</v>
      </c>
      <c r="E5" s="585">
        <v>21963</v>
      </c>
      <c r="F5" s="1775">
        <f>E5-C5</f>
        <v>16155</v>
      </c>
    </row>
    <row r="6" spans="1:6" ht="13.7" customHeight="1" x14ac:dyDescent="0.2">
      <c r="A6" s="716" t="s">
        <v>431</v>
      </c>
      <c r="B6" s="1772">
        <f>'Revenues 9-14'!E5</f>
        <v>90409</v>
      </c>
      <c r="C6" s="585">
        <v>38247</v>
      </c>
      <c r="D6" s="1775">
        <f t="shared" si="0"/>
        <v>52162</v>
      </c>
      <c r="E6" s="585">
        <v>144631</v>
      </c>
      <c r="F6" s="1775">
        <f t="shared" ref="F6:F18" si="1">E6-C6</f>
        <v>106384</v>
      </c>
    </row>
    <row r="7" spans="1:6" ht="13.7" customHeight="1" x14ac:dyDescent="0.2">
      <c r="A7" s="716" t="s">
        <v>157</v>
      </c>
      <c r="B7" s="1772">
        <f>'Revenues 9-14'!F5</f>
        <v>11238</v>
      </c>
      <c r="C7" s="585">
        <v>2323</v>
      </c>
      <c r="D7" s="1775">
        <f t="shared" si="0"/>
        <v>8915</v>
      </c>
      <c r="E7" s="585">
        <v>8785</v>
      </c>
      <c r="F7" s="1775">
        <f t="shared" si="1"/>
        <v>6462</v>
      </c>
    </row>
    <row r="8" spans="1:6" ht="13.7" customHeight="1" x14ac:dyDescent="0.2">
      <c r="A8" s="716" t="s">
        <v>1241</v>
      </c>
      <c r="B8" s="1772">
        <f>'Revenues 9-14'!G5</f>
        <v>81787</v>
      </c>
      <c r="C8" s="585">
        <v>16396</v>
      </c>
      <c r="D8" s="1775">
        <f t="shared" si="0"/>
        <v>65391</v>
      </c>
      <c r="E8" s="585">
        <v>62001</v>
      </c>
      <c r="F8" s="1775">
        <f t="shared" si="1"/>
        <v>45605</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2809</v>
      </c>
      <c r="C10" s="585">
        <v>581</v>
      </c>
      <c r="D10" s="1775">
        <f t="shared" si="0"/>
        <v>2228</v>
      </c>
      <c r="E10" s="585">
        <v>2196</v>
      </c>
      <c r="F10" s="1775">
        <f t="shared" si="1"/>
        <v>1615</v>
      </c>
    </row>
    <row r="11" spans="1:6" x14ac:dyDescent="0.2">
      <c r="A11" s="716" t="s">
        <v>429</v>
      </c>
      <c r="B11" s="1772">
        <f>'Revenues 9-14'!J5</f>
        <v>115833</v>
      </c>
      <c r="C11" s="585">
        <v>23530</v>
      </c>
      <c r="D11" s="1775">
        <f t="shared" si="0"/>
        <v>92303</v>
      </c>
      <c r="E11" s="585">
        <v>88976</v>
      </c>
      <c r="F11" s="1775">
        <f t="shared" si="1"/>
        <v>65446</v>
      </c>
    </row>
    <row r="12" spans="1:6" ht="13.7" customHeight="1" x14ac:dyDescent="0.2">
      <c r="A12" s="716" t="s">
        <v>159</v>
      </c>
      <c r="B12" s="1772">
        <f>'Revenues 9-14'!K5</f>
        <v>2809</v>
      </c>
      <c r="C12" s="585">
        <v>581</v>
      </c>
      <c r="D12" s="1775">
        <f t="shared" si="0"/>
        <v>2228</v>
      </c>
      <c r="E12" s="585">
        <v>2196</v>
      </c>
      <c r="F12" s="1775">
        <f t="shared" si="1"/>
        <v>1615</v>
      </c>
    </row>
    <row r="13" spans="1:6" ht="13.7" customHeight="1" x14ac:dyDescent="0.2">
      <c r="A13" s="716" t="s">
        <v>993</v>
      </c>
      <c r="B13" s="1772">
        <f>SUM('Revenues 9-14'!C6:D6)</f>
        <v>2494</v>
      </c>
      <c r="C13" s="585">
        <v>265</v>
      </c>
      <c r="D13" s="1775">
        <f t="shared" si="0"/>
        <v>2229</v>
      </c>
      <c r="E13" s="585">
        <v>1002</v>
      </c>
      <c r="F13" s="1775">
        <f t="shared" si="1"/>
        <v>737</v>
      </c>
    </row>
    <row r="14" spans="1:6" ht="13.7" customHeight="1" x14ac:dyDescent="0.2">
      <c r="A14" s="716" t="s">
        <v>430</v>
      </c>
      <c r="B14" s="1772">
        <f>SUM('Revenues 9-14'!C7:D7,'Revenues 9-14'!F7:H7)</f>
        <v>2248</v>
      </c>
      <c r="C14" s="585">
        <v>465</v>
      </c>
      <c r="D14" s="1775">
        <f t="shared" si="0"/>
        <v>1783</v>
      </c>
      <c r="E14" s="585">
        <v>1757</v>
      </c>
      <c r="F14" s="1775">
        <f t="shared" si="1"/>
        <v>1292</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59273</v>
      </c>
      <c r="C16" s="585">
        <v>15397</v>
      </c>
      <c r="D16" s="1775">
        <f t="shared" si="0"/>
        <v>43876</v>
      </c>
      <c r="E16" s="585">
        <v>58224</v>
      </c>
      <c r="F16" s="1775">
        <f t="shared" si="1"/>
        <v>42827</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509368</v>
      </c>
      <c r="C19" s="1773">
        <f>SUM(C4:C18)</f>
        <v>126825</v>
      </c>
      <c r="D19" s="1773">
        <f>SUM(D4:D18)</f>
        <v>382543</v>
      </c>
      <c r="E19" s="1773">
        <f>SUM(E4:E18)</f>
        <v>479582</v>
      </c>
      <c r="F19" s="1773">
        <f>SUM(F4:F18)</f>
        <v>352757</v>
      </c>
    </row>
    <row r="20" spans="1:6" ht="13.5" thickTop="1" x14ac:dyDescent="0.2">
      <c r="B20" s="714"/>
      <c r="F20" s="717"/>
    </row>
    <row r="21" spans="1:6" x14ac:dyDescent="0.2">
      <c r="A21" s="718" t="s">
        <v>1913</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A8" sqref="A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1903</v>
      </c>
      <c r="B2" s="2215"/>
      <c r="C2" s="1909" t="s">
        <v>2034</v>
      </c>
      <c r="D2" s="724" t="s">
        <v>2041</v>
      </c>
      <c r="E2" s="724" t="s">
        <v>2042</v>
      </c>
      <c r="F2" s="1909" t="s">
        <v>2035</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2036</v>
      </c>
      <c r="F30" s="1910" t="s">
        <v>2037</v>
      </c>
      <c r="G30" s="1910" t="s">
        <v>2040</v>
      </c>
      <c r="H30" s="1910" t="s">
        <v>2038</v>
      </c>
      <c r="I30" s="1910" t="s">
        <v>2039</v>
      </c>
      <c r="J30" s="1911" t="s">
        <v>2</v>
      </c>
      <c r="K30" s="732"/>
    </row>
    <row r="31" spans="1:11" ht="12" customHeight="1" x14ac:dyDescent="0.2">
      <c r="A31" s="733" t="s">
        <v>2088</v>
      </c>
      <c r="B31" s="734">
        <v>39004</v>
      </c>
      <c r="C31" s="735">
        <v>400000</v>
      </c>
      <c r="D31" s="736">
        <v>4</v>
      </c>
      <c r="E31" s="735">
        <v>140256</v>
      </c>
      <c r="F31" s="735"/>
      <c r="G31" s="735"/>
      <c r="H31" s="735">
        <v>23376</v>
      </c>
      <c r="I31" s="1778">
        <f>((E31+F31)-H31)+G31</f>
        <v>116880</v>
      </c>
      <c r="J31" s="735">
        <v>116880</v>
      </c>
      <c r="K31" s="737"/>
    </row>
    <row r="32" spans="1:11" ht="12" customHeight="1" x14ac:dyDescent="0.2">
      <c r="A32" s="733" t="s">
        <v>427</v>
      </c>
      <c r="B32" s="734">
        <v>39479</v>
      </c>
      <c r="C32" s="735">
        <v>295000</v>
      </c>
      <c r="D32" s="736">
        <v>1</v>
      </c>
      <c r="E32" s="735">
        <v>245000</v>
      </c>
      <c r="F32" s="735"/>
      <c r="G32" s="735"/>
      <c r="H32" s="735">
        <v>10000</v>
      </c>
      <c r="I32" s="1778">
        <f>((E32+F32)-H32)+G32</f>
        <v>235000</v>
      </c>
      <c r="J32" s="735">
        <v>200269</v>
      </c>
      <c r="K32" s="737"/>
    </row>
    <row r="33" spans="1:11" ht="12" customHeight="1" x14ac:dyDescent="0.2">
      <c r="A33" s="733" t="s">
        <v>2089</v>
      </c>
      <c r="B33" s="734">
        <v>42977</v>
      </c>
      <c r="C33" s="735">
        <v>500000</v>
      </c>
      <c r="D33" s="736">
        <v>2</v>
      </c>
      <c r="E33" s="735"/>
      <c r="F33" s="735">
        <v>500000</v>
      </c>
      <c r="G33" s="735"/>
      <c r="H33" s="735"/>
      <c r="I33" s="1778">
        <f t="shared" ref="I33:I48" si="1">((E33+F33)-H33)+G33</f>
        <v>500000</v>
      </c>
      <c r="J33" s="735">
        <v>461763</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1195000</v>
      </c>
      <c r="D49" s="746"/>
      <c r="E49" s="1778">
        <f t="shared" ref="E49:J49" si="2">SUM(E31:E48)</f>
        <v>385256</v>
      </c>
      <c r="F49" s="1778">
        <f t="shared" si="2"/>
        <v>500000</v>
      </c>
      <c r="G49" s="1778">
        <f t="shared" si="2"/>
        <v>0</v>
      </c>
      <c r="H49" s="1778">
        <f t="shared" si="2"/>
        <v>33376</v>
      </c>
      <c r="I49" s="1778">
        <f t="shared" si="2"/>
        <v>851880</v>
      </c>
      <c r="J49" s="1778">
        <f t="shared" si="2"/>
        <v>778912</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8" sqref="A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1917</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v>2248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1918</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2248</v>
      </c>
      <c r="I12" s="1780">
        <f>SUM(I5:I11)</f>
        <v>0</v>
      </c>
      <c r="J12" s="1780">
        <f>SUM(J5:J11)</f>
        <v>0</v>
      </c>
      <c r="K12" s="1780">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c r="I14" s="772"/>
      <c r="J14" s="774"/>
      <c r="K14" s="766"/>
    </row>
    <row r="15" spans="1:11" x14ac:dyDescent="0.2">
      <c r="A15" s="2230" t="s">
        <v>4</v>
      </c>
      <c r="B15" s="2230"/>
      <c r="C15" s="2230"/>
      <c r="D15" s="2230"/>
      <c r="E15" s="2258"/>
      <c r="F15" s="790" t="s">
        <v>910</v>
      </c>
      <c r="G15" s="772"/>
      <c r="H15" s="765">
        <v>2248</v>
      </c>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1914</v>
      </c>
      <c r="B19" s="2265"/>
      <c r="C19" s="2265"/>
      <c r="D19" s="2265"/>
      <c r="E19" s="2266"/>
      <c r="F19" s="790" t="s">
        <v>990</v>
      </c>
      <c r="G19" s="783"/>
      <c r="H19" s="783"/>
      <c r="I19" s="783"/>
      <c r="J19" s="766"/>
      <c r="K19" s="796"/>
    </row>
    <row r="20" spans="1:11" x14ac:dyDescent="0.2">
      <c r="A20" s="2244" t="s">
        <v>1919</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1920</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2248</v>
      </c>
      <c r="I23" s="1780">
        <f>SUM(I14:I16,I21,I22)</f>
        <v>0</v>
      </c>
      <c r="J23" s="1780">
        <f>SUM(J14:J16,J21,J22)</f>
        <v>0</v>
      </c>
      <c r="K23" s="1780">
        <f>SUM(K14:K16,K21,K22)</f>
        <v>0</v>
      </c>
    </row>
    <row r="24" spans="1:11" ht="14.25" thickTop="1" thickBot="1" x14ac:dyDescent="0.25">
      <c r="A24" s="2251" t="s">
        <v>2022</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1921</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1915</v>
      </c>
      <c r="B46" s="408" t="s">
        <v>1774</v>
      </c>
    </row>
    <row r="47" spans="1:11" s="824" customFormat="1" ht="12.75" customHeight="1" x14ac:dyDescent="0.2">
      <c r="A47" s="822"/>
      <c r="B47" s="823" t="s">
        <v>1775</v>
      </c>
      <c r="E47" s="823"/>
      <c r="K47" s="825"/>
    </row>
    <row r="48" spans="1:11" ht="12.75" customHeight="1" x14ac:dyDescent="0.2">
      <c r="A48" s="1554" t="s">
        <v>1916</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8" sqref="A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2031</v>
      </c>
      <c r="B1" s="2270"/>
      <c r="C1" s="2271"/>
      <c r="D1" s="827"/>
      <c r="E1" s="828"/>
      <c r="F1" s="828"/>
      <c r="G1" s="829"/>
      <c r="H1" s="830"/>
      <c r="I1" s="831"/>
      <c r="J1" s="2267"/>
      <c r="K1" s="2268"/>
      <c r="L1" s="2268"/>
    </row>
    <row r="2" spans="1:14" ht="69.75" customHeight="1" x14ac:dyDescent="0.2">
      <c r="A2" s="832" t="s">
        <v>1777</v>
      </c>
      <c r="B2" s="833" t="s">
        <v>396</v>
      </c>
      <c r="C2" s="834" t="s">
        <v>2026</v>
      </c>
      <c r="D2" s="834" t="s">
        <v>2023</v>
      </c>
      <c r="E2" s="834" t="s">
        <v>2024</v>
      </c>
      <c r="F2" s="834" t="s">
        <v>2025</v>
      </c>
      <c r="G2" s="834" t="s">
        <v>626</v>
      </c>
      <c r="H2" s="834" t="s">
        <v>2027</v>
      </c>
      <c r="I2" s="834" t="s">
        <v>2028</v>
      </c>
      <c r="J2" s="834" t="s">
        <v>2043</v>
      </c>
      <c r="K2" s="834" t="s">
        <v>2029</v>
      </c>
      <c r="L2" s="834" t="s">
        <v>2030</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81150</v>
      </c>
      <c r="D5" s="842"/>
      <c r="E5" s="842"/>
      <c r="F5" s="1782">
        <f>(C5+D5)-E5</f>
        <v>81150</v>
      </c>
      <c r="G5" s="838"/>
      <c r="H5" s="843"/>
      <c r="I5" s="843"/>
      <c r="J5" s="843"/>
      <c r="K5" s="794"/>
      <c r="L5" s="1791">
        <f>F5-K5</f>
        <v>81150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1827178</v>
      </c>
      <c r="D8" s="845"/>
      <c r="E8" s="845"/>
      <c r="F8" s="1782">
        <f>(C8+D8)-E8</f>
        <v>1827178</v>
      </c>
      <c r="G8" s="844">
        <v>50</v>
      </c>
      <c r="H8" s="766">
        <v>1360950</v>
      </c>
      <c r="I8" s="766">
        <v>76093</v>
      </c>
      <c r="J8" s="766"/>
      <c r="K8" s="1791">
        <f>(H8+I8)-J8</f>
        <v>1437043</v>
      </c>
      <c r="L8" s="1791">
        <f>F8-K8</f>
        <v>390135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69247</v>
      </c>
      <c r="D10" s="847"/>
      <c r="E10" s="847"/>
      <c r="F10" s="1786">
        <f>(C10+D10)-E10</f>
        <v>69247</v>
      </c>
      <c r="G10" s="844">
        <v>20</v>
      </c>
      <c r="H10" s="848">
        <v>69247</v>
      </c>
      <c r="I10" s="848"/>
      <c r="J10" s="848"/>
      <c r="K10" s="1791">
        <f>(H10+I10)-J10</f>
        <v>69247</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792474</v>
      </c>
      <c r="D12" s="845"/>
      <c r="E12" s="845">
        <v>37558</v>
      </c>
      <c r="F12" s="1782">
        <f>(C12+D12)-E12</f>
        <v>754916</v>
      </c>
      <c r="G12" s="844">
        <v>10</v>
      </c>
      <c r="H12" s="766">
        <v>750256</v>
      </c>
      <c r="I12" s="766">
        <v>4691</v>
      </c>
      <c r="J12" s="766">
        <v>37558</v>
      </c>
      <c r="K12" s="1791">
        <f>(H12+I12)-J12</f>
        <v>717389</v>
      </c>
      <c r="L12" s="1791">
        <f>F12-K12</f>
        <v>37527</v>
      </c>
    </row>
    <row r="13" spans="1:14" ht="14.25" thickTop="1" thickBot="1" x14ac:dyDescent="0.25">
      <c r="A13" s="849" t="s">
        <v>1184</v>
      </c>
      <c r="B13" s="841">
        <v>252</v>
      </c>
      <c r="C13" s="845">
        <v>339080</v>
      </c>
      <c r="D13" s="845">
        <v>28010</v>
      </c>
      <c r="E13" s="845"/>
      <c r="F13" s="1782">
        <f>(C13+D13)-E13</f>
        <v>367090</v>
      </c>
      <c r="G13" s="844">
        <v>5</v>
      </c>
      <c r="H13" s="766">
        <v>339080</v>
      </c>
      <c r="I13" s="766">
        <v>5602</v>
      </c>
      <c r="J13" s="766"/>
      <c r="K13" s="1791">
        <f>(H13+I13)-J13</f>
        <v>344682</v>
      </c>
      <c r="L13" s="1791">
        <f>F13-K13</f>
        <v>22408</v>
      </c>
    </row>
    <row r="14" spans="1:14" ht="14.25" thickTop="1" thickBot="1" x14ac:dyDescent="0.25">
      <c r="A14" s="849" t="s">
        <v>1185</v>
      </c>
      <c r="B14" s="841">
        <v>253</v>
      </c>
      <c r="C14" s="766">
        <v>107800</v>
      </c>
      <c r="D14" s="766"/>
      <c r="E14" s="766"/>
      <c r="F14" s="1782">
        <f>(C14+D14)-E14</f>
        <v>107800</v>
      </c>
      <c r="G14" s="844">
        <v>3</v>
      </c>
      <c r="H14" s="766">
        <v>104866</v>
      </c>
      <c r="I14" s="766">
        <v>2934</v>
      </c>
      <c r="J14" s="766"/>
      <c r="K14" s="1791">
        <f>(H14+I14)-J14</f>
        <v>107800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3216929</v>
      </c>
      <c r="D16" s="1782">
        <f>SUM(D3,D5:D6,D8:D10,D12:D15)</f>
        <v>28010</v>
      </c>
      <c r="E16" s="1782">
        <f>SUM(E3,E5:E6,E8:E10,E12:E15)</f>
        <v>37558</v>
      </c>
      <c r="F16" s="1782">
        <f>SUM(F3,F5:F6,F8:F10,F12:F15)</f>
        <v>3207381</v>
      </c>
      <c r="G16" s="844"/>
      <c r="H16" s="1782">
        <f>SUM(H3,H6,H8:H10,H12:H14,)</f>
        <v>2624399</v>
      </c>
      <c r="I16" s="1782">
        <f>SUM(I3,I6,I8:I10,I12:I14,)</f>
        <v>89320</v>
      </c>
      <c r="J16" s="1782">
        <f>SUM(J3,J6,J8:J10,J12:J14,)</f>
        <v>37558</v>
      </c>
      <c r="K16" s="1782">
        <f>(H16+I16)-J16</f>
        <v>2676161</v>
      </c>
      <c r="L16" s="1782">
        <f>F16-K16</f>
        <v>531220</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3789</v>
      </c>
      <c r="G17" s="838">
        <v>10</v>
      </c>
      <c r="H17" s="770"/>
      <c r="I17" s="1791">
        <f>F17/G17</f>
        <v>378.9</v>
      </c>
      <c r="J17" s="770"/>
      <c r="K17" s="796"/>
      <c r="L17" s="796"/>
    </row>
    <row r="18" spans="1:12" ht="14.25" thickTop="1" thickBot="1" x14ac:dyDescent="0.25">
      <c r="A18" s="1789" t="s">
        <v>706</v>
      </c>
      <c r="B18" s="1790"/>
      <c r="C18" s="772"/>
      <c r="D18" s="772"/>
      <c r="E18" s="772"/>
      <c r="F18" s="851"/>
      <c r="G18" s="852"/>
      <c r="H18" s="774"/>
      <c r="I18" s="1782">
        <f>SUM(I16,I17)</f>
        <v>89698.9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8" sqref="A8"/>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1980460</v>
      </c>
      <c r="G8" s="866"/>
    </row>
    <row r="9" spans="1:7" x14ac:dyDescent="0.2">
      <c r="A9" s="870" t="s">
        <v>480</v>
      </c>
      <c r="B9" s="871" t="s">
        <v>1986</v>
      </c>
      <c r="C9" s="872"/>
      <c r="D9" s="870" t="s">
        <v>522</v>
      </c>
      <c r="E9" s="869"/>
      <c r="F9" s="1935">
        <f>'Expenditures 15-22'!K151</f>
        <v>250086</v>
      </c>
      <c r="G9" s="873"/>
    </row>
    <row r="10" spans="1:7" x14ac:dyDescent="0.2">
      <c r="A10" s="870" t="s">
        <v>520</v>
      </c>
      <c r="B10" s="871" t="s">
        <v>1987</v>
      </c>
      <c r="C10" s="872"/>
      <c r="D10" s="870" t="s">
        <v>522</v>
      </c>
      <c r="E10" s="869"/>
      <c r="F10" s="1935">
        <f>'Expenditures 15-22'!K174</f>
        <v>51541</v>
      </c>
      <c r="G10" s="873"/>
    </row>
    <row r="11" spans="1:7" x14ac:dyDescent="0.2">
      <c r="A11" s="870" t="s">
        <v>481</v>
      </c>
      <c r="B11" s="871" t="s">
        <v>1988</v>
      </c>
      <c r="C11" s="872"/>
      <c r="D11" s="870" t="s">
        <v>522</v>
      </c>
      <c r="E11" s="869"/>
      <c r="F11" s="1935">
        <f>'Expenditures 15-22'!K210</f>
        <v>94537</v>
      </c>
      <c r="G11" s="873"/>
    </row>
    <row r="12" spans="1:7" x14ac:dyDescent="0.2">
      <c r="A12" s="870" t="s">
        <v>482</v>
      </c>
      <c r="B12" s="871" t="s">
        <v>1989</v>
      </c>
      <c r="C12" s="872"/>
      <c r="D12" s="870" t="s">
        <v>522</v>
      </c>
      <c r="E12" s="869"/>
      <c r="F12" s="1935">
        <f>'Expenditures 15-22'!K295</f>
        <v>68562</v>
      </c>
      <c r="G12" s="873"/>
    </row>
    <row r="13" spans="1:7" x14ac:dyDescent="0.2">
      <c r="A13" s="870" t="s">
        <v>108</v>
      </c>
      <c r="B13" s="871" t="s">
        <v>1990</v>
      </c>
      <c r="C13" s="872"/>
      <c r="D13" s="870" t="s">
        <v>522</v>
      </c>
      <c r="E13" s="869"/>
      <c r="F13" s="1935">
        <f>'Expenditures 15-22'!K342</f>
        <v>89598</v>
      </c>
      <c r="G13" s="874"/>
    </row>
    <row r="14" spans="1:7" ht="12" customHeight="1" thickBot="1" x14ac:dyDescent="0.25">
      <c r="A14" s="1792"/>
      <c r="B14" s="1793"/>
      <c r="C14" s="1794"/>
      <c r="D14" s="1795" t="s">
        <v>522</v>
      </c>
      <c r="E14" s="1796" t="s">
        <v>1015</v>
      </c>
      <c r="F14" s="1797">
        <f>SUM(F8:F13)</f>
        <v>2534784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85847</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15680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42893</v>
      </c>
      <c r="G52" s="866"/>
    </row>
    <row r="53" spans="1:7" x14ac:dyDescent="0.2">
      <c r="A53" s="870" t="s">
        <v>479</v>
      </c>
      <c r="B53" s="870" t="s">
        <v>1551</v>
      </c>
      <c r="C53" s="890">
        <f>'Expenditures 15-22'!B102</f>
        <v>4000</v>
      </c>
      <c r="D53" s="889" t="str">
        <f>'Expenditures 15-22'!A102</f>
        <v>Total Payments to Other Govt Units</v>
      </c>
      <c r="E53" s="869"/>
      <c r="F53" s="1939">
        <f>'Expenditures 15-22'!K102</f>
        <v>20000</v>
      </c>
      <c r="G53" s="866"/>
    </row>
    <row r="54" spans="1:7" x14ac:dyDescent="0.2">
      <c r="A54" s="870" t="s">
        <v>479</v>
      </c>
      <c r="B54" s="870" t="s">
        <v>1552</v>
      </c>
      <c r="C54" s="890" t="s">
        <v>1039</v>
      </c>
      <c r="D54" s="886" t="s">
        <v>1157</v>
      </c>
      <c r="E54" s="869"/>
      <c r="F54" s="1939">
        <f>'Expenditures 15-22'!G114</f>
        <v>28010</v>
      </c>
      <c r="G54" s="866"/>
    </row>
    <row r="55" spans="1:7" x14ac:dyDescent="0.2">
      <c r="A55" s="870" t="s">
        <v>479</v>
      </c>
      <c r="B55" s="870" t="s">
        <v>1553</v>
      </c>
      <c r="C55" s="890" t="s">
        <v>1039</v>
      </c>
      <c r="D55" s="886" t="s">
        <v>309</v>
      </c>
      <c r="E55" s="869"/>
      <c r="F55" s="1939">
        <f>'Expenditures 15-22'!I114</f>
        <v>3789</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9">
        <f>'Expenditures 15-22'!K139</f>
        <v>0</v>
      </c>
      <c r="G57" s="866"/>
    </row>
    <row r="58" spans="1:7" x14ac:dyDescent="0.2">
      <c r="A58" s="870" t="s">
        <v>480</v>
      </c>
      <c r="B58" s="870" t="s">
        <v>1992</v>
      </c>
      <c r="C58" s="887" t="s">
        <v>1039</v>
      </c>
      <c r="D58" s="886" t="s">
        <v>1157</v>
      </c>
      <c r="E58" s="869"/>
      <c r="F58" s="1941">
        <f>'Expenditures 15-22'!G151</f>
        <v>0</v>
      </c>
      <c r="G58" s="866"/>
    </row>
    <row r="59" spans="1:7" x14ac:dyDescent="0.2">
      <c r="A59" s="894" t="s">
        <v>480</v>
      </c>
      <c r="B59" s="857" t="s">
        <v>1993</v>
      </c>
      <c r="C59" s="895" t="s">
        <v>1039</v>
      </c>
      <c r="D59" s="857" t="s">
        <v>309</v>
      </c>
      <c r="F59" s="1942">
        <f>'Expenditures 15-22'!I151</f>
        <v>0</v>
      </c>
      <c r="G59" s="866"/>
    </row>
    <row r="60" spans="1:7" x14ac:dyDescent="0.2">
      <c r="A60" s="894" t="s">
        <v>520</v>
      </c>
      <c r="B60" s="857" t="s">
        <v>1994</v>
      </c>
      <c r="C60" s="895">
        <v>4000</v>
      </c>
      <c r="D60" s="857" t="s">
        <v>330</v>
      </c>
      <c r="F60" s="1940">
        <f>'Expenditures 15-22'!K160</f>
        <v>0</v>
      </c>
      <c r="G60" s="866"/>
    </row>
    <row r="61" spans="1:7" x14ac:dyDescent="0.2">
      <c r="A61" s="896" t="s">
        <v>520</v>
      </c>
      <c r="B61" s="896" t="s">
        <v>1995</v>
      </c>
      <c r="C61" s="897" t="str">
        <f>'Expenditures 15-22'!B170</f>
        <v>5300</v>
      </c>
      <c r="D61" s="898" t="s">
        <v>329</v>
      </c>
      <c r="E61" s="880"/>
      <c r="F61" s="1939">
        <f>'Expenditures 15-22'!K170</f>
        <v>33376</v>
      </c>
      <c r="G61" s="866"/>
    </row>
    <row r="62" spans="1:7" x14ac:dyDescent="0.2">
      <c r="A62" s="870" t="s">
        <v>481</v>
      </c>
      <c r="B62" s="870" t="s">
        <v>1996</v>
      </c>
      <c r="C62" s="887">
        <f>'Expenditures 15-22'!B185</f>
        <v>3000</v>
      </c>
      <c r="D62" s="877" t="s">
        <v>469</v>
      </c>
      <c r="E62" s="869"/>
      <c r="F62" s="1939">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1998</v>
      </c>
      <c r="C64" s="897" t="str">
        <f>'Expenditures 15-22'!B206</f>
        <v>5300</v>
      </c>
      <c r="D64" s="893" t="s">
        <v>329</v>
      </c>
      <c r="E64" s="869"/>
      <c r="F64" s="1939">
        <f>'Expenditures 15-22'!K206</f>
        <v>0</v>
      </c>
      <c r="G64" s="866"/>
    </row>
    <row r="65" spans="1:8" x14ac:dyDescent="0.2">
      <c r="A65" s="870" t="s">
        <v>481</v>
      </c>
      <c r="B65" s="870" t="s">
        <v>1999</v>
      </c>
      <c r="C65" s="887" t="s">
        <v>1039</v>
      </c>
      <c r="D65" s="886" t="s">
        <v>1157</v>
      </c>
      <c r="E65" s="869"/>
      <c r="F65" s="1939">
        <f>'Expenditures 15-22'!G210</f>
        <v>0</v>
      </c>
      <c r="G65" s="866"/>
    </row>
    <row r="66" spans="1:8" x14ac:dyDescent="0.2">
      <c r="A66" s="870" t="s">
        <v>481</v>
      </c>
      <c r="B66" s="870" t="s">
        <v>2000</v>
      </c>
      <c r="C66" s="887" t="s">
        <v>1039</v>
      </c>
      <c r="D66" s="886" t="s">
        <v>309</v>
      </c>
      <c r="E66" s="869"/>
      <c r="F66" s="1939">
        <f>'Expenditures 15-22'!I210</f>
        <v>0</v>
      </c>
      <c r="G66" s="866"/>
    </row>
    <row r="67" spans="1:8" x14ac:dyDescent="0.2">
      <c r="A67" s="870" t="s">
        <v>482</v>
      </c>
      <c r="B67" s="870" t="s">
        <v>2001</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2003</v>
      </c>
      <c r="C70" s="887">
        <f>'Expenditures 15-22'!B221</f>
        <v>1300</v>
      </c>
      <c r="D70" s="888" t="str">
        <f>'Expenditures 15-22'!A221</f>
        <v>Adult/Continuing Education Programs</v>
      </c>
      <c r="E70" s="869"/>
      <c r="F70" s="1939">
        <f>'Expenditures 15-22'!K221</f>
        <v>0</v>
      </c>
      <c r="G70" s="866"/>
    </row>
    <row r="71" spans="1:8" x14ac:dyDescent="0.2">
      <c r="A71" s="870" t="s">
        <v>482</v>
      </c>
      <c r="B71" s="870" t="s">
        <v>2004</v>
      </c>
      <c r="C71" s="887">
        <f>'Expenditures 15-22'!B224</f>
        <v>1600</v>
      </c>
      <c r="D71" s="888" t="str">
        <f>'Expenditures 15-22'!A224</f>
        <v>Summer School Programs</v>
      </c>
      <c r="E71" s="869"/>
      <c r="F71" s="1939">
        <f>'Expenditures 15-22'!K224</f>
        <v>0</v>
      </c>
      <c r="G71" s="866"/>
    </row>
    <row r="72" spans="1:8" x14ac:dyDescent="0.2">
      <c r="A72" s="870" t="s">
        <v>482</v>
      </c>
      <c r="B72" s="870" t="s">
        <v>2005</v>
      </c>
      <c r="C72" s="887">
        <f>'Expenditures 15-22'!B280</f>
        <v>3000</v>
      </c>
      <c r="D72" s="877" t="s">
        <v>469</v>
      </c>
      <c r="E72" s="869"/>
      <c r="F72" s="1939">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2007</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229595</v>
      </c>
      <c r="G76" s="866"/>
    </row>
    <row r="77" spans="1:8" s="894" customFormat="1" ht="12" customHeight="1" thickTop="1" thickBot="1" x14ac:dyDescent="0.25">
      <c r="A77" s="1801"/>
      <c r="B77" s="1798"/>
      <c r="C77" s="1794"/>
      <c r="D77" s="1799" t="s">
        <v>2009</v>
      </c>
      <c r="E77" s="1796"/>
      <c r="F77" s="1802">
        <f>(F14-F76)</f>
        <v>2305189</v>
      </c>
      <c r="G77" s="870"/>
    </row>
    <row r="78" spans="1:8" s="894" customFormat="1" ht="12" customHeight="1" thickTop="1" x14ac:dyDescent="0.2">
      <c r="A78" s="1803"/>
      <c r="B78" s="1798"/>
      <c r="C78" s="1794"/>
      <c r="D78" s="1799" t="s">
        <v>2055</v>
      </c>
      <c r="E78" s="1796"/>
      <c r="F78" s="899">
        <v>111.66</v>
      </c>
      <c r="G78" s="900"/>
      <c r="H78" s="870"/>
    </row>
    <row r="79" spans="1:8" s="894" customFormat="1" ht="12" customHeight="1" thickBot="1" x14ac:dyDescent="0.25">
      <c r="A79" s="1804"/>
      <c r="B79" s="1798"/>
      <c r="C79" s="1794"/>
      <c r="D79" s="1799" t="s">
        <v>2010</v>
      </c>
      <c r="E79" s="1796" t="s">
        <v>1015</v>
      </c>
      <c r="F79" s="1805">
        <f>IF(F78&gt;0,F77/F78," Complete Line 78")</f>
        <v>20644.71610245388</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621</v>
      </c>
      <c r="G94" s="913"/>
    </row>
    <row r="95" spans="1:7" x14ac:dyDescent="0.2">
      <c r="A95" s="909" t="s">
        <v>142</v>
      </c>
      <c r="B95" s="909" t="s">
        <v>177</v>
      </c>
      <c r="C95" s="911">
        <v>1700</v>
      </c>
      <c r="D95" s="919" t="str">
        <f>'Revenues 9-14'!A82</f>
        <v>Total District/School Activity Income</v>
      </c>
      <c r="E95" s="907"/>
      <c r="F95" s="1811">
        <f>SUM('Revenues 9-14'!C82,'Revenues 9-14'!D82)</f>
        <v>9333</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10200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10193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1878</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1500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1959</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66617</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101568</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64394</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107138</v>
      </c>
      <c r="G129" s="931"/>
    </row>
    <row r="130" spans="1:7" x14ac:dyDescent="0.2">
      <c r="A130" s="928" t="s">
        <v>689</v>
      </c>
      <c r="B130" s="928" t="s">
        <v>804</v>
      </c>
      <c r="C130" s="933">
        <v>4300</v>
      </c>
      <c r="D130" s="934" t="str">
        <f>'Revenues 9-14'!A211</f>
        <v>Total Title I</v>
      </c>
      <c r="E130" s="907"/>
      <c r="F130" s="1811">
        <f>SUM('Revenues 9-14'!C211,'Revenues 9-14'!D211,'Revenues 9-14'!F211,'Revenues 9-14'!G211)</f>
        <v>579803</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18500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2847</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2054</v>
      </c>
      <c r="C175" s="1946">
        <v>3100</v>
      </c>
      <c r="D175" s="1947" t="s">
        <v>2057</v>
      </c>
      <c r="E175" s="907"/>
      <c r="F175" s="1931"/>
      <c r="G175" s="928"/>
    </row>
    <row r="176" spans="1:7" x14ac:dyDescent="0.2">
      <c r="A176" s="1944" t="s">
        <v>685</v>
      </c>
      <c r="B176" s="1945" t="s">
        <v>2054</v>
      </c>
      <c r="C176" s="1946">
        <v>3300</v>
      </c>
      <c r="D176" s="1947" t="s">
        <v>2058</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976551</v>
      </c>
    </row>
    <row r="179" spans="1:7" ht="12" customHeight="1" x14ac:dyDescent="0.2">
      <c r="A179" s="1792"/>
      <c r="B179" s="1806"/>
      <c r="C179" s="1807"/>
      <c r="D179" s="1808" t="s">
        <v>2012</v>
      </c>
      <c r="E179" s="1809"/>
      <c r="F179" s="1811">
        <f>'PCTC-OEPP 27-28'!F77-F178</f>
        <v>1328638</v>
      </c>
    </row>
    <row r="180" spans="1:7" ht="12" customHeight="1" x14ac:dyDescent="0.2">
      <c r="A180" s="1792"/>
      <c r="B180" s="1806"/>
      <c r="C180" s="1807"/>
      <c r="D180" s="1808" t="s">
        <v>1922</v>
      </c>
      <c r="E180" s="1809"/>
      <c r="F180" s="1811">
        <f>'Cap Outlay Deprec 26'!I18</f>
        <v>89698.9</v>
      </c>
    </row>
    <row r="181" spans="1:7" ht="12" customHeight="1" x14ac:dyDescent="0.2">
      <c r="A181" s="1792"/>
      <c r="B181" s="1806"/>
      <c r="C181" s="1807"/>
      <c r="D181" s="1808" t="s">
        <v>2013</v>
      </c>
      <c r="E181" s="1809"/>
      <c r="F181" s="1811">
        <f>F179+F180</f>
        <v>1418336.9</v>
      </c>
    </row>
    <row r="182" spans="1:7" ht="12" customHeight="1" x14ac:dyDescent="0.2">
      <c r="A182" s="1792"/>
      <c r="B182" s="1812"/>
      <c r="C182" s="1807"/>
      <c r="D182" s="1808" t="str">
        <f>D78</f>
        <v>9 Month ADA from District Average Daily Attendance/Prior General State Aid Inquiry 2017-2018</v>
      </c>
      <c r="E182" s="1809"/>
      <c r="F182" s="1813">
        <f>'PCTC-OEPP 27-28'!F78</f>
        <v>111.66</v>
      </c>
      <c r="G182" s="931"/>
    </row>
    <row r="183" spans="1:7" ht="12" customHeight="1" thickBot="1" x14ac:dyDescent="0.25">
      <c r="A183" s="1792"/>
      <c r="B183" s="1812"/>
      <c r="C183" s="1807"/>
      <c r="D183" s="1808" t="s">
        <v>2014</v>
      </c>
      <c r="E183" s="1809" t="s">
        <v>1626</v>
      </c>
      <c r="F183" s="1814">
        <f>F181/F182</f>
        <v>12702.282822855095</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8" sqref="A8"/>
      <selection pane="bottomLeft" activeCell="A8" sqref="A8:G8"/>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1938</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1923</v>
      </c>
      <c r="B4" s="2287"/>
      <c r="C4" s="2287"/>
      <c r="D4" s="2287"/>
      <c r="E4" s="2287"/>
      <c r="F4" s="2287"/>
      <c r="G4" s="2288"/>
    </row>
    <row r="5" spans="1:7" x14ac:dyDescent="0.25">
      <c r="A5" s="2289"/>
      <c r="B5" s="2290"/>
      <c r="C5" s="2290"/>
      <c r="D5" s="2290"/>
      <c r="E5" s="2290"/>
      <c r="F5" s="2290"/>
      <c r="G5" s="2291"/>
    </row>
    <row r="6" spans="1:7" ht="18.75" x14ac:dyDescent="0.25">
      <c r="A6" s="1556" t="s">
        <v>1924</v>
      </c>
      <c r="B6" s="1557"/>
      <c r="C6" s="1557"/>
      <c r="D6" s="1557"/>
      <c r="E6" s="1557"/>
      <c r="F6" s="1557"/>
      <c r="G6" s="1558"/>
    </row>
    <row r="7" spans="1:7" ht="30.75" customHeight="1" x14ac:dyDescent="0.25">
      <c r="A7" s="2292" t="s">
        <v>2071</v>
      </c>
      <c r="B7" s="2293"/>
      <c r="C7" s="2293"/>
      <c r="D7" s="2293"/>
      <c r="E7" s="2293"/>
      <c r="F7" s="2293"/>
      <c r="G7" s="2294"/>
    </row>
    <row r="8" spans="1:7" ht="15.75" customHeight="1" x14ac:dyDescent="0.25">
      <c r="A8" s="2295" t="s">
        <v>2020</v>
      </c>
      <c r="B8" s="2296"/>
      <c r="C8" s="2296"/>
      <c r="D8" s="2296"/>
      <c r="E8" s="2296"/>
      <c r="F8" s="2296"/>
      <c r="G8" s="2297"/>
    </row>
    <row r="9" spans="1:7" ht="35.25" customHeight="1" x14ac:dyDescent="0.25">
      <c r="A9" s="2292" t="s">
        <v>2074</v>
      </c>
      <c r="B9" s="2293"/>
      <c r="C9" s="2293"/>
      <c r="D9" s="2293"/>
      <c r="E9" s="2293"/>
      <c r="F9" s="2293"/>
      <c r="G9" s="2294"/>
    </row>
    <row r="10" spans="1:7" ht="15" customHeight="1" x14ac:dyDescent="0.25">
      <c r="A10" s="1559" t="s">
        <v>1925</v>
      </c>
      <c r="B10" s="1560"/>
      <c r="C10" s="1560"/>
      <c r="D10" s="1560"/>
      <c r="E10" s="1560"/>
      <c r="F10" s="1560"/>
      <c r="G10" s="1561"/>
    </row>
    <row r="11" spans="1:7" ht="17.25" customHeight="1" x14ac:dyDescent="0.25">
      <c r="A11" s="2292" t="s">
        <v>2073</v>
      </c>
      <c r="B11" s="2293"/>
      <c r="C11" s="2293"/>
      <c r="D11" s="2293"/>
      <c r="E11" s="2293"/>
      <c r="F11" s="2293"/>
      <c r="G11" s="2294"/>
    </row>
    <row r="12" spans="1:7" ht="15" customHeight="1" x14ac:dyDescent="0.25">
      <c r="A12" s="1559" t="s">
        <v>1930</v>
      </c>
      <c r="B12" s="1560"/>
      <c r="C12" s="1560"/>
      <c r="D12" s="1560"/>
      <c r="E12" s="1560"/>
      <c r="F12" s="1560"/>
      <c r="G12" s="1561"/>
    </row>
    <row r="13" spans="1:7" ht="32.25" customHeight="1" x14ac:dyDescent="0.25">
      <c r="A13" s="2283" t="s">
        <v>1931</v>
      </c>
      <c r="B13" s="2284"/>
      <c r="C13" s="2284"/>
      <c r="D13" s="2284"/>
      <c r="E13" s="2284"/>
      <c r="F13" s="2284"/>
      <c r="G13" s="2285"/>
    </row>
    <row r="14" spans="1:7" x14ac:dyDescent="0.25">
      <c r="A14" s="1683" t="s">
        <v>1939</v>
      </c>
      <c r="B14" s="1684"/>
      <c r="C14" s="1684"/>
      <c r="D14" s="1684"/>
      <c r="E14" s="1684"/>
      <c r="F14" s="1684"/>
      <c r="G14" s="1685"/>
    </row>
    <row r="15" spans="1:7" ht="61.5" customHeight="1" x14ac:dyDescent="0.25">
      <c r="A15" s="1568" t="s">
        <v>1932</v>
      </c>
      <c r="B15" s="1568" t="s">
        <v>1933</v>
      </c>
      <c r="C15" s="1568" t="s">
        <v>1934</v>
      </c>
      <c r="D15" s="1569" t="s">
        <v>1935</v>
      </c>
      <c r="E15" s="1569" t="s">
        <v>1926</v>
      </c>
      <c r="F15" s="1569" t="s">
        <v>1936</v>
      </c>
      <c r="G15" s="1569" t="s">
        <v>1937</v>
      </c>
    </row>
    <row r="16" spans="1:7" x14ac:dyDescent="0.25">
      <c r="A16" s="1670" t="s">
        <v>1940</v>
      </c>
      <c r="B16" s="1671" t="s">
        <v>1929</v>
      </c>
      <c r="C16" s="1672" t="s">
        <v>1927</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8" sqref="A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v>14305</v>
      </c>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107138</v>
      </c>
      <c r="F10" s="975"/>
      <c r="G10" s="976"/>
      <c r="H10" s="162"/>
      <c r="I10" s="162"/>
    </row>
    <row r="11" spans="1:9" s="669" customFormat="1" ht="22.5" customHeight="1" x14ac:dyDescent="0.2">
      <c r="A11" s="2303" t="s">
        <v>1942</v>
      </c>
      <c r="B11" s="2304"/>
      <c r="C11" s="2304"/>
      <c r="D11" s="2305"/>
      <c r="E11" s="978">
        <v>7318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v>3996</v>
      </c>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1005892</v>
      </c>
      <c r="F19" s="1822"/>
      <c r="G19" s="1824">
        <f>'Expenditures 15-22'!K33-SUM('Expenditures 15-22'!G33,'Expenditures 15-22'!I33)+'Expenditures 15-22'!D229</f>
        <v>1005892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137499</v>
      </c>
      <c r="F21" s="1825"/>
      <c r="G21" s="1828">
        <f>'Expenditures 15-22'!K42-SUM('Expenditures 15-22'!G42,'Expenditures 15-22'!I42)+'Expenditures 15-22'!K120-SUM('Expenditures 15-22'!G120,'Expenditures 15-22'!I120)+'Expenditures 15-22'!K180-SUM('Expenditures 15-22'!G180,'Expenditures 15-22'!I180)+'Expenditures 15-22'!D238</f>
        <v>137499</v>
      </c>
      <c r="H21" s="988"/>
      <c r="I21" s="162"/>
    </row>
    <row r="22" spans="1:9" s="669" customFormat="1" ht="12" customHeight="1" x14ac:dyDescent="0.2">
      <c r="A22" s="995" t="s">
        <v>585</v>
      </c>
      <c r="B22" s="996"/>
      <c r="C22" s="994">
        <v>2200</v>
      </c>
      <c r="D22" s="1825"/>
      <c r="E22" s="1827">
        <f>'Expenditures 15-22'!K47-SUM('Expenditures 15-22'!G47,'Expenditures 15-22'!I47)+'Expenditures 15-22'!D243</f>
        <v>164603</v>
      </c>
      <c r="F22" s="1825"/>
      <c r="G22" s="1828">
        <f>'Expenditures 15-22'!K47-SUM('Expenditures 15-22'!G47,'Expenditures 15-22'!I47)+'Expenditures 15-22'!D243</f>
        <v>164603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289279</v>
      </c>
      <c r="F23" s="1825"/>
      <c r="G23" s="1827">
        <f>'Expenditures 15-22'!K53-SUM('Expenditures 15-22'!G53,'Expenditures 15-22'!I53)+'Expenditures 15-22'!D257+'Expenditures 15-22'!K330-SUM('Expenditures 15-22'!G330,'Expenditures 15-22'!I330)</f>
        <v>289279</v>
      </c>
      <c r="H23" s="988"/>
      <c r="I23" s="162"/>
    </row>
    <row r="24" spans="1:9" s="669" customFormat="1" ht="12" customHeight="1" x14ac:dyDescent="0.2">
      <c r="A24" s="995" t="s">
        <v>587</v>
      </c>
      <c r="B24" s="996"/>
      <c r="C24" s="994">
        <v>2400</v>
      </c>
      <c r="D24" s="1825"/>
      <c r="E24" s="1827">
        <f>'Expenditures 15-22'!K57-SUM('Expenditures 15-22'!G57,'Expenditures 15-22'!I57)+'Expenditures 15-22'!D261</f>
        <v>2021</v>
      </c>
      <c r="F24" s="1825"/>
      <c r="G24" s="1828">
        <f>'Expenditures 15-22'!K57-SUM('Expenditures 15-22'!G57,'Expenditures 15-22'!I57)+'Expenditures 15-22'!D261</f>
        <v>2021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74888</v>
      </c>
      <c r="E27" s="1827">
        <f>E8</f>
        <v>14305</v>
      </c>
      <c r="F27" s="1827">
        <f>'Expenditures 15-22'!K60-SUM('Expenditures 15-22'!G60,'Expenditures 15-22'!I60)+'Expenditures 15-22'!D264-E8</f>
        <v>74888</v>
      </c>
      <c r="G27" s="1828">
        <f>E8</f>
        <v>14305</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284635</v>
      </c>
      <c r="F28" s="1829">
        <f>'Expenditures 15-22'!K61-SUM('Expenditures 15-22'!G61,'Expenditures 15-22'!I61)+'Expenditures 15-22'!K124-SUM('Expenditures 15-22'!G124,'Expenditures 15-22'!I124)+'Expenditures 15-22'!D266-E9</f>
        <v>284635</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115052</v>
      </c>
      <c r="F29" s="1825"/>
      <c r="G29" s="1828">
        <f>'Expenditures 15-22'!K62-SUM('Expenditures 15-22'!G62,'Expenditures 15-22'!I62)+'Expenditures 15-22'!K125-SUM('Expenditures 15-22'!G125,'Expenditures 15-22'!I125)+'Expenditures 15-22'!K182-SUM('Expenditures 15-22'!G182,'Expenditures 15-22'!I182)+'Expenditures 15-22'!D267</f>
        <v>115052</v>
      </c>
      <c r="H29" s="986"/>
    </row>
    <row r="30" spans="1:9" ht="12" customHeight="1" x14ac:dyDescent="0.2">
      <c r="A30" s="995" t="s">
        <v>102</v>
      </c>
      <c r="B30" s="998"/>
      <c r="C30" s="994">
        <v>2560</v>
      </c>
      <c r="D30" s="1825"/>
      <c r="E30" s="1827">
        <f>'Expenditures 15-22'!K63-SUM('Expenditures 15-22'!G63,'Expenditures 15-22'!I63)+'Expenditures 15-22'!D268-E10</f>
        <v>31663</v>
      </c>
      <c r="F30" s="1825"/>
      <c r="G30" s="1827">
        <f>'Expenditures 15-22'!K63-SUM('Expenditures 15-22'!G63,'Expenditures 15-22'!I63)+'Expenditures 15-22'!D268-E10</f>
        <v>31663</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150000</v>
      </c>
      <c r="F33" s="1825"/>
      <c r="G33" s="1827">
        <f>'Expenditures 15-22'!K67-SUM('Expenditures 15-22'!G67,'Expenditures 15-22'!I67)+'Expenditures 15-22'!D272</f>
        <v>150000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3996</v>
      </c>
      <c r="F36" s="1827">
        <f>'Expenditures 15-22'!K70-SUM('Expenditures 15-22'!G70,'Expenditures 15-22'!I70)+'Expenditures 15-22'!D275-E13</f>
        <v>0</v>
      </c>
      <c r="G36" s="1827">
        <f>E13</f>
        <v>3996</v>
      </c>
    </row>
    <row r="37" spans="1:7" ht="12" customHeight="1" x14ac:dyDescent="0.2">
      <c r="A37" s="995" t="s">
        <v>424</v>
      </c>
      <c r="B37" s="998"/>
      <c r="C37" s="994">
        <v>2660</v>
      </c>
      <c r="D37" s="1827">
        <f>'Expenditures 15-22'!K71-SUM('Expenditures 15-22'!G71,'Expenditures 15-22'!I71)+'Expenditures 15-22'!D276-E14</f>
        <v>7530</v>
      </c>
      <c r="E37" s="1827">
        <f>E14</f>
        <v>0</v>
      </c>
      <c r="F37" s="1827">
        <f>'Expenditures 15-22'!K71-SUM('Expenditures 15-22'!G71,'Expenditures 15-22'!I71)+'Expenditures 15-22'!D276-E14</f>
        <v>7530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50</v>
      </c>
      <c r="F38" s="1825"/>
      <c r="G38" s="1827">
        <f>'Expenditures 15-22'!K73-SUM('Expenditures 15-22'!G73,'Expenditures 15-22'!I73)+'Expenditures 15-22'!K128-SUM('Expenditures 15-22'!G128,'Expenditures 15-22'!I128)+'Expenditures 15-22'!K183-SUM('Expenditures 15-22'!G183,'Expenditures 15-22'!I183)+'Expenditures 15-22'!D278</f>
        <v>50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42893</v>
      </c>
      <c r="F39" s="1825"/>
      <c r="G39" s="1827">
        <f>'Expenditures 15-22'!K75-SUM('Expenditures 15-22'!G75,'Expenditures 15-22'!I75)+'Expenditures 15-22'!K130-SUM('Expenditures 15-22'!G130,'Expenditures 15-22'!I130)+'Expenditures 15-22'!K185-SUM('Expenditures 15-22'!G185,'Expenditures 15-22'!I185)+'Expenditures 15-22'!D280</f>
        <v>42893</v>
      </c>
    </row>
    <row r="40" spans="1:7" ht="12" customHeight="1" x14ac:dyDescent="0.2">
      <c r="A40" s="991" t="s">
        <v>1928</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82418</v>
      </c>
      <c r="E41" s="1829">
        <f>SUM(E19:E40)</f>
        <v>2241888</v>
      </c>
      <c r="F41" s="1829">
        <f>SUM(F19:F39)</f>
        <v>367053</v>
      </c>
      <c r="G41" s="1829">
        <f>SUM(G19:G40)</f>
        <v>1957253</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82418</v>
      </c>
      <c r="F43" s="1830" t="s">
        <v>495</v>
      </c>
      <c r="G43" s="1831">
        <f>F41</f>
        <v>367053</v>
      </c>
    </row>
    <row r="44" spans="1:7" ht="12" customHeight="1" x14ac:dyDescent="0.2">
      <c r="A44" s="988"/>
      <c r="B44" s="162"/>
      <c r="C44" s="1002"/>
      <c r="D44" s="1830" t="s">
        <v>494</v>
      </c>
      <c r="E44" s="1831">
        <f>E41</f>
        <v>2241888</v>
      </c>
      <c r="F44" s="1830" t="s">
        <v>494</v>
      </c>
      <c r="G44" s="1831">
        <f>G41</f>
        <v>1957253</v>
      </c>
    </row>
    <row r="45" spans="1:7" ht="12" customHeight="1" x14ac:dyDescent="0.2">
      <c r="A45" s="988"/>
      <c r="B45" s="162"/>
      <c r="C45" s="162"/>
      <c r="D45" s="1832" t="s">
        <v>1063</v>
      </c>
      <c r="E45" s="1833">
        <f>(E43/E44)</f>
        <v>3.6762764241567825E-2</v>
      </c>
      <c r="F45" s="1832" t="s">
        <v>1063</v>
      </c>
      <c r="G45" s="1833">
        <f>(G43/G44)</f>
        <v>0.18753477450283637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8" sqref="A8"/>
      <selection pane="bottomLeft" activeCell="A8" sqref="A8"/>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2044</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Brooklyn UD 188</v>
      </c>
      <c r="D6" s="2313"/>
      <c r="E6" s="2313"/>
      <c r="F6" s="1877"/>
    </row>
    <row r="7" spans="1:10" ht="11.25" customHeight="1" thickBot="1" x14ac:dyDescent="0.3">
      <c r="A7" s="1875"/>
      <c r="B7" s="1876"/>
      <c r="C7" s="2314">
        <f>COVER!A13</f>
        <v>50082188022</v>
      </c>
      <c r="D7" s="2314"/>
      <c r="E7" s="2314"/>
      <c r="F7" s="1877"/>
    </row>
    <row r="8" spans="1:10" ht="25.5" customHeight="1" thickBot="1" x14ac:dyDescent="0.25">
      <c r="A8" s="1918" t="s">
        <v>2021</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2075</v>
      </c>
      <c r="D13" s="1890" t="s">
        <v>2075</v>
      </c>
      <c r="E13" s="1893"/>
      <c r="F13" s="1892" t="s">
        <v>2090</v>
      </c>
      <c r="H13" s="1903">
        <f t="shared" si="0"/>
        <v>5</v>
      </c>
      <c r="I13" s="1903">
        <f t="shared" si="1"/>
        <v>5</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t="s">
        <v>2075</v>
      </c>
      <c r="D20" s="1890" t="s">
        <v>2075</v>
      </c>
      <c r="E20" s="1893"/>
      <c r="F20" s="1892" t="s">
        <v>2091</v>
      </c>
      <c r="H20" s="1903">
        <f t="shared" si="0"/>
        <v>5</v>
      </c>
      <c r="I20" s="1903">
        <f t="shared" si="1"/>
        <v>5</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2075</v>
      </c>
      <c r="D26" s="1890" t="s">
        <v>2075</v>
      </c>
      <c r="E26" s="1893"/>
      <c r="F26" s="1892" t="s">
        <v>2092</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2075</v>
      </c>
      <c r="D31" s="1890" t="s">
        <v>2075</v>
      </c>
      <c r="E31" s="1893"/>
      <c r="F31" s="1892" t="s">
        <v>2093</v>
      </c>
      <c r="H31" s="1903">
        <f t="shared" si="0"/>
        <v>5</v>
      </c>
      <c r="I31" s="1903">
        <f t="shared" si="1"/>
        <v>5</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20</v>
      </c>
      <c r="I34" s="1903">
        <f>SUM(I11:I32)</f>
        <v>20</v>
      </c>
      <c r="J34" s="1903">
        <f>SUM(J11:J32)</f>
        <v>0</v>
      </c>
      <c r="K34" s="1903">
        <f>SUM(H34:J34)</f>
        <v>40</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c r="B41" s="2326"/>
      <c r="C41" s="2326"/>
      <c r="D41" s="2326"/>
      <c r="E41" s="2326"/>
      <c r="F41" s="2327"/>
      <c r="H41" s="1904"/>
      <c r="I41" s="1904"/>
      <c r="J41" s="1904"/>
      <c r="K41" s="1904"/>
    </row>
    <row r="42" spans="1:11" s="1895" customFormat="1" ht="12" customHeight="1" x14ac:dyDescent="0.25">
      <c r="A42" s="2325"/>
      <c r="B42" s="2326"/>
      <c r="C42" s="2326"/>
      <c r="D42" s="2326"/>
      <c r="E42" s="2326"/>
      <c r="F42" s="2327"/>
      <c r="H42" s="1904"/>
      <c r="I42" s="1904"/>
      <c r="J42" s="1904"/>
      <c r="K42" s="1904"/>
    </row>
    <row r="43" spans="1:11" s="1895" customFormat="1" ht="15" x14ac:dyDescent="0.25">
      <c r="A43" s="2317"/>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8" sqref="A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Brooklyn UD 188</v>
      </c>
      <c r="J6" s="2334"/>
      <c r="Q6" s="1686"/>
    </row>
    <row r="7" spans="1:17" x14ac:dyDescent="0.2">
      <c r="A7" s="2335" t="s">
        <v>924</v>
      </c>
      <c r="B7" s="2336"/>
      <c r="C7" s="2336"/>
      <c r="D7" s="2336"/>
      <c r="E7" s="2337"/>
      <c r="F7" s="1018"/>
      <c r="G7" s="1010"/>
      <c r="H7" s="1017" t="s">
        <v>390</v>
      </c>
      <c r="I7" s="2338">
        <f>COVER!A13</f>
        <v>50082188022</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132589</v>
      </c>
      <c r="F12" s="1040"/>
      <c r="G12" s="1834">
        <f t="shared" ref="G12:G18" si="0">SUM(E12:F12)</f>
        <v>132589</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150000</v>
      </c>
      <c r="F17" s="1040"/>
      <c r="G17" s="1834">
        <f t="shared" si="0"/>
        <v>150000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282589</v>
      </c>
      <c r="F19" s="1836">
        <f t="shared" si="2"/>
        <v>0</v>
      </c>
      <c r="G19" s="1836">
        <f t="shared" si="2"/>
        <v>282589</v>
      </c>
      <c r="H19" s="1836">
        <f t="shared" si="2"/>
        <v>0</v>
      </c>
      <c r="I19" s="1836">
        <f t="shared" si="2"/>
        <v>0</v>
      </c>
      <c r="J19" s="1836">
        <f t="shared" si="2"/>
        <v>0</v>
      </c>
    </row>
    <row r="20" spans="1:10" ht="13.5" thickTop="1" x14ac:dyDescent="0.2">
      <c r="A20" s="1036">
        <v>9</v>
      </c>
      <c r="B20" s="2345" t="s">
        <v>1703</v>
      </c>
      <c r="C20" s="2345"/>
      <c r="D20" s="2346"/>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1941</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8" sqref="A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2094</v>
      </c>
    </row>
    <row r="6" spans="1:2" x14ac:dyDescent="0.2">
      <c r="A6" s="1069">
        <v>2</v>
      </c>
      <c r="B6" s="329" t="s">
        <v>2095</v>
      </c>
    </row>
    <row r="7" spans="1:2" x14ac:dyDescent="0.2">
      <c r="A7" s="1069">
        <v>3</v>
      </c>
      <c r="B7" s="329" t="s">
        <v>2096</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Brooklyn UD 188</v>
      </c>
    </row>
    <row r="65" spans="2:2" x14ac:dyDescent="0.2">
      <c r="B65" s="1071">
        <f>COVER!A13</f>
        <v>50082188022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8" sqref="A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8" sqref="A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7" r:id="rId4">
          <objectPr defaultSize="0" r:id="rId5">
            <anchor moveWithCells="1">
              <from>
                <xdr:col>1</xdr:col>
                <xdr:colOff>0</xdr:colOff>
                <xdr:row>6</xdr:row>
                <xdr:rowOff>0</xdr:rowOff>
              </from>
              <to>
                <xdr:col>1</xdr:col>
                <xdr:colOff>866775</xdr:colOff>
                <xdr:row>10</xdr:row>
                <xdr:rowOff>57150</xdr:rowOff>
              </to>
            </anchor>
          </objectPr>
        </oleObject>
      </mc:Choice>
      <mc:Fallback>
        <oleObject progId="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8" sqref="A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2052</v>
      </c>
      <c r="B4" s="2373"/>
      <c r="C4" s="2373"/>
      <c r="D4" s="2373"/>
      <c r="E4" s="2373"/>
      <c r="F4" s="2374"/>
      <c r="G4" s="1075"/>
      <c r="H4" s="1075"/>
    </row>
    <row r="5" spans="1:8" ht="14.25" customHeight="1" x14ac:dyDescent="0.2">
      <c r="A5" s="2375" t="s">
        <v>2053</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1959051</v>
      </c>
      <c r="C8" s="1838">
        <f>'Acct Summary 7-8'!D8</f>
        <v>256708</v>
      </c>
      <c r="D8" s="1838">
        <f>'Acct Summary 7-8'!F8</f>
        <v>110355</v>
      </c>
      <c r="E8" s="1838">
        <f>'Acct Summary 7-8'!I8</f>
        <v>2809</v>
      </c>
      <c r="F8" s="1838">
        <f>SUM(B8:E8)</f>
        <v>2328923</v>
      </c>
    </row>
    <row r="9" spans="1:8" s="1080" customFormat="1" ht="14.25" customHeight="1" thickBot="1" x14ac:dyDescent="0.25">
      <c r="A9" s="1079" t="s">
        <v>1436</v>
      </c>
      <c r="B9" s="1839">
        <f>'Acct Summary 7-8'!C17</f>
        <v>1980460</v>
      </c>
      <c r="C9" s="1839">
        <f>'Acct Summary 7-8'!D17</f>
        <v>250086</v>
      </c>
      <c r="D9" s="1839">
        <f>'Acct Summary 7-8'!F17</f>
        <v>94537</v>
      </c>
      <c r="E9" s="1838"/>
      <c r="F9" s="1838">
        <f>SUM(B9:E9)</f>
        <v>2325083</v>
      </c>
    </row>
    <row r="10" spans="1:8" s="1080" customFormat="1" ht="14.25" thickTop="1" thickBot="1" x14ac:dyDescent="0.25">
      <c r="A10" s="1081" t="s">
        <v>1437</v>
      </c>
      <c r="B10" s="1840">
        <f>(B8-B9)</f>
        <v>-21409</v>
      </c>
      <c r="C10" s="1840">
        <f>(C8-C9)</f>
        <v>6622</v>
      </c>
      <c r="D10" s="1840">
        <f>(D8-D9)</f>
        <v>15818</v>
      </c>
      <c r="E10" s="1839">
        <f>(E8-E9)</f>
        <v>2809</v>
      </c>
      <c r="F10" s="1841">
        <f>SUM(F8-F9)</f>
        <v>3840</v>
      </c>
    </row>
    <row r="11" spans="1:8" s="1080" customFormat="1" ht="14.25" thickTop="1" thickBot="1" x14ac:dyDescent="0.25">
      <c r="A11" s="1082" t="s">
        <v>1785</v>
      </c>
      <c r="B11" s="1842">
        <f>'Acct Summary 7-8'!C81</f>
        <v>709956</v>
      </c>
      <c r="C11" s="1842">
        <f>'Acct Summary 7-8'!D81</f>
        <v>8191</v>
      </c>
      <c r="D11" s="1842">
        <f>'Acct Summary 7-8'!F81</f>
        <v>16130</v>
      </c>
      <c r="E11" s="1842">
        <f>'Acct Summary 7-8'!I81</f>
        <v>14463</v>
      </c>
      <c r="F11" s="1843">
        <f>SUM(B11:E11)</f>
        <v>748740</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69" colorId="8" zoomScale="110" zoomScaleNormal="110" workbookViewId="0">
      <selection activeCell="A8" sqref="A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1079</v>
      </c>
      <c r="D67" s="1126"/>
    </row>
    <row r="68" spans="1:4" x14ac:dyDescent="0.2">
      <c r="A68" s="1101"/>
      <c r="B68" s="1111"/>
      <c r="C68" s="1103" t="s">
        <v>2047</v>
      </c>
      <c r="D68" s="1125" t="str">
        <f>IF('Short-Term Long-Term Debt 24'!F49=SUM(,'Acct Summary 7-8'!C33:K33),"OK","ERROR!")</f>
        <v>OK</v>
      </c>
    </row>
    <row r="69" spans="1:4" x14ac:dyDescent="0.2">
      <c r="A69" s="1101"/>
      <c r="B69" s="1111"/>
      <c r="C69" s="1103" t="s">
        <v>2048</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2050</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50082188022</v>
      </c>
    </row>
    <row r="3" spans="1:2" x14ac:dyDescent="0.2">
      <c r="A3" t="s">
        <v>1013</v>
      </c>
      <c r="B3" s="138" t="str">
        <f>COVER!A15</f>
        <v>St. Clair</v>
      </c>
    </row>
    <row r="4" spans="1:2" x14ac:dyDescent="0.2">
      <c r="A4" t="s">
        <v>1064</v>
      </c>
      <c r="B4" s="138" t="str">
        <f>COVER!A17</f>
        <v>Brooklyn UD 188</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066-005248</v>
      </c>
    </row>
    <row r="16" spans="1:2" x14ac:dyDescent="0.2">
      <c r="A16" t="s">
        <v>442</v>
      </c>
      <c r="B16" s="138" t="str">
        <f>COVER!T13</f>
        <v>Moore &amp; Simonin, PC</v>
      </c>
    </row>
    <row r="17" spans="1:2" x14ac:dyDescent="0.2">
      <c r="A17" t="s">
        <v>939</v>
      </c>
      <c r="B17" s="138" t="str">
        <f>COVER!T15</f>
        <v>Robert E. Moore, CPA</v>
      </c>
    </row>
    <row r="18" spans="1:2" x14ac:dyDescent="0.2">
      <c r="A18" t="s">
        <v>1212</v>
      </c>
      <c r="B18" s="138" t="str">
        <f>COVER!T17</f>
        <v>3636 North Belt West</v>
      </c>
    </row>
    <row r="19" spans="1:2" x14ac:dyDescent="0.2">
      <c r="A19" t="s">
        <v>941</v>
      </c>
      <c r="B19" s="138" t="str">
        <f>COVER!T25</f>
        <v>mooresimonin@mrsaccountants.com</v>
      </c>
    </row>
    <row r="20" spans="1:2" x14ac:dyDescent="0.2">
      <c r="A20" t="s">
        <v>942</v>
      </c>
      <c r="B20" s="138" t="str">
        <f>COVER!T19</f>
        <v>Belleville</v>
      </c>
    </row>
    <row r="21" spans="1:2" x14ac:dyDescent="0.2">
      <c r="A21" t="s">
        <v>500</v>
      </c>
      <c r="B21" s="138" t="str">
        <f>COVER!X19</f>
        <v>IL</v>
      </c>
    </row>
    <row r="22" spans="1:2" x14ac:dyDescent="0.2">
      <c r="A22" t="s">
        <v>943</v>
      </c>
      <c r="B22" s="138">
        <f>COVER!Z19</f>
        <v>62226</v>
      </c>
    </row>
    <row r="23" spans="1:2" x14ac:dyDescent="0.2">
      <c r="A23" t="s">
        <v>1214</v>
      </c>
      <c r="B23" s="138" t="str">
        <f>COVER!T21</f>
        <v>618-233-5049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709956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709956</v>
      </c>
      <c r="D92" s="2" t="str">
        <f t="shared" si="0"/>
        <v>Error?</v>
      </c>
    </row>
    <row r="93" spans="1:4" x14ac:dyDescent="0.2">
      <c r="A93" s="5">
        <v>32</v>
      </c>
      <c r="B93" s="138">
        <f>'Assets-Liab 5-6'!C41</f>
        <v>709956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8191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8191</v>
      </c>
      <c r="D123" s="2" t="str">
        <f t="shared" si="0"/>
        <v>Error?</v>
      </c>
    </row>
    <row r="124" spans="1:4" x14ac:dyDescent="0.2">
      <c r="A124" s="5">
        <v>63</v>
      </c>
      <c r="B124" s="138">
        <f>'Assets-Liab 5-6'!D41</f>
        <v>8191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72968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72968</v>
      </c>
      <c r="D140" s="2" t="str">
        <f t="shared" si="1"/>
        <v>Error?</v>
      </c>
    </row>
    <row r="141" spans="1:4" x14ac:dyDescent="0.2">
      <c r="A141" s="5">
        <v>80</v>
      </c>
      <c r="B141" s="138">
        <f>'Assets-Liab 5-6'!E41</f>
        <v>72968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16130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16130</v>
      </c>
      <c r="D170" s="2" t="str">
        <f t="shared" si="1"/>
        <v>Error?</v>
      </c>
    </row>
    <row r="171" spans="1:4" x14ac:dyDescent="0.2">
      <c r="A171" s="5">
        <v>110</v>
      </c>
      <c r="B171" s="138">
        <f>'Assets-Liab 5-6'!F41</f>
        <v>16130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116928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92327</v>
      </c>
      <c r="D189" s="2" t="str">
        <f t="shared" si="1"/>
        <v>Error?</v>
      </c>
    </row>
    <row r="190" spans="1:4" x14ac:dyDescent="0.2">
      <c r="A190" s="5">
        <v>129</v>
      </c>
      <c r="B190" s="138">
        <f>'Assets-Liab 5-6'!G41</f>
        <v>116928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81150</v>
      </c>
      <c r="D273" s="2" t="str">
        <f t="shared" si="3"/>
        <v>Error?</v>
      </c>
    </row>
    <row r="274" spans="1:4" x14ac:dyDescent="0.2">
      <c r="A274" s="5">
        <v>213</v>
      </c>
      <c r="B274" s="138">
        <f>'Assets-Liab 5-6'!M17</f>
        <v>1827178</v>
      </c>
      <c r="D274" s="2" t="str">
        <f t="shared" si="3"/>
        <v>Error?</v>
      </c>
    </row>
    <row r="275" spans="1:4" x14ac:dyDescent="0.2">
      <c r="A275" s="5">
        <v>214</v>
      </c>
      <c r="B275" s="138">
        <f>'Assets-Liab 5-6'!M18</f>
        <v>69247</v>
      </c>
      <c r="D275" s="2" t="str">
        <f t="shared" si="3"/>
        <v>Error?</v>
      </c>
    </row>
    <row r="276" spans="1:4" x14ac:dyDescent="0.2">
      <c r="A276" s="5">
        <v>215</v>
      </c>
      <c r="B276" s="138">
        <f>'Assets-Liab 5-6'!M19</f>
        <v>1229806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3207381</v>
      </c>
      <c r="C279" s="2" t="s">
        <v>594</v>
      </c>
      <c r="D279" s="2" t="str">
        <f t="shared" si="3"/>
        <v>Error?</v>
      </c>
    </row>
    <row r="280" spans="1:4" x14ac:dyDescent="0.2">
      <c r="A280" s="5">
        <v>219</v>
      </c>
      <c r="B280" s="138">
        <f>'Assets-Liab 5-6'!M40</f>
        <v>3207381</v>
      </c>
      <c r="D280" s="2" t="str">
        <f t="shared" si="3"/>
        <v>Error?</v>
      </c>
    </row>
    <row r="281" spans="1:4" x14ac:dyDescent="0.2">
      <c r="A281" s="5">
        <v>220</v>
      </c>
      <c r="B281" s="138">
        <f>'Assets-Liab 5-6'!M41</f>
        <v>3207381</v>
      </c>
      <c r="C281" s="2" t="s">
        <v>594</v>
      </c>
      <c r="D281" s="2" t="str">
        <f t="shared" si="3"/>
        <v>Error?</v>
      </c>
    </row>
    <row r="282" spans="1:4" x14ac:dyDescent="0.2">
      <c r="A282" s="5">
        <v>221</v>
      </c>
      <c r="B282" s="138">
        <f>'Assets-Liab 5-6'!N21</f>
        <v>72968</v>
      </c>
      <c r="D282" s="2" t="str">
        <f t="shared" si="3"/>
        <v>Error?</v>
      </c>
    </row>
    <row r="283" spans="1:4" x14ac:dyDescent="0.2">
      <c r="A283" s="5">
        <v>222</v>
      </c>
      <c r="B283" s="138">
        <f>'Assets-Liab 5-6'!N22</f>
        <v>778912</v>
      </c>
      <c r="D283" s="2" t="str">
        <f t="shared" si="3"/>
        <v>Error?</v>
      </c>
    </row>
    <row r="284" spans="1:4" x14ac:dyDescent="0.2">
      <c r="A284" s="5">
        <v>223</v>
      </c>
      <c r="B284" s="138">
        <f>'Assets-Liab 5-6'!N23</f>
        <v>851880</v>
      </c>
      <c r="C284" s="2" t="s">
        <v>594</v>
      </c>
      <c r="D284" s="2" t="str">
        <f t="shared" si="3"/>
        <v>Error?</v>
      </c>
    </row>
    <row r="285" spans="1:4" x14ac:dyDescent="0.2">
      <c r="A285" s="5">
        <v>224</v>
      </c>
      <c r="B285" s="138">
        <f>'Assets-Liab 5-6'!N36</f>
        <v>851880</v>
      </c>
      <c r="D285" s="2" t="str">
        <f t="shared" si="3"/>
        <v>Error?</v>
      </c>
    </row>
    <row r="286" spans="1:4" x14ac:dyDescent="0.2">
      <c r="A286" s="10">
        <v>225</v>
      </c>
      <c r="D286" s="2" t="str">
        <f t="shared" si="3"/>
        <v>OK</v>
      </c>
    </row>
    <row r="287" spans="1:4" x14ac:dyDescent="0.2">
      <c r="A287" s="5">
        <v>226</v>
      </c>
      <c r="B287" s="138">
        <f>'Assets-Liab 5-6'!N37</f>
        <v>851880</v>
      </c>
      <c r="C287" s="2" t="s">
        <v>594</v>
      </c>
      <c r="D287" s="2" t="str">
        <f t="shared" si="3"/>
        <v>Error?</v>
      </c>
    </row>
    <row r="288" spans="1:4" x14ac:dyDescent="0.2">
      <c r="A288" s="5">
        <v>227</v>
      </c>
      <c r="B288" s="138">
        <f>'Assets-Liab 5-6'!N41</f>
        <v>851880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500000</v>
      </c>
      <c r="D323" s="2" t="str">
        <f t="shared" si="4"/>
        <v>Error?</v>
      </c>
    </row>
    <row r="324" spans="1:4" x14ac:dyDescent="0.2">
      <c r="A324" s="5">
        <v>263</v>
      </c>
      <c r="B324" s="138">
        <f>'Acct Summary 7-8'!C34</f>
        <v>24190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519521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250</v>
      </c>
      <c r="D717" s="2" t="str">
        <f t="shared" si="10"/>
        <v>Error?</v>
      </c>
    </row>
    <row r="718" spans="1:4" x14ac:dyDescent="0.2">
      <c r="A718" s="5">
        <v>657</v>
      </c>
      <c r="B718" s="138">
        <f>'Expenditures 15-22'!C14</f>
        <v>12727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667268</v>
      </c>
      <c r="C720" s="2" t="s">
        <v>594</v>
      </c>
      <c r="D720" s="2" t="str">
        <f t="shared" si="10"/>
        <v>Error?</v>
      </c>
    </row>
    <row r="721" spans="1:4" x14ac:dyDescent="0.2">
      <c r="A721" s="5">
        <v>660</v>
      </c>
      <c r="B721" s="138">
        <f>'Expenditures 15-22'!C36</f>
        <v>41039</v>
      </c>
      <c r="D721" s="2" t="str">
        <f t="shared" si="10"/>
        <v>Error?</v>
      </c>
    </row>
    <row r="722" spans="1:4" x14ac:dyDescent="0.2">
      <c r="A722" s="5">
        <v>661</v>
      </c>
      <c r="B722" s="138">
        <f>'Expenditures 15-22'!C37</f>
        <v>32815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73854</v>
      </c>
      <c r="C727" s="2" t="s">
        <v>594</v>
      </c>
      <c r="D727" s="2" t="str">
        <f t="shared" si="10"/>
        <v>Error?</v>
      </c>
    </row>
    <row r="728" spans="1:4" x14ac:dyDescent="0.2">
      <c r="A728" s="5">
        <v>667</v>
      </c>
      <c r="B728" s="138">
        <f>'Expenditures 15-22'!C44</f>
        <v>22131</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22131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118129</v>
      </c>
      <c r="D733" s="2" t="str">
        <f t="shared" si="10"/>
        <v>Error?</v>
      </c>
    </row>
    <row r="734" spans="1:4" x14ac:dyDescent="0.2">
      <c r="A734" s="5">
        <v>673</v>
      </c>
      <c r="B734" s="138">
        <f>'Expenditures 15-22'!C53</f>
        <v>118129</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38609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6428</v>
      </c>
      <c r="D741" s="2" t="str">
        <f t="shared" si="10"/>
        <v>Error?</v>
      </c>
    </row>
    <row r="742" spans="1:4" x14ac:dyDescent="0.2">
      <c r="A742" s="5">
        <v>681</v>
      </c>
      <c r="B742" s="138">
        <f>'Expenditures 15-22'!C63</f>
        <v>30827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75864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289978</v>
      </c>
      <c r="C755" s="2" t="s">
        <v>594</v>
      </c>
      <c r="D755" s="2" t="str">
        <f t="shared" si="10"/>
        <v>Error?</v>
      </c>
    </row>
    <row r="756" spans="1:4" x14ac:dyDescent="0.2">
      <c r="A756" s="5">
        <v>695</v>
      </c>
      <c r="B756" s="138">
        <f>'Expenditures 15-22'!C75</f>
        <v>21969</v>
      </c>
      <c r="D756" s="2" t="str">
        <f t="shared" si="10"/>
        <v>Error?</v>
      </c>
    </row>
    <row r="757" spans="1:4" x14ac:dyDescent="0.2">
      <c r="A757" s="5">
        <v>696</v>
      </c>
      <c r="B757" s="138">
        <f>'Expenditures 15-22'!C114</f>
        <v>979215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85972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156047</v>
      </c>
      <c r="C778" s="2" t="s">
        <v>594</v>
      </c>
      <c r="D778" s="2" t="str">
        <f t="shared" si="11"/>
        <v>Error?</v>
      </c>
    </row>
    <row r="779" spans="1:4" x14ac:dyDescent="0.2">
      <c r="A779" s="5">
        <v>718</v>
      </c>
      <c r="B779" s="138">
        <f>'Expenditures 15-22'!D36</f>
        <v>6575</v>
      </c>
      <c r="D779" s="2" t="str">
        <f t="shared" si="11"/>
        <v>Error?</v>
      </c>
    </row>
    <row r="780" spans="1:4" x14ac:dyDescent="0.2">
      <c r="A780" s="5">
        <v>719</v>
      </c>
      <c r="B780" s="138">
        <f>'Expenditures 15-22'!D37</f>
        <v>14023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20598</v>
      </c>
      <c r="C785" s="2" t="s">
        <v>594</v>
      </c>
      <c r="D785" s="2" t="str">
        <f t="shared" si="11"/>
        <v>Error?</v>
      </c>
    </row>
    <row r="786" spans="1:4" x14ac:dyDescent="0.2">
      <c r="A786" s="5">
        <v>725</v>
      </c>
      <c r="B786" s="138">
        <f>'Expenditures 15-22'!D44</f>
        <v>13900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13900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9326</v>
      </c>
      <c r="D791" s="2" t="str">
        <f t="shared" si="11"/>
        <v>Error?</v>
      </c>
    </row>
    <row r="792" spans="1:4" x14ac:dyDescent="0.2">
      <c r="A792" s="5">
        <v>731</v>
      </c>
      <c r="B792" s="138">
        <f>'Expenditures 15-22'!D53</f>
        <v>9326</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8429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1557</v>
      </c>
      <c r="D799" s="2" t="str">
        <f t="shared" si="11"/>
        <v>Error?</v>
      </c>
    </row>
    <row r="800" spans="1:4" x14ac:dyDescent="0.2">
      <c r="A800" s="5">
        <v>739</v>
      </c>
      <c r="B800" s="138">
        <f>'Expenditures 15-22'!D63</f>
        <v>6372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16358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60182</v>
      </c>
      <c r="C813" s="2" t="s">
        <v>594</v>
      </c>
      <c r="D813" s="2" t="str">
        <f t="shared" si="11"/>
        <v>Error?</v>
      </c>
    </row>
    <row r="814" spans="1:4" x14ac:dyDescent="0.2">
      <c r="A814" s="5">
        <v>753</v>
      </c>
      <c r="B814" s="138">
        <f>'Expenditures 15-22'!D75</f>
        <v>6850</v>
      </c>
      <c r="D814" s="2" t="str">
        <f t="shared" si="11"/>
        <v>Error?</v>
      </c>
    </row>
    <row r="815" spans="1:4" x14ac:dyDescent="0.2">
      <c r="A815" s="5">
        <v>754</v>
      </c>
      <c r="B815" s="138">
        <f>'Expenditures 15-22'!D114</f>
        <v>223079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15539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169</v>
      </c>
      <c r="D833" s="2" t="str">
        <f t="shared" si="12"/>
        <v>Error?</v>
      </c>
    </row>
    <row r="834" spans="1:4" x14ac:dyDescent="0.2">
      <c r="A834" s="5">
        <v>773</v>
      </c>
      <c r="B834" s="138">
        <f>'Expenditures 15-22'!E14</f>
        <v>5577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27494</v>
      </c>
      <c r="C836" s="2" t="s">
        <v>594</v>
      </c>
      <c r="D836" s="2" t="str">
        <f t="shared" si="12"/>
        <v>Error?</v>
      </c>
    </row>
    <row r="837" spans="1:4" x14ac:dyDescent="0.2">
      <c r="A837" s="5">
        <v>776</v>
      </c>
      <c r="B837" s="138">
        <f>'Expenditures 15-22'!E36</f>
        <v>19200</v>
      </c>
      <c r="D837" s="2" t="str">
        <f t="shared" si="12"/>
        <v>Error?</v>
      </c>
    </row>
    <row r="838" spans="1:4" x14ac:dyDescent="0.2">
      <c r="A838" s="5">
        <v>777</v>
      </c>
      <c r="B838" s="138">
        <f>'Expenditures 15-22'!E37</f>
        <v>6227</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25427</v>
      </c>
      <c r="C843" s="2" t="s">
        <v>594</v>
      </c>
      <c r="D843" s="2" t="str">
        <f t="shared" si="12"/>
        <v>Error?</v>
      </c>
    </row>
    <row r="844" spans="1:4" x14ac:dyDescent="0.2">
      <c r="A844" s="5">
        <v>783</v>
      </c>
      <c r="B844" s="138">
        <f>'Expenditures 15-22'!E44</f>
        <v>72270</v>
      </c>
      <c r="D844" s="2" t="str">
        <f t="shared" si="12"/>
        <v>Error?</v>
      </c>
    </row>
    <row r="845" spans="1:4" x14ac:dyDescent="0.2">
      <c r="A845" s="5">
        <v>784</v>
      </c>
      <c r="B845" s="138">
        <f>'Expenditures 15-22'!E45</f>
        <v>50625</v>
      </c>
      <c r="D845" s="2" t="str">
        <f t="shared" si="12"/>
        <v>Error?</v>
      </c>
    </row>
    <row r="846" spans="1:4" x14ac:dyDescent="0.2">
      <c r="A846" s="5">
        <v>785</v>
      </c>
      <c r="B846" s="138">
        <f>'Expenditures 15-22'!E46</f>
        <v>5087</v>
      </c>
      <c r="D846" s="2" t="str">
        <f t="shared" si="12"/>
        <v>Error?</v>
      </c>
    </row>
    <row r="847" spans="1:4" x14ac:dyDescent="0.2">
      <c r="A847" s="5">
        <v>786</v>
      </c>
      <c r="B847" s="138">
        <f>'Expenditures 15-22'!E47</f>
        <v>127982</v>
      </c>
      <c r="C847" s="2" t="s">
        <v>594</v>
      </c>
      <c r="D847" s="2" t="str">
        <f t="shared" si="12"/>
        <v>Error?</v>
      </c>
    </row>
    <row r="848" spans="1:4" x14ac:dyDescent="0.2">
      <c r="A848" s="5">
        <v>787</v>
      </c>
      <c r="B848" s="138">
        <f>'Expenditures 15-22'!E49</f>
        <v>40639</v>
      </c>
      <c r="D848" s="2" t="str">
        <f t="shared" si="12"/>
        <v>Error?</v>
      </c>
    </row>
    <row r="849" spans="1:4" x14ac:dyDescent="0.2">
      <c r="A849" s="5">
        <v>788</v>
      </c>
      <c r="B849" s="138">
        <f>'Expenditures 15-22'!E50</f>
        <v>850</v>
      </c>
      <c r="D849" s="2" t="str">
        <f t="shared" si="12"/>
        <v>Error?</v>
      </c>
    </row>
    <row r="850" spans="1:4" x14ac:dyDescent="0.2">
      <c r="A850" s="5">
        <v>789</v>
      </c>
      <c r="B850" s="138">
        <f>'Expenditures 15-22'!E53</f>
        <v>41489</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33381</v>
      </c>
      <c r="D855" s="2" t="str">
        <f t="shared" si="12"/>
        <v>Error?</v>
      </c>
    </row>
    <row r="856" spans="1:4" x14ac:dyDescent="0.2">
      <c r="A856" s="5">
        <v>795</v>
      </c>
      <c r="B856" s="138">
        <f>'Expenditures 15-22'!E61</f>
        <v>16965</v>
      </c>
      <c r="D856" s="2" t="str">
        <f t="shared" si="12"/>
        <v>Error?</v>
      </c>
    </row>
    <row r="857" spans="1:4" x14ac:dyDescent="0.2">
      <c r="A857" s="5">
        <v>796</v>
      </c>
      <c r="B857" s="138">
        <f>'Expenditures 15-22'!E62</f>
        <v>800</v>
      </c>
      <c r="D857" s="2" t="str">
        <f t="shared" si="12"/>
        <v>Error?</v>
      </c>
    </row>
    <row r="858" spans="1:4" x14ac:dyDescent="0.2">
      <c r="A858" s="5">
        <v>797</v>
      </c>
      <c r="B858" s="138">
        <f>'Expenditures 15-22'!E63</f>
        <v>86751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137897</v>
      </c>
      <c r="C861" s="2" t="s">
        <v>594</v>
      </c>
      <c r="D861" s="2" t="str">
        <f t="shared" si="12"/>
        <v>Error?</v>
      </c>
    </row>
    <row r="862" spans="1:4" x14ac:dyDescent="0.2">
      <c r="A862" s="5">
        <v>801</v>
      </c>
      <c r="B862" s="138">
        <f>'Expenditures 15-22'!E67</f>
        <v>150000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7530</v>
      </c>
      <c r="D867" s="2" t="str">
        <f t="shared" si="12"/>
        <v>Error?</v>
      </c>
    </row>
    <row r="868" spans="1:4" x14ac:dyDescent="0.2">
      <c r="A868" s="10">
        <v>807</v>
      </c>
      <c r="D868" s="2" t="str">
        <f t="shared" si="12"/>
        <v>OK</v>
      </c>
    </row>
    <row r="869" spans="1:4" x14ac:dyDescent="0.2">
      <c r="A869" s="5">
        <v>808</v>
      </c>
      <c r="B869" s="138">
        <f>'Expenditures 15-22'!E72</f>
        <v>157530</v>
      </c>
      <c r="C869" s="2" t="s">
        <v>594</v>
      </c>
      <c r="D869" s="2" t="str">
        <f t="shared" si="12"/>
        <v>Error?</v>
      </c>
    </row>
    <row r="870" spans="1:4" x14ac:dyDescent="0.2">
      <c r="A870" s="5">
        <v>809</v>
      </c>
      <c r="B870" s="138">
        <f>'Expenditures 15-22'!E73</f>
        <v>50</v>
      </c>
      <c r="D870" s="2" t="str">
        <f t="shared" si="12"/>
        <v>Error?</v>
      </c>
    </row>
    <row r="871" spans="1:4" x14ac:dyDescent="0.2">
      <c r="A871" s="5">
        <v>810</v>
      </c>
      <c r="B871" s="138">
        <f>'Expenditures 15-22'!E74</f>
        <v>490375</v>
      </c>
      <c r="C871" s="2" t="s">
        <v>594</v>
      </c>
      <c r="D871" s="2" t="str">
        <f t="shared" si="12"/>
        <v>Error?</v>
      </c>
    </row>
    <row r="872" spans="1:4" x14ac:dyDescent="0.2">
      <c r="A872" s="5">
        <v>811</v>
      </c>
      <c r="B872" s="138">
        <f>'Expenditures 15-22'!E75</f>
        <v>10975</v>
      </c>
      <c r="D872" s="2" t="str">
        <f t="shared" si="12"/>
        <v>Error?</v>
      </c>
    </row>
    <row r="873" spans="1:4" x14ac:dyDescent="0.2">
      <c r="A873" s="5">
        <v>812</v>
      </c>
      <c r="B873" s="138">
        <f>'Expenditures 15-22'!E114</f>
        <v>528844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87054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2396</v>
      </c>
      <c r="D891" s="2" t="str">
        <f t="shared" si="12"/>
        <v>Error?</v>
      </c>
    </row>
    <row r="892" spans="1:4" x14ac:dyDescent="0.2">
      <c r="A892" s="5">
        <v>831</v>
      </c>
      <c r="B892" s="138">
        <f>'Expenditures 15-22'!F14</f>
        <v>17382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132086</v>
      </c>
      <c r="C894" s="2" t="s">
        <v>594</v>
      </c>
      <c r="D894" s="2" t="str">
        <f t="shared" si="12"/>
        <v>Error?</v>
      </c>
    </row>
    <row r="895" spans="1:4" x14ac:dyDescent="0.2">
      <c r="A895" s="5">
        <v>834</v>
      </c>
      <c r="B895" s="138">
        <f>'Expenditures 15-22'!F36</f>
        <v>1471</v>
      </c>
      <c r="D895" s="2" t="str">
        <f t="shared" ref="D895:D958" si="13">IF(ISBLANK(B895),"OK",IF(A895-B895=0,"OK","Error?"))</f>
        <v>Error?</v>
      </c>
    </row>
    <row r="896" spans="1:4" x14ac:dyDescent="0.2">
      <c r="A896" s="5">
        <v>835</v>
      </c>
      <c r="B896" s="138">
        <f>'Expenditures 15-22'!F37</f>
        <v>99</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6127</v>
      </c>
      <c r="D900" s="2" t="str">
        <f t="shared" si="13"/>
        <v>Error?</v>
      </c>
    </row>
    <row r="901" spans="1:4" x14ac:dyDescent="0.2">
      <c r="A901" s="5">
        <v>840</v>
      </c>
      <c r="B901" s="138">
        <f>'Expenditures 15-22'!F42</f>
        <v>7697</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561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561</v>
      </c>
      <c r="C905" s="2" t="s">
        <v>594</v>
      </c>
      <c r="D905" s="2" t="str">
        <f t="shared" si="13"/>
        <v>Error?</v>
      </c>
    </row>
    <row r="906" spans="1:4" x14ac:dyDescent="0.2">
      <c r="A906" s="5">
        <v>845</v>
      </c>
      <c r="B906" s="138">
        <f>'Expenditures 15-22'!F49</f>
        <v>14467</v>
      </c>
      <c r="D906" s="2" t="str">
        <f t="shared" si="13"/>
        <v>Error?</v>
      </c>
    </row>
    <row r="907" spans="1:4" x14ac:dyDescent="0.2">
      <c r="A907" s="5">
        <v>846</v>
      </c>
      <c r="B907" s="138">
        <f>'Expenditures 15-22'!F50</f>
        <v>3722</v>
      </c>
      <c r="D907" s="2" t="str">
        <f t="shared" si="13"/>
        <v>Error?</v>
      </c>
    </row>
    <row r="908" spans="1:4" x14ac:dyDescent="0.2">
      <c r="A908" s="5">
        <v>847</v>
      </c>
      <c r="B908" s="138">
        <f>'Expenditures 15-22'!F53</f>
        <v>18189</v>
      </c>
      <c r="C908" s="2" t="s">
        <v>594</v>
      </c>
      <c r="D908" s="2" t="str">
        <f t="shared" si="13"/>
        <v>Error?</v>
      </c>
    </row>
    <row r="909" spans="1:4" x14ac:dyDescent="0.2">
      <c r="A909" s="5">
        <v>848</v>
      </c>
      <c r="B909" s="138">
        <f>'Expenditures 15-22'!F55</f>
        <v>2021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2021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7431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7453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3996</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3996</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39917</v>
      </c>
      <c r="C929" s="2" t="s">
        <v>594</v>
      </c>
      <c r="D929" s="2" t="str">
        <f t="shared" si="13"/>
        <v>Error?</v>
      </c>
    </row>
    <row r="930" spans="1:4" x14ac:dyDescent="0.2">
      <c r="A930" s="5">
        <v>869</v>
      </c>
      <c r="B930" s="138">
        <f>'Expenditures 15-22'!F75</f>
        <v>3099</v>
      </c>
      <c r="D930" s="2" t="str">
        <f t="shared" si="13"/>
        <v>Error?</v>
      </c>
    </row>
    <row r="931" spans="1:4" x14ac:dyDescent="0.2">
      <c r="A931" s="5">
        <v>870</v>
      </c>
      <c r="B931" s="138">
        <f>'Expenditures 15-22'!F114</f>
        <v>175102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28010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28010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28010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15680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5809</v>
      </c>
      <c r="D1022" s="2" t="str">
        <f t="shared" si="14"/>
        <v>Error?</v>
      </c>
    </row>
    <row r="1023" spans="1:4" x14ac:dyDescent="0.2">
      <c r="A1023" s="5">
        <v>962</v>
      </c>
      <c r="B1023" s="138">
        <f>'Expenditures 15-22'!H50</f>
        <v>562</v>
      </c>
      <c r="D1023" s="2" t="str">
        <f t="shared" ref="D1023:D1086" si="15">IF(ISBLANK(B1023),"OK",IF(A1023-B1023=0,"OK","Error?"))</f>
        <v>Error?</v>
      </c>
    </row>
    <row r="1024" spans="1:4" x14ac:dyDescent="0.2">
      <c r="A1024" s="5">
        <v>963</v>
      </c>
      <c r="B1024" s="138">
        <f>'Expenditures 15-22'!H53</f>
        <v>6371</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370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370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6741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20000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42421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739885</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2815</v>
      </c>
      <c r="C1105" s="2" t="s">
        <v>594</v>
      </c>
      <c r="D1105" s="2" t="str">
        <f t="shared" si="16"/>
        <v>Error?</v>
      </c>
    </row>
    <row r="1106" spans="1:4" x14ac:dyDescent="0.2">
      <c r="A1106" s="5">
        <v>1045</v>
      </c>
      <c r="B1106" s="138">
        <f>'Expenditures 15-22'!K14</f>
        <v>35770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1030374</v>
      </c>
      <c r="C1108" s="2" t="s">
        <v>594</v>
      </c>
      <c r="D1108" s="2" t="str">
        <f t="shared" si="16"/>
        <v>Error?</v>
      </c>
    </row>
    <row r="1109" spans="1:4" x14ac:dyDescent="0.2">
      <c r="A1109" s="5">
        <v>1048</v>
      </c>
      <c r="B1109" s="138">
        <f>'Expenditures 15-22'!K36</f>
        <v>68285</v>
      </c>
      <c r="C1109" s="2" t="s">
        <v>594</v>
      </c>
      <c r="D1109" s="2" t="str">
        <f t="shared" si="16"/>
        <v>Error?</v>
      </c>
    </row>
    <row r="1110" spans="1:4" x14ac:dyDescent="0.2">
      <c r="A1110" s="5">
        <v>1049</v>
      </c>
      <c r="B1110" s="138">
        <f>'Expenditures 15-22'!K37</f>
        <v>53164</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6127</v>
      </c>
      <c r="C1114" s="2" t="s">
        <v>594</v>
      </c>
      <c r="D1114" s="2" t="str">
        <f t="shared" si="16"/>
        <v>Error?</v>
      </c>
    </row>
    <row r="1115" spans="1:4" x14ac:dyDescent="0.2">
      <c r="A1115" s="5">
        <v>1054</v>
      </c>
      <c r="B1115" s="138">
        <f>'Expenditures 15-22'!K42</f>
        <v>127576</v>
      </c>
      <c r="C1115" s="2" t="s">
        <v>594</v>
      </c>
      <c r="D1115" s="2" t="str">
        <f t="shared" si="16"/>
        <v>Error?</v>
      </c>
    </row>
    <row r="1116" spans="1:4" x14ac:dyDescent="0.2">
      <c r="A1116" s="5">
        <v>1055</v>
      </c>
      <c r="B1116" s="138">
        <f>'Expenditures 15-22'!K44</f>
        <v>108301</v>
      </c>
      <c r="C1116" s="2" t="s">
        <v>594</v>
      </c>
      <c r="D1116" s="2" t="str">
        <f t="shared" si="16"/>
        <v>Error?</v>
      </c>
    </row>
    <row r="1117" spans="1:4" x14ac:dyDescent="0.2">
      <c r="A1117" s="5">
        <v>1056</v>
      </c>
      <c r="B1117" s="138">
        <f>'Expenditures 15-22'!K45</f>
        <v>51186</v>
      </c>
      <c r="C1117" s="2" t="s">
        <v>594</v>
      </c>
      <c r="D1117" s="2" t="str">
        <f t="shared" si="16"/>
        <v>Error?</v>
      </c>
    </row>
    <row r="1118" spans="1:4" x14ac:dyDescent="0.2">
      <c r="A1118" s="5">
        <v>1057</v>
      </c>
      <c r="B1118" s="138">
        <f>'Expenditures 15-22'!K46</f>
        <v>5087</v>
      </c>
      <c r="C1118" s="2" t="s">
        <v>594</v>
      </c>
      <c r="D1118" s="2" t="str">
        <f t="shared" si="16"/>
        <v>Error?</v>
      </c>
    </row>
    <row r="1119" spans="1:4" x14ac:dyDescent="0.2">
      <c r="A1119" s="5">
        <v>1058</v>
      </c>
      <c r="B1119" s="138">
        <f>'Expenditures 15-22'!K47</f>
        <v>164574</v>
      </c>
      <c r="C1119" s="2" t="s">
        <v>594</v>
      </c>
      <c r="D1119" s="2" t="str">
        <f t="shared" si="16"/>
        <v>Error?</v>
      </c>
    </row>
    <row r="1120" spans="1:4" x14ac:dyDescent="0.2">
      <c r="A1120" s="5">
        <v>1059</v>
      </c>
      <c r="B1120" s="138">
        <f>'Expenditures 15-22'!K49</f>
        <v>60915</v>
      </c>
      <c r="C1120" s="2" t="s">
        <v>594</v>
      </c>
      <c r="D1120" s="2" t="str">
        <f t="shared" si="16"/>
        <v>Error?</v>
      </c>
    </row>
    <row r="1121" spans="1:4" x14ac:dyDescent="0.2">
      <c r="A1121" s="5">
        <v>1060</v>
      </c>
      <c r="B1121" s="138">
        <f>'Expenditures 15-22'!K50</f>
        <v>132589</v>
      </c>
      <c r="C1121" s="2" t="s">
        <v>594</v>
      </c>
      <c r="D1121" s="2" t="str">
        <f t="shared" si="16"/>
        <v>Error?</v>
      </c>
    </row>
    <row r="1122" spans="1:4" x14ac:dyDescent="0.2">
      <c r="A1122" s="5">
        <v>1061</v>
      </c>
      <c r="B1122" s="138">
        <f>'Expenditures 15-22'!K53</f>
        <v>193504</v>
      </c>
      <c r="C1122" s="2" t="s">
        <v>594</v>
      </c>
      <c r="D1122" s="2" t="str">
        <f t="shared" si="16"/>
        <v>Error?</v>
      </c>
    </row>
    <row r="1123" spans="1:4" x14ac:dyDescent="0.2">
      <c r="A1123" s="5">
        <v>1062</v>
      </c>
      <c r="B1123" s="138">
        <f>'Expenditures 15-22'!K55</f>
        <v>2021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2021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80811</v>
      </c>
      <c r="C1127" s="2" t="s">
        <v>594</v>
      </c>
      <c r="D1127" s="2" t="str">
        <f t="shared" si="16"/>
        <v>Error?</v>
      </c>
    </row>
    <row r="1128" spans="1:4" x14ac:dyDescent="0.2">
      <c r="A1128" s="5">
        <v>1067</v>
      </c>
      <c r="B1128" s="138">
        <f>'Expenditures 15-22'!K61</f>
        <v>16965</v>
      </c>
      <c r="C1128" s="2" t="s">
        <v>594</v>
      </c>
      <c r="D1128" s="2" t="str">
        <f t="shared" si="16"/>
        <v>Error?</v>
      </c>
    </row>
    <row r="1129" spans="1:4" x14ac:dyDescent="0.2">
      <c r="A1129" s="5">
        <v>1068</v>
      </c>
      <c r="B1129" s="138">
        <f>'Expenditures 15-22'!K62</f>
        <v>8785</v>
      </c>
      <c r="C1129" s="2" t="s">
        <v>594</v>
      </c>
      <c r="D1129" s="2" t="str">
        <f t="shared" si="16"/>
        <v>Error?</v>
      </c>
    </row>
    <row r="1130" spans="1:4" x14ac:dyDescent="0.2">
      <c r="A1130" s="5">
        <v>1069</v>
      </c>
      <c r="B1130" s="138">
        <f>'Expenditures 15-22'!K63</f>
        <v>131381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237942</v>
      </c>
      <c r="C1133" s="2" t="s">
        <v>594</v>
      </c>
      <c r="D1133" s="2" t="str">
        <f t="shared" si="16"/>
        <v>Error?</v>
      </c>
    </row>
    <row r="1134" spans="1:4" x14ac:dyDescent="0.2">
      <c r="A1134" s="5">
        <v>1073</v>
      </c>
      <c r="B1134" s="138">
        <f>'Expenditures 15-22'!K67</f>
        <v>150000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3996</v>
      </c>
      <c r="C1137" s="2" t="s">
        <v>594</v>
      </c>
      <c r="D1137" s="2" t="str">
        <f t="shared" si="16"/>
        <v>Error?</v>
      </c>
    </row>
    <row r="1138" spans="1:4" x14ac:dyDescent="0.2">
      <c r="A1138" s="10">
        <v>1077</v>
      </c>
      <c r="D1138" s="2" t="str">
        <f t="shared" si="16"/>
        <v>OK</v>
      </c>
    </row>
    <row r="1139" spans="1:4" x14ac:dyDescent="0.2">
      <c r="A1139" s="5">
        <v>1078</v>
      </c>
      <c r="B1139" s="138">
        <f>'Expenditures 15-22'!K71</f>
        <v>7530</v>
      </c>
      <c r="C1139" s="2" t="s">
        <v>594</v>
      </c>
      <c r="D1139" s="2" t="str">
        <f t="shared" si="16"/>
        <v>Error?</v>
      </c>
    </row>
    <row r="1140" spans="1:4" x14ac:dyDescent="0.2">
      <c r="A1140" s="10">
        <v>1079</v>
      </c>
      <c r="D1140" s="2" t="str">
        <f t="shared" si="16"/>
        <v>OK</v>
      </c>
    </row>
    <row r="1141" spans="1:4" x14ac:dyDescent="0.2">
      <c r="A1141" s="5">
        <v>1080</v>
      </c>
      <c r="B1141" s="138">
        <f>'Expenditures 15-22'!K72</f>
        <v>161526</v>
      </c>
      <c r="C1141" s="2" t="s">
        <v>594</v>
      </c>
      <c r="D1141" s="2" t="str">
        <f t="shared" si="16"/>
        <v>Error?</v>
      </c>
    </row>
    <row r="1142" spans="1:4" x14ac:dyDescent="0.2">
      <c r="A1142" s="5">
        <v>1081</v>
      </c>
      <c r="B1142" s="138">
        <f>'Expenditures 15-22'!K73</f>
        <v>50</v>
      </c>
      <c r="C1142" s="2" t="s">
        <v>594</v>
      </c>
      <c r="D1142" s="2" t="str">
        <f t="shared" si="16"/>
        <v>Error?</v>
      </c>
    </row>
    <row r="1143" spans="1:4" x14ac:dyDescent="0.2">
      <c r="A1143" s="5">
        <v>1082</v>
      </c>
      <c r="B1143" s="138">
        <f>'Expenditures 15-22'!K74</f>
        <v>887193</v>
      </c>
      <c r="C1143" s="2" t="s">
        <v>594</v>
      </c>
      <c r="D1143" s="2" t="str">
        <f t="shared" si="16"/>
        <v>Error?</v>
      </c>
    </row>
    <row r="1144" spans="1:4" x14ac:dyDescent="0.2">
      <c r="A1144" s="5">
        <v>1083</v>
      </c>
      <c r="B1144" s="138">
        <f>'Expenditures 15-22'!K75</f>
        <v>42893</v>
      </c>
      <c r="C1144" s="2" t="s">
        <v>594</v>
      </c>
      <c r="D1144" s="2" t="str">
        <f t="shared" si="16"/>
        <v>Error?</v>
      </c>
    </row>
    <row r="1145" spans="1:4" x14ac:dyDescent="0.2">
      <c r="A1145" s="5">
        <v>1084</v>
      </c>
      <c r="B1145" s="138">
        <f>'Expenditures 15-22'!K102</f>
        <v>20000</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1980460</v>
      </c>
      <c r="C1152" s="2" t="s">
        <v>594</v>
      </c>
      <c r="D1152" s="2" t="str">
        <f t="shared" si="17"/>
        <v>Error?</v>
      </c>
    </row>
    <row r="1153" spans="1:4" x14ac:dyDescent="0.2">
      <c r="A1153" s="5">
        <v>1092</v>
      </c>
      <c r="B1153" s="138">
        <f>'Expenditures 15-22'!K115</f>
        <v>-21409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81769</v>
      </c>
      <c r="D1221" s="2" t="str">
        <f t="shared" si="18"/>
        <v>Error?</v>
      </c>
    </row>
    <row r="1222" spans="1:4" x14ac:dyDescent="0.2">
      <c r="A1222" s="10">
        <v>1161</v>
      </c>
      <c r="D1222" s="2" t="str">
        <f t="shared" si="18"/>
        <v>OK</v>
      </c>
    </row>
    <row r="1223" spans="1:4" x14ac:dyDescent="0.2">
      <c r="A1223" s="5">
        <v>1162</v>
      </c>
      <c r="B1223" s="138">
        <f>'Expenditures 15-22'!C127</f>
        <v>81769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81769</v>
      </c>
      <c r="C1225" s="2" t="s">
        <v>594</v>
      </c>
      <c r="D1225" s="2" t="str">
        <f t="shared" si="18"/>
        <v>Error?</v>
      </c>
    </row>
    <row r="1226" spans="1:4" x14ac:dyDescent="0.2">
      <c r="A1226" s="5">
        <v>1165</v>
      </c>
      <c r="B1226" s="138">
        <f>'Expenditures 15-22'!C151</f>
        <v>81769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11648</v>
      </c>
      <c r="D1229" s="2" t="str">
        <f t="shared" si="18"/>
        <v>Error?</v>
      </c>
    </row>
    <row r="1230" spans="1:4" x14ac:dyDescent="0.2">
      <c r="A1230" s="10">
        <v>1169</v>
      </c>
      <c r="D1230" s="2" t="str">
        <f t="shared" si="18"/>
        <v>OK</v>
      </c>
    </row>
    <row r="1231" spans="1:4" x14ac:dyDescent="0.2">
      <c r="A1231" s="5">
        <v>1170</v>
      </c>
      <c r="B1231" s="138">
        <f>'Expenditures 15-22'!D127</f>
        <v>11648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11648</v>
      </c>
      <c r="C1233" s="2" t="s">
        <v>594</v>
      </c>
      <c r="D1233" s="2" t="str">
        <f t="shared" si="18"/>
        <v>Error?</v>
      </c>
    </row>
    <row r="1234" spans="1:4" x14ac:dyDescent="0.2">
      <c r="A1234" s="5">
        <v>1173</v>
      </c>
      <c r="B1234" s="138">
        <f>'Expenditures 15-22'!D151</f>
        <v>11648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55786</v>
      </c>
      <c r="D1237" s="2" t="str">
        <f t="shared" si="18"/>
        <v>Error?</v>
      </c>
    </row>
    <row r="1238" spans="1:4" x14ac:dyDescent="0.2">
      <c r="A1238" s="10">
        <v>1177</v>
      </c>
      <c r="D1238" s="2" t="str">
        <f t="shared" si="18"/>
        <v>OK</v>
      </c>
    </row>
    <row r="1239" spans="1:4" x14ac:dyDescent="0.2">
      <c r="A1239" s="5">
        <v>1178</v>
      </c>
      <c r="B1239" s="138">
        <f>'Expenditures 15-22'!E127</f>
        <v>55786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55786</v>
      </c>
      <c r="C1241" s="2" t="s">
        <v>594</v>
      </c>
      <c r="D1241" s="2" t="str">
        <f t="shared" si="18"/>
        <v>Error?</v>
      </c>
    </row>
    <row r="1242" spans="1:4" x14ac:dyDescent="0.2">
      <c r="A1242" s="5">
        <v>1181</v>
      </c>
      <c r="B1242" s="138">
        <f>'Expenditures 15-22'!E151</f>
        <v>55786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100883</v>
      </c>
      <c r="D1245" s="2" t="str">
        <f t="shared" si="18"/>
        <v>Error?</v>
      </c>
    </row>
    <row r="1246" spans="1:4" x14ac:dyDescent="0.2">
      <c r="A1246" s="10">
        <v>1185</v>
      </c>
      <c r="D1246" s="2" t="str">
        <f t="shared" si="18"/>
        <v>OK</v>
      </c>
    </row>
    <row r="1247" spans="1:4" x14ac:dyDescent="0.2">
      <c r="A1247" s="5">
        <v>1186</v>
      </c>
      <c r="B1247" s="138">
        <f>'Expenditures 15-22'!F127</f>
        <v>100883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100883</v>
      </c>
      <c r="C1249" s="2" t="s">
        <v>594</v>
      </c>
      <c r="D1249" s="2" t="str">
        <f t="shared" si="18"/>
        <v>Error?</v>
      </c>
    </row>
    <row r="1250" spans="1:4" x14ac:dyDescent="0.2">
      <c r="A1250" s="5">
        <v>1189</v>
      </c>
      <c r="B1250" s="138">
        <f>'Expenditures 15-22'!F151</f>
        <v>100883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250086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250086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250086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250086</v>
      </c>
      <c r="C1288" s="2" t="s">
        <v>594</v>
      </c>
      <c r="D1288" s="2" t="str">
        <f t="shared" si="19"/>
        <v>Error?</v>
      </c>
    </row>
    <row r="1289" spans="1:4" x14ac:dyDescent="0.2">
      <c r="A1289" s="5">
        <v>1228</v>
      </c>
      <c r="B1289" s="138">
        <f>'Expenditures 15-22'!K152</f>
        <v>6622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16170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33376</v>
      </c>
      <c r="D1315" s="2" t="str">
        <f t="shared" si="19"/>
        <v>Error?</v>
      </c>
    </row>
    <row r="1316" spans="1:4" x14ac:dyDescent="0.2">
      <c r="A1316" s="5">
        <v>1255</v>
      </c>
      <c r="B1316" s="138">
        <f>'Expenditures 15-22'!H171</f>
        <v>1995</v>
      </c>
      <c r="D1316" s="2" t="str">
        <f t="shared" si="19"/>
        <v>Error?</v>
      </c>
    </row>
    <row r="1317" spans="1:4" x14ac:dyDescent="0.2">
      <c r="A1317" s="5">
        <v>1256</v>
      </c>
      <c r="B1317" s="138">
        <f>'Expenditures 15-22'!H172</f>
        <v>51541</v>
      </c>
      <c r="C1317" s="2" t="s">
        <v>594</v>
      </c>
      <c r="D1317" s="2" t="str">
        <f t="shared" si="19"/>
        <v>Error?</v>
      </c>
    </row>
    <row r="1318" spans="1:4" x14ac:dyDescent="0.2">
      <c r="A1318" s="5">
        <v>1257</v>
      </c>
      <c r="B1318" s="138">
        <f>'Expenditures 15-22'!H174</f>
        <v>51541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16170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33376</v>
      </c>
      <c r="C1329" s="2" t="s">
        <v>594</v>
      </c>
      <c r="D1329" s="2" t="str">
        <f t="shared" si="19"/>
        <v>Error?</v>
      </c>
    </row>
    <row r="1330" spans="1:4" x14ac:dyDescent="0.2">
      <c r="A1330" s="5">
        <v>1269</v>
      </c>
      <c r="B1330" s="138">
        <f>'Expenditures 15-22'!K171</f>
        <v>1995</v>
      </c>
      <c r="C1330" s="2" t="s">
        <v>594</v>
      </c>
      <c r="D1330" s="2" t="str">
        <f t="shared" si="19"/>
        <v>Error?</v>
      </c>
    </row>
    <row r="1331" spans="1:4" x14ac:dyDescent="0.2">
      <c r="A1331" s="5">
        <v>1270</v>
      </c>
      <c r="B1331" s="138">
        <f>'Expenditures 15-22'!K172</f>
        <v>51541</v>
      </c>
      <c r="C1331" s="2" t="s">
        <v>594</v>
      </c>
      <c r="D1331" s="2" t="str">
        <f t="shared" si="19"/>
        <v>Error?</v>
      </c>
    </row>
    <row r="1332" spans="1:4" x14ac:dyDescent="0.2">
      <c r="A1332" s="5">
        <v>1271</v>
      </c>
      <c r="B1332" s="138">
        <f>'Expenditures 15-22'!K174</f>
        <v>51541</v>
      </c>
      <c r="C1332" s="2" t="s">
        <v>594</v>
      </c>
      <c r="D1332" s="2" t="str">
        <f t="shared" si="19"/>
        <v>Error?</v>
      </c>
    </row>
    <row r="1333" spans="1:4" x14ac:dyDescent="0.2">
      <c r="A1333" s="5">
        <v>1272</v>
      </c>
      <c r="B1333" s="138">
        <f>'Expenditures 15-22'!K175</f>
        <v>38868</v>
      </c>
      <c r="C1333" s="2" t="s">
        <v>594</v>
      </c>
      <c r="D1333" s="2" t="str">
        <f t="shared" si="19"/>
        <v>Error?</v>
      </c>
    </row>
    <row r="1334" spans="1:4" x14ac:dyDescent="0.2">
      <c r="A1334" s="10">
        <v>1273</v>
      </c>
      <c r="D1334" s="2" t="str">
        <f t="shared" si="19"/>
        <v>OK</v>
      </c>
    </row>
    <row r="1335" spans="1:4" x14ac:dyDescent="0.2">
      <c r="A1335" s="5">
        <v>1274</v>
      </c>
      <c r="B1335" s="138">
        <f>'Expenditures 15-22'!C182</f>
        <v>48431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48431</v>
      </c>
      <c r="C1339" s="2" t="s">
        <v>594</v>
      </c>
      <c r="D1339" s="2" t="str">
        <f t="shared" si="19"/>
        <v>Error?</v>
      </c>
    </row>
    <row r="1340" spans="1:4" x14ac:dyDescent="0.2">
      <c r="A1340" s="5">
        <v>1279</v>
      </c>
      <c r="B1340" s="138">
        <f>'Expenditures 15-22'!C210</f>
        <v>48431</v>
      </c>
      <c r="C1340" s="2" t="s">
        <v>594</v>
      </c>
      <c r="D1340" s="2" t="str">
        <f t="shared" si="19"/>
        <v>Error?</v>
      </c>
    </row>
    <row r="1341" spans="1:4" x14ac:dyDescent="0.2">
      <c r="A1341" s="5">
        <v>1280</v>
      </c>
      <c r="B1341" s="138">
        <f>'Expenditures 15-22'!D182</f>
        <v>9418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9418</v>
      </c>
      <c r="C1345" s="2" t="s">
        <v>594</v>
      </c>
      <c r="D1345" s="2" t="str">
        <f t="shared" si="20"/>
        <v>Error?</v>
      </c>
    </row>
    <row r="1346" spans="1:4" x14ac:dyDescent="0.2">
      <c r="A1346" s="5">
        <v>1285</v>
      </c>
      <c r="B1346" s="138">
        <f>'Expenditures 15-22'!D210</f>
        <v>9418</v>
      </c>
      <c r="C1346" s="2" t="s">
        <v>594</v>
      </c>
      <c r="D1346" s="2" t="str">
        <f t="shared" si="20"/>
        <v>Error?</v>
      </c>
    </row>
    <row r="1347" spans="1:4" x14ac:dyDescent="0.2">
      <c r="A1347" s="5">
        <v>1286</v>
      </c>
      <c r="B1347" s="138">
        <f>'Expenditures 15-22'!E182</f>
        <v>21913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21913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21913</v>
      </c>
      <c r="C1353" s="2" t="s">
        <v>594</v>
      </c>
      <c r="D1353" s="2" t="str">
        <f t="shared" si="20"/>
        <v>Error?</v>
      </c>
    </row>
    <row r="1354" spans="1:4" x14ac:dyDescent="0.2">
      <c r="A1354" s="5">
        <v>1293</v>
      </c>
      <c r="B1354" s="138">
        <f>'Expenditures 15-22'!F182</f>
        <v>14775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14775</v>
      </c>
      <c r="C1358" s="2" t="s">
        <v>594</v>
      </c>
      <c r="D1358" s="2" t="str">
        <f t="shared" si="20"/>
        <v>Error?</v>
      </c>
    </row>
    <row r="1359" spans="1:4" x14ac:dyDescent="0.2">
      <c r="A1359" s="5">
        <v>1298</v>
      </c>
      <c r="B1359" s="138">
        <f>'Expenditures 15-22'!F210</f>
        <v>14775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94537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94537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94537</v>
      </c>
      <c r="C1388" s="2" t="s">
        <v>594</v>
      </c>
      <c r="D1388" s="2" t="str">
        <f t="shared" si="20"/>
        <v>Error?</v>
      </c>
    </row>
    <row r="1389" spans="1:4" x14ac:dyDescent="0.2">
      <c r="A1389" s="5">
        <v>1328</v>
      </c>
      <c r="B1389" s="138">
        <f>'Expenditures 15-22'!K211</f>
        <v>15818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61</v>
      </c>
      <c r="D1407" s="2" t="str">
        <f t="shared" ref="D1407:D1470" si="21">IF(ISBLANK(B1407),"OK",IF(A1407-B1407=0,"OK","Error?"))</f>
        <v>Error?</v>
      </c>
    </row>
    <row r="1408" spans="1:4" x14ac:dyDescent="0.2">
      <c r="A1408" s="5">
        <v>1347</v>
      </c>
      <c r="B1408" s="138">
        <f>'Expenditures 15-22'!D223</f>
        <v>1339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7317</v>
      </c>
      <c r="C1410" s="2" t="s">
        <v>594</v>
      </c>
      <c r="D1410" s="2" t="str">
        <f t="shared" si="21"/>
        <v>Error?</v>
      </c>
    </row>
    <row r="1411" spans="1:4" x14ac:dyDescent="0.2">
      <c r="A1411" s="5">
        <v>1350</v>
      </c>
      <c r="B1411" s="138">
        <f>'Expenditures 15-22'!D232</f>
        <v>1975</v>
      </c>
      <c r="D1411" s="2" t="str">
        <f t="shared" si="21"/>
        <v>Error?</v>
      </c>
    </row>
    <row r="1412" spans="1:4" x14ac:dyDescent="0.2">
      <c r="A1412" s="5">
        <v>1351</v>
      </c>
      <c r="B1412" s="138">
        <f>'Expenditures 15-22'!D233</f>
        <v>7948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9923</v>
      </c>
      <c r="C1417" s="2" t="s">
        <v>594</v>
      </c>
      <c r="D1417" s="2" t="str">
        <f t="shared" si="21"/>
        <v>Error?</v>
      </c>
    </row>
    <row r="1418" spans="1:4" x14ac:dyDescent="0.2">
      <c r="A1418" s="5">
        <v>1357</v>
      </c>
      <c r="B1418" s="138">
        <f>'Expenditures 15-22'!D240</f>
        <v>29</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2120</v>
      </c>
      <c r="D1423" s="2" t="str">
        <f t="shared" si="21"/>
        <v>Error?</v>
      </c>
    </row>
    <row r="1424" spans="1:4" x14ac:dyDescent="0.2">
      <c r="A1424" s="5">
        <v>1363</v>
      </c>
      <c r="B1424" s="138">
        <f>'Expenditures 15-22'!D257</f>
        <v>6177</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8382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17584</v>
      </c>
      <c r="D1431" s="2" t="str">
        <f t="shared" si="21"/>
        <v>Error?</v>
      </c>
    </row>
    <row r="1432" spans="1:4" x14ac:dyDescent="0.2">
      <c r="A1432" s="5">
        <v>1371</v>
      </c>
      <c r="B1432" s="138">
        <f>'Expenditures 15-22'!D267</f>
        <v>11730</v>
      </c>
      <c r="D1432" s="2" t="str">
        <f t="shared" si="21"/>
        <v>Error?</v>
      </c>
    </row>
    <row r="1433" spans="1:4" x14ac:dyDescent="0.2">
      <c r="A1433" s="5">
        <v>1372</v>
      </c>
      <c r="B1433" s="138">
        <f>'Expenditures 15-22'!D268</f>
        <v>7420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45116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61245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68562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61</v>
      </c>
      <c r="C1471" s="2" t="s">
        <v>594</v>
      </c>
      <c r="D1471" s="2" t="str">
        <f t="shared" ref="D1471:D1534" si="22">IF(ISBLANK(B1471),"OK",IF(A1471-B1471=0,"OK","Error?"))</f>
        <v>Error?</v>
      </c>
    </row>
    <row r="1472" spans="1:4" x14ac:dyDescent="0.2">
      <c r="A1472" s="5">
        <v>1411</v>
      </c>
      <c r="B1472" s="138">
        <f>'Expenditures 15-22'!K223</f>
        <v>1339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7317</v>
      </c>
      <c r="C1474" s="2" t="s">
        <v>594</v>
      </c>
      <c r="D1474" s="2" t="str">
        <f t="shared" si="22"/>
        <v>Error?</v>
      </c>
    </row>
    <row r="1475" spans="1:4" x14ac:dyDescent="0.2">
      <c r="A1475" s="5">
        <v>1414</v>
      </c>
      <c r="B1475" s="138">
        <f>'Expenditures 15-22'!K232</f>
        <v>1975</v>
      </c>
      <c r="C1475" s="2" t="s">
        <v>594</v>
      </c>
      <c r="D1475" s="2" t="str">
        <f t="shared" si="22"/>
        <v>Error?</v>
      </c>
    </row>
    <row r="1476" spans="1:4" x14ac:dyDescent="0.2">
      <c r="A1476" s="5">
        <v>1415</v>
      </c>
      <c r="B1476" s="138">
        <f>'Expenditures 15-22'!K233</f>
        <v>7948</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9923</v>
      </c>
      <c r="C1481" s="2" t="s">
        <v>594</v>
      </c>
      <c r="D1481" s="2" t="str">
        <f t="shared" si="22"/>
        <v>Error?</v>
      </c>
    </row>
    <row r="1482" spans="1:4" x14ac:dyDescent="0.2">
      <c r="A1482" s="5">
        <v>1421</v>
      </c>
      <c r="B1482" s="138">
        <f>'Expenditures 15-22'!K240</f>
        <v>29</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29</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2120</v>
      </c>
      <c r="C1487" s="2" t="s">
        <v>594</v>
      </c>
      <c r="D1487" s="2" t="str">
        <f t="shared" si="22"/>
        <v>Error?</v>
      </c>
    </row>
    <row r="1488" spans="1:4" x14ac:dyDescent="0.2">
      <c r="A1488" s="5">
        <v>1427</v>
      </c>
      <c r="B1488" s="138">
        <f>'Expenditures 15-22'!K257</f>
        <v>6177</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8382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17584</v>
      </c>
      <c r="C1495" s="2" t="s">
        <v>594</v>
      </c>
      <c r="D1495" s="2" t="str">
        <f t="shared" si="22"/>
        <v>Error?</v>
      </c>
    </row>
    <row r="1496" spans="1:4" x14ac:dyDescent="0.2">
      <c r="A1496" s="5">
        <v>1435</v>
      </c>
      <c r="B1496" s="138">
        <f>'Expenditures 15-22'!K267</f>
        <v>11730</v>
      </c>
      <c r="C1496" s="2" t="s">
        <v>594</v>
      </c>
      <c r="D1496" s="2" t="str">
        <f t="shared" si="22"/>
        <v>Error?</v>
      </c>
    </row>
    <row r="1497" spans="1:4" x14ac:dyDescent="0.2">
      <c r="A1497" s="5">
        <v>1436</v>
      </c>
      <c r="B1497" s="138">
        <f>'Expenditures 15-22'!K268</f>
        <v>7420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45116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61245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68562</v>
      </c>
      <c r="C1517" s="2" t="s">
        <v>594</v>
      </c>
      <c r="D1517" s="2" t="str">
        <f t="shared" si="22"/>
        <v>Error?</v>
      </c>
    </row>
    <row r="1518" spans="1:4" x14ac:dyDescent="0.2">
      <c r="A1518" s="5">
        <v>1457</v>
      </c>
      <c r="B1518" s="138">
        <f>'Expenditures 15-22'!K296</f>
        <v>82298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130478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709956</v>
      </c>
      <c r="C1630" s="2" t="s">
        <v>594</v>
      </c>
      <c r="D1630" s="2" t="str">
        <f t="shared" si="24"/>
        <v>Error?</v>
      </c>
    </row>
    <row r="1631" spans="1:4" x14ac:dyDescent="0.2">
      <c r="A1631" s="5">
        <v>1570</v>
      </c>
      <c r="B1631" s="138">
        <f>'Acct Summary 7-8'!D79</f>
        <v>1569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8191</v>
      </c>
      <c r="C1644" s="2" t="s">
        <v>594</v>
      </c>
      <c r="D1644" s="2" t="str">
        <f t="shared" si="24"/>
        <v>Error?</v>
      </c>
    </row>
    <row r="1645" spans="1:4" x14ac:dyDescent="0.2">
      <c r="A1645" s="5">
        <v>1584</v>
      </c>
      <c r="B1645" s="138">
        <f>'Acct Summary 7-8'!E79</f>
        <v>34100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72968</v>
      </c>
      <c r="C1658" s="2" t="s">
        <v>594</v>
      </c>
      <c r="D1658" s="2" t="str">
        <f t="shared" si="24"/>
        <v>Error?</v>
      </c>
    </row>
    <row r="1659" spans="1:4" x14ac:dyDescent="0.2">
      <c r="A1659" s="5">
        <v>1598</v>
      </c>
      <c r="B1659" s="138">
        <f>'Acct Summary 7-8'!F79</f>
        <v>312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16130</v>
      </c>
      <c r="C1672" s="2" t="s">
        <v>594</v>
      </c>
      <c r="D1672" s="2" t="str">
        <f t="shared" si="25"/>
        <v>Error?</v>
      </c>
    </row>
    <row r="1673" spans="1:4" x14ac:dyDescent="0.2">
      <c r="A1673" s="5">
        <v>1612</v>
      </c>
      <c r="B1673" s="138">
        <f>'Acct Summary 7-8'!G79</f>
        <v>34630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116928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112374</v>
      </c>
      <c r="C1744" s="2" t="s">
        <v>594</v>
      </c>
      <c r="D1744" s="2" t="str">
        <f t="shared" si="26"/>
        <v>Error?</v>
      </c>
    </row>
    <row r="1745" spans="1:5" x14ac:dyDescent="0.2">
      <c r="A1745" s="5">
        <v>1684</v>
      </c>
      <c r="B1745" s="138">
        <f>'Tax Sched 23'!B5</f>
        <v>28094</v>
      </c>
      <c r="C1745" s="2" t="s">
        <v>594</v>
      </c>
      <c r="D1745" s="2" t="str">
        <f t="shared" si="26"/>
        <v>Error?</v>
      </c>
    </row>
    <row r="1746" spans="1:5" x14ac:dyDescent="0.2">
      <c r="A1746" s="5">
        <v>1685</v>
      </c>
      <c r="B1746" s="138">
        <f>'Tax Sched 23'!B6</f>
        <v>90409</v>
      </c>
      <c r="C1746" s="2" t="s">
        <v>594</v>
      </c>
      <c r="D1746" s="2" t="str">
        <f t="shared" si="26"/>
        <v>Error?</v>
      </c>
    </row>
    <row r="1747" spans="1:5" x14ac:dyDescent="0.2">
      <c r="A1747" s="5">
        <v>1686</v>
      </c>
      <c r="B1747" s="138">
        <f>'Tax Sched 23'!B7</f>
        <v>11238</v>
      </c>
      <c r="C1747" s="2" t="s">
        <v>594</v>
      </c>
      <c r="D1747" s="2" t="str">
        <f t="shared" si="26"/>
        <v>Error?</v>
      </c>
    </row>
    <row r="1748" spans="1:5" x14ac:dyDescent="0.2">
      <c r="A1748" s="5">
        <v>1687</v>
      </c>
      <c r="B1748" s="138">
        <f>'Tax Sched 23'!B8</f>
        <v>81787</v>
      </c>
      <c r="C1748" s="2" t="s">
        <v>594</v>
      </c>
      <c r="D1748" s="2" t="str">
        <f t="shared" si="26"/>
        <v>Error?</v>
      </c>
    </row>
    <row r="1749" spans="1:5" x14ac:dyDescent="0.2">
      <c r="A1749" s="5">
        <v>1688</v>
      </c>
      <c r="B1749" s="138">
        <f>'Tax Sched 23'!B10</f>
        <v>2809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115833</v>
      </c>
      <c r="C1752" s="2" t="s">
        <v>594</v>
      </c>
      <c r="D1752" s="2" t="str">
        <f t="shared" si="26"/>
        <v>Error?</v>
      </c>
    </row>
    <row r="1753" spans="1:5" x14ac:dyDescent="0.2">
      <c r="A1753" s="5">
        <v>1692</v>
      </c>
      <c r="B1753" s="138">
        <f>'Tax Sched 23'!B12</f>
        <v>2809</v>
      </c>
      <c r="C1753" s="2" t="s">
        <v>594</v>
      </c>
      <c r="D1753" s="2" t="str">
        <f t="shared" si="26"/>
        <v>Error?</v>
      </c>
    </row>
    <row r="1754" spans="1:5" x14ac:dyDescent="0.2">
      <c r="A1754" s="5">
        <v>1693</v>
      </c>
      <c r="B1754" s="138">
        <f>'Tax Sched 23'!B14</f>
        <v>2248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509368</v>
      </c>
      <c r="C1759" s="2" t="s">
        <v>594</v>
      </c>
      <c r="D1759" s="2" t="str">
        <f t="shared" si="26"/>
        <v>Error?</v>
      </c>
    </row>
    <row r="1760" spans="1:5" x14ac:dyDescent="0.2">
      <c r="A1760" s="5">
        <v>1699</v>
      </c>
      <c r="B1760" s="138">
        <f>'Tax Sched 23'!D4</f>
        <v>89142</v>
      </c>
      <c r="C1760" s="2" t="s">
        <v>594</v>
      </c>
      <c r="D1760" s="2" t="str">
        <f t="shared" si="26"/>
        <v>Error?</v>
      </c>
    </row>
    <row r="1761" spans="1:5" x14ac:dyDescent="0.2">
      <c r="A1761" s="5">
        <v>1700</v>
      </c>
      <c r="B1761" s="138">
        <f>'Tax Sched 23'!D5</f>
        <v>22286</v>
      </c>
      <c r="C1761" s="2" t="s">
        <v>594</v>
      </c>
      <c r="D1761" s="2" t="str">
        <f t="shared" si="26"/>
        <v>Error?</v>
      </c>
    </row>
    <row r="1762" spans="1:5" s="8" customFormat="1" x14ac:dyDescent="0.2">
      <c r="A1762" s="5">
        <v>1701</v>
      </c>
      <c r="B1762" s="138">
        <f>'Tax Sched 23'!D6</f>
        <v>52162</v>
      </c>
      <c r="C1762" s="2" t="s">
        <v>594</v>
      </c>
      <c r="D1762" s="2" t="str">
        <f t="shared" si="26"/>
        <v>Error?</v>
      </c>
      <c r="E1762" s="9"/>
    </row>
    <row r="1763" spans="1:5" x14ac:dyDescent="0.2">
      <c r="A1763" s="5">
        <v>1702</v>
      </c>
      <c r="B1763" s="138">
        <f>'Tax Sched 23'!D7</f>
        <v>8915</v>
      </c>
      <c r="C1763" s="2" t="s">
        <v>594</v>
      </c>
      <c r="D1763" s="2" t="str">
        <f t="shared" si="26"/>
        <v>Error?</v>
      </c>
    </row>
    <row r="1764" spans="1:5" x14ac:dyDescent="0.2">
      <c r="A1764" s="5">
        <v>1703</v>
      </c>
      <c r="B1764" s="138">
        <f>'Tax Sched 23'!D8</f>
        <v>65391</v>
      </c>
      <c r="C1764" s="2" t="s">
        <v>594</v>
      </c>
      <c r="D1764" s="2" t="str">
        <f t="shared" si="26"/>
        <v>Error?</v>
      </c>
    </row>
    <row r="1765" spans="1:5" x14ac:dyDescent="0.2">
      <c r="A1765" s="5">
        <v>1704</v>
      </c>
      <c r="B1765" s="138">
        <f>'Tax Sched 23'!D10</f>
        <v>2228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92303</v>
      </c>
      <c r="C1768" s="2" t="s">
        <v>594</v>
      </c>
      <c r="D1768" s="2" t="str">
        <f t="shared" si="26"/>
        <v>Error?</v>
      </c>
    </row>
    <row r="1769" spans="1:5" x14ac:dyDescent="0.2">
      <c r="A1769" s="5">
        <v>1708</v>
      </c>
      <c r="B1769" s="138">
        <f>'Tax Sched 23'!D12</f>
        <v>2228</v>
      </c>
      <c r="C1769" s="2" t="s">
        <v>594</v>
      </c>
      <c r="D1769" s="2" t="str">
        <f t="shared" si="26"/>
        <v>Error?</v>
      </c>
    </row>
    <row r="1770" spans="1:5" x14ac:dyDescent="0.2">
      <c r="A1770" s="5">
        <v>1709</v>
      </c>
      <c r="B1770" s="138">
        <f>'Tax Sched 23'!D14</f>
        <v>1783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382543</v>
      </c>
      <c r="C1775" s="2" t="s">
        <v>594</v>
      </c>
      <c r="D1775" s="2" t="str">
        <f t="shared" si="26"/>
        <v>Error?</v>
      </c>
    </row>
    <row r="1776" spans="1:5" x14ac:dyDescent="0.2">
      <c r="A1776" s="5">
        <v>1715</v>
      </c>
      <c r="B1776" s="138">
        <f>'Tax Sched 23'!C4</f>
        <v>23232</v>
      </c>
      <c r="D1776" s="2" t="str">
        <f t="shared" si="26"/>
        <v>Error?</v>
      </c>
    </row>
    <row r="1777" spans="1:4" x14ac:dyDescent="0.2">
      <c r="A1777" s="5">
        <v>1716</v>
      </c>
      <c r="B1777" s="138">
        <f>'Tax Sched 23'!C5</f>
        <v>5808</v>
      </c>
      <c r="D1777" s="2" t="str">
        <f t="shared" si="26"/>
        <v>Error?</v>
      </c>
    </row>
    <row r="1778" spans="1:4" x14ac:dyDescent="0.2">
      <c r="A1778" s="5">
        <v>1717</v>
      </c>
      <c r="B1778" s="138">
        <f>'Tax Sched 23'!C6</f>
        <v>38247</v>
      </c>
      <c r="D1778" s="2" t="str">
        <f t="shared" si="26"/>
        <v>Error?</v>
      </c>
    </row>
    <row r="1779" spans="1:4" x14ac:dyDescent="0.2">
      <c r="A1779" s="5">
        <v>1718</v>
      </c>
      <c r="B1779" s="138">
        <f>'Tax Sched 23'!C7</f>
        <v>2323</v>
      </c>
      <c r="D1779" s="2" t="str">
        <f t="shared" si="26"/>
        <v>Error?</v>
      </c>
    </row>
    <row r="1780" spans="1:4" x14ac:dyDescent="0.2">
      <c r="A1780" s="5">
        <v>1719</v>
      </c>
      <c r="B1780" s="138">
        <f>'Tax Sched 23'!C8</f>
        <v>16396</v>
      </c>
      <c r="D1780" s="2" t="str">
        <f t="shared" si="26"/>
        <v>Error?</v>
      </c>
    </row>
    <row r="1781" spans="1:4" x14ac:dyDescent="0.2">
      <c r="A1781" s="5">
        <v>1720</v>
      </c>
      <c r="B1781" s="138">
        <f>'Tax Sched 23'!C10</f>
        <v>581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23530</v>
      </c>
      <c r="D1784" s="2" t="str">
        <f t="shared" si="26"/>
        <v>Error?</v>
      </c>
    </row>
    <row r="1785" spans="1:4" x14ac:dyDescent="0.2">
      <c r="A1785" s="5">
        <v>1724</v>
      </c>
      <c r="B1785" s="138">
        <f>'Tax Sched 23'!C12</f>
        <v>581</v>
      </c>
      <c r="D1785" s="2" t="str">
        <f t="shared" si="26"/>
        <v>Error?</v>
      </c>
    </row>
    <row r="1786" spans="1:4" x14ac:dyDescent="0.2">
      <c r="A1786" s="5">
        <v>1725</v>
      </c>
      <c r="B1786" s="138">
        <f>'Tax Sched 23'!C14</f>
        <v>465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126825</v>
      </c>
      <c r="C1791" s="2" t="s">
        <v>594</v>
      </c>
      <c r="D1791" s="2" t="str">
        <f t="shared" ref="D1791:D1854" si="27">IF(ISBLANK(B1791),"OK",IF(A1791-B1791=0,"OK","Error?"))</f>
        <v>Error?</v>
      </c>
    </row>
    <row r="1792" spans="1:4" x14ac:dyDescent="0.2">
      <c r="A1792" s="5">
        <v>1731</v>
      </c>
      <c r="B1792" s="138">
        <f>'Tax Sched 23'!F4</f>
        <v>64619</v>
      </c>
      <c r="C1792" s="2" t="s">
        <v>594</v>
      </c>
      <c r="D1792" s="2" t="str">
        <f t="shared" si="27"/>
        <v>Error?</v>
      </c>
    </row>
    <row r="1793" spans="1:4" x14ac:dyDescent="0.2">
      <c r="A1793" s="5">
        <v>1732</v>
      </c>
      <c r="B1793" s="138">
        <f>'Tax Sched 23'!F5</f>
        <v>16155</v>
      </c>
      <c r="C1793" s="2" t="s">
        <v>594</v>
      </c>
      <c r="D1793" s="2" t="str">
        <f t="shared" si="27"/>
        <v>Error?</v>
      </c>
    </row>
    <row r="1794" spans="1:4" x14ac:dyDescent="0.2">
      <c r="A1794" s="5">
        <v>1733</v>
      </c>
      <c r="B1794" s="138">
        <f>'Tax Sched 23'!F6</f>
        <v>106384</v>
      </c>
      <c r="C1794" s="2" t="s">
        <v>594</v>
      </c>
      <c r="D1794" s="2" t="str">
        <f t="shared" si="27"/>
        <v>Error?</v>
      </c>
    </row>
    <row r="1795" spans="1:4" x14ac:dyDescent="0.2">
      <c r="A1795" s="5">
        <v>1734</v>
      </c>
      <c r="B1795" s="138">
        <f>'Tax Sched 23'!F7</f>
        <v>6462</v>
      </c>
      <c r="C1795" s="2" t="s">
        <v>594</v>
      </c>
      <c r="D1795" s="2" t="str">
        <f t="shared" si="27"/>
        <v>Error?</v>
      </c>
    </row>
    <row r="1796" spans="1:4" x14ac:dyDescent="0.2">
      <c r="A1796" s="5">
        <v>1735</v>
      </c>
      <c r="B1796" s="138">
        <f>'Tax Sched 23'!F8</f>
        <v>45605</v>
      </c>
      <c r="C1796" s="2" t="s">
        <v>594</v>
      </c>
      <c r="D1796" s="2" t="str">
        <f t="shared" si="27"/>
        <v>Error?</v>
      </c>
    </row>
    <row r="1797" spans="1:4" x14ac:dyDescent="0.2">
      <c r="A1797" s="5">
        <v>1736</v>
      </c>
      <c r="B1797" s="138">
        <f>'Tax Sched 23'!F10</f>
        <v>1615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65446</v>
      </c>
      <c r="C1800" s="2" t="s">
        <v>594</v>
      </c>
      <c r="D1800" s="2" t="str">
        <f t="shared" si="27"/>
        <v>Error?</v>
      </c>
    </row>
    <row r="1801" spans="1:4" x14ac:dyDescent="0.2">
      <c r="A1801" s="5">
        <v>1740</v>
      </c>
      <c r="B1801" s="138">
        <f>'Tax Sched 23'!F12</f>
        <v>1615</v>
      </c>
      <c r="C1801" s="2" t="s">
        <v>594</v>
      </c>
      <c r="D1801" s="2" t="str">
        <f t="shared" si="27"/>
        <v>Error?</v>
      </c>
    </row>
    <row r="1802" spans="1:4" x14ac:dyDescent="0.2">
      <c r="A1802" s="5">
        <v>1741</v>
      </c>
      <c r="B1802" s="138">
        <f>'Tax Sched 23'!F14</f>
        <v>1292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352757</v>
      </c>
      <c r="C1807" s="2" t="s">
        <v>594</v>
      </c>
      <c r="D1807" s="2" t="str">
        <f t="shared" si="27"/>
        <v>Error?</v>
      </c>
    </row>
    <row r="1808" spans="1:4" x14ac:dyDescent="0.2">
      <c r="A1808" s="5">
        <v>1747</v>
      </c>
      <c r="B1808" s="138">
        <f>'Tax Sched 23'!E4</f>
        <v>87851</v>
      </c>
      <c r="D1808" s="2" t="str">
        <f t="shared" si="27"/>
        <v>Error?</v>
      </c>
    </row>
    <row r="1809" spans="1:4" x14ac:dyDescent="0.2">
      <c r="A1809" s="5">
        <v>1748</v>
      </c>
      <c r="B1809" s="138">
        <f>'Tax Sched 23'!E5</f>
        <v>21963</v>
      </c>
      <c r="D1809" s="2" t="str">
        <f t="shared" si="27"/>
        <v>Error?</v>
      </c>
    </row>
    <row r="1810" spans="1:4" x14ac:dyDescent="0.2">
      <c r="A1810" s="5">
        <v>1749</v>
      </c>
      <c r="B1810" s="138">
        <f>'Tax Sched 23'!E6</f>
        <v>144631</v>
      </c>
      <c r="D1810" s="2" t="str">
        <f t="shared" si="27"/>
        <v>Error?</v>
      </c>
    </row>
    <row r="1811" spans="1:4" x14ac:dyDescent="0.2">
      <c r="A1811" s="5">
        <v>1750</v>
      </c>
      <c r="B1811" s="138">
        <f>'Tax Sched 23'!E7</f>
        <v>8785</v>
      </c>
      <c r="D1811" s="2" t="str">
        <f t="shared" si="27"/>
        <v>Error?</v>
      </c>
    </row>
    <row r="1812" spans="1:4" x14ac:dyDescent="0.2">
      <c r="A1812" s="5">
        <v>1751</v>
      </c>
      <c r="B1812" s="138">
        <f>'Tax Sched 23'!E8</f>
        <v>62001</v>
      </c>
      <c r="D1812" s="2" t="str">
        <f t="shared" si="27"/>
        <v>Error?</v>
      </c>
    </row>
    <row r="1813" spans="1:4" x14ac:dyDescent="0.2">
      <c r="A1813" s="5">
        <v>1752</v>
      </c>
      <c r="B1813" s="138">
        <f>'Tax Sched 23'!E10</f>
        <v>2196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88976</v>
      </c>
      <c r="D1816" s="2" t="str">
        <f t="shared" si="27"/>
        <v>Error?</v>
      </c>
    </row>
    <row r="1817" spans="1:4" x14ac:dyDescent="0.2">
      <c r="A1817" s="5">
        <v>1756</v>
      </c>
      <c r="B1817" s="138">
        <f>'Tax Sched 23'!E12</f>
        <v>2196</v>
      </c>
      <c r="D1817" s="2" t="str">
        <f t="shared" si="27"/>
        <v>Error?</v>
      </c>
    </row>
    <row r="1818" spans="1:4" x14ac:dyDescent="0.2">
      <c r="A1818" s="5">
        <v>1757</v>
      </c>
      <c r="B1818" s="138">
        <f>'Tax Sched 23'!E14</f>
        <v>1757</v>
      </c>
      <c r="D1818" s="2" t="str">
        <f t="shared" si="27"/>
        <v>OK</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479582</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385256</v>
      </c>
      <c r="C1939" s="2" t="s">
        <v>594</v>
      </c>
      <c r="D1939" s="2" t="str">
        <f t="shared" si="29"/>
        <v>Error?</v>
      </c>
    </row>
    <row r="1940" spans="1:5" x14ac:dyDescent="0.2">
      <c r="A1940" s="5">
        <v>1879</v>
      </c>
      <c r="B1940" s="138">
        <f>'Short-Term Long-Term Debt 24'!F49</f>
        <v>500000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2248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2248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2248</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2248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81150</v>
      </c>
      <c r="D2008" s="2" t="str">
        <f t="shared" si="30"/>
        <v>Error?</v>
      </c>
    </row>
    <row r="2009" spans="1:4" x14ac:dyDescent="0.2">
      <c r="A2009" s="5">
        <v>1948</v>
      </c>
      <c r="B2009" s="138">
        <f>'Cap Outlay Deprec 26'!C8</f>
        <v>1827178</v>
      </c>
      <c r="D2009" s="2" t="str">
        <f t="shared" si="30"/>
        <v>Error?</v>
      </c>
    </row>
    <row r="2010" spans="1:4" x14ac:dyDescent="0.2">
      <c r="A2010" s="5">
        <v>1949</v>
      </c>
      <c r="B2010" s="138">
        <f>'Cap Outlay Deprec 26'!C10</f>
        <v>69247</v>
      </c>
      <c r="D2010" s="2" t="str">
        <f t="shared" si="30"/>
        <v>Error?</v>
      </c>
    </row>
    <row r="2011" spans="1:4" x14ac:dyDescent="0.2">
      <c r="A2011" s="5">
        <v>1950</v>
      </c>
      <c r="B2011" s="138">
        <f>'Cap Outlay Deprec 26'!C12</f>
        <v>792474</v>
      </c>
      <c r="D2011" s="2" t="str">
        <f t="shared" si="30"/>
        <v>Error?</v>
      </c>
    </row>
    <row r="2012" spans="1:4" x14ac:dyDescent="0.2">
      <c r="A2012" s="5">
        <v>1951</v>
      </c>
      <c r="B2012" s="138">
        <f>'Cap Outlay Deprec 26'!C13</f>
        <v>339080</v>
      </c>
      <c r="D2012" s="2" t="str">
        <f t="shared" si="30"/>
        <v>Error?</v>
      </c>
    </row>
    <row r="2013" spans="1:4" x14ac:dyDescent="0.2">
      <c r="A2013" s="5">
        <v>1952</v>
      </c>
      <c r="B2013" s="138">
        <f>'Cap Outlay Deprec 26'!C16</f>
        <v>3216929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28010</v>
      </c>
      <c r="D2018" s="2" t="str">
        <f t="shared" si="30"/>
        <v>Error?</v>
      </c>
    </row>
    <row r="2019" spans="1:4" x14ac:dyDescent="0.2">
      <c r="A2019" s="5">
        <v>1958</v>
      </c>
      <c r="B2019" s="138">
        <f>'Cap Outlay Deprec 26'!D16</f>
        <v>28010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37558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37558</v>
      </c>
      <c r="C2025" s="2" t="s">
        <v>594</v>
      </c>
      <c r="D2025" s="2" t="str">
        <f t="shared" si="30"/>
        <v>Error?</v>
      </c>
    </row>
    <row r="2026" spans="1:4" x14ac:dyDescent="0.2">
      <c r="A2026" s="5">
        <v>1965</v>
      </c>
      <c r="B2026" s="138">
        <f>'Cap Outlay Deprec 26'!F5</f>
        <v>81150</v>
      </c>
      <c r="C2026" s="2" t="s">
        <v>594</v>
      </c>
      <c r="D2026" s="2" t="str">
        <f t="shared" si="30"/>
        <v>Error?</v>
      </c>
    </row>
    <row r="2027" spans="1:4" x14ac:dyDescent="0.2">
      <c r="A2027" s="5">
        <v>1966</v>
      </c>
      <c r="B2027" s="138">
        <f>'Cap Outlay Deprec 26'!F8</f>
        <v>1827178</v>
      </c>
      <c r="C2027" s="2" t="s">
        <v>594</v>
      </c>
      <c r="D2027" s="2" t="str">
        <f t="shared" si="30"/>
        <v>Error?</v>
      </c>
    </row>
    <row r="2028" spans="1:4" x14ac:dyDescent="0.2">
      <c r="A2028" s="5">
        <v>1967</v>
      </c>
      <c r="B2028" s="138">
        <f>'Cap Outlay Deprec 26'!F10</f>
        <v>69247</v>
      </c>
      <c r="C2028" s="2" t="s">
        <v>594</v>
      </c>
      <c r="D2028" s="2" t="str">
        <f t="shared" si="30"/>
        <v>Error?</v>
      </c>
    </row>
    <row r="2029" spans="1:4" x14ac:dyDescent="0.2">
      <c r="A2029" s="5">
        <v>1968</v>
      </c>
      <c r="B2029" s="138">
        <f>'Cap Outlay Deprec 26'!F12</f>
        <v>754916</v>
      </c>
      <c r="C2029" s="2" t="s">
        <v>594</v>
      </c>
      <c r="D2029" s="2" t="str">
        <f t="shared" si="30"/>
        <v>Error?</v>
      </c>
    </row>
    <row r="2030" spans="1:4" x14ac:dyDescent="0.2">
      <c r="A2030" s="5">
        <v>1969</v>
      </c>
      <c r="B2030" s="138">
        <f>'Cap Outlay Deprec 26'!F13</f>
        <v>367090</v>
      </c>
      <c r="C2030" s="2" t="s">
        <v>594</v>
      </c>
      <c r="D2030" s="2" t="str">
        <f t="shared" si="30"/>
        <v>Error?</v>
      </c>
    </row>
    <row r="2031" spans="1:4" x14ac:dyDescent="0.2">
      <c r="A2031" s="5">
        <v>1970</v>
      </c>
      <c r="B2031" s="138">
        <f>'Cap Outlay Deprec 26'!F16</f>
        <v>3207381</v>
      </c>
      <c r="C2031" s="2" t="s">
        <v>594</v>
      </c>
      <c r="D2031" s="2" t="str">
        <f t="shared" si="30"/>
        <v>Error?</v>
      </c>
    </row>
    <row r="2032" spans="1:4" x14ac:dyDescent="0.2">
      <c r="A2032" s="10">
        <v>1971</v>
      </c>
      <c r="D2032" s="2" t="str">
        <f t="shared" si="30"/>
        <v>OK</v>
      </c>
    </row>
    <row r="2033" spans="1:4" x14ac:dyDescent="0.2">
      <c r="A2033" s="5">
        <v>1972</v>
      </c>
      <c r="B2033" s="138">
        <f>'Cap Outlay Deprec 26'!H8</f>
        <v>1360950</v>
      </c>
      <c r="D2033" s="2" t="str">
        <f t="shared" si="30"/>
        <v>Error?</v>
      </c>
    </row>
    <row r="2034" spans="1:4" x14ac:dyDescent="0.2">
      <c r="A2034" s="5">
        <v>1973</v>
      </c>
      <c r="B2034" s="138">
        <f>'Cap Outlay Deprec 26'!H10</f>
        <v>69247</v>
      </c>
      <c r="D2034" s="2" t="str">
        <f t="shared" si="30"/>
        <v>Error?</v>
      </c>
    </row>
    <row r="2035" spans="1:4" x14ac:dyDescent="0.2">
      <c r="A2035" s="5">
        <v>1974</v>
      </c>
      <c r="B2035" s="138">
        <f>'Cap Outlay Deprec 26'!H12</f>
        <v>750256</v>
      </c>
      <c r="D2035" s="2" t="str">
        <f t="shared" si="30"/>
        <v>Error?</v>
      </c>
    </row>
    <row r="2036" spans="1:4" x14ac:dyDescent="0.2">
      <c r="A2036" s="5">
        <v>1975</v>
      </c>
      <c r="B2036" s="138">
        <f>'Cap Outlay Deprec 26'!H13</f>
        <v>339080</v>
      </c>
      <c r="D2036" s="2" t="str">
        <f t="shared" si="30"/>
        <v>Error?</v>
      </c>
    </row>
    <row r="2037" spans="1:4" x14ac:dyDescent="0.2">
      <c r="A2037" s="5">
        <v>1976</v>
      </c>
      <c r="B2037" s="138">
        <f>'Cap Outlay Deprec 26'!H16</f>
        <v>2624399</v>
      </c>
      <c r="C2037" s="2" t="s">
        <v>594</v>
      </c>
      <c r="D2037" s="2" t="str">
        <f t="shared" si="30"/>
        <v>Error?</v>
      </c>
    </row>
    <row r="2038" spans="1:4" x14ac:dyDescent="0.2">
      <c r="A2038" s="10">
        <v>1977</v>
      </c>
      <c r="D2038" s="2" t="str">
        <f t="shared" si="30"/>
        <v>OK</v>
      </c>
    </row>
    <row r="2039" spans="1:4" x14ac:dyDescent="0.2">
      <c r="A2039" s="5">
        <v>1978</v>
      </c>
      <c r="B2039" s="138">
        <f>'Cap Outlay Deprec 26'!I8</f>
        <v>76093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4691</v>
      </c>
      <c r="D2041" s="2" t="str">
        <f t="shared" si="30"/>
        <v>Error?</v>
      </c>
    </row>
    <row r="2042" spans="1:4" x14ac:dyDescent="0.2">
      <c r="A2042" s="5">
        <v>1981</v>
      </c>
      <c r="B2042" s="138">
        <f>'Cap Outlay Deprec 26'!I13</f>
        <v>5602</v>
      </c>
      <c r="D2042" s="2" t="str">
        <f t="shared" si="30"/>
        <v>Error?</v>
      </c>
    </row>
    <row r="2043" spans="1:4" x14ac:dyDescent="0.2">
      <c r="A2043" s="5">
        <v>1982</v>
      </c>
      <c r="B2043" s="138">
        <f>'Cap Outlay Deprec 26'!I16</f>
        <v>89320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37558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37558</v>
      </c>
      <c r="C2049" s="2" t="s">
        <v>594</v>
      </c>
      <c r="D2049" s="2" t="str">
        <f t="shared" si="31"/>
        <v>Error?</v>
      </c>
    </row>
    <row r="2050" spans="1:4" x14ac:dyDescent="0.2">
      <c r="A2050" s="10">
        <v>1989</v>
      </c>
      <c r="D2050" s="2" t="str">
        <f t="shared" si="31"/>
        <v>OK</v>
      </c>
    </row>
    <row r="2051" spans="1:4" x14ac:dyDescent="0.2">
      <c r="A2051" s="5">
        <v>1990</v>
      </c>
      <c r="B2051" s="138">
        <f>'Cap Outlay Deprec 26'!K8</f>
        <v>1437043</v>
      </c>
      <c r="C2051" s="2" t="s">
        <v>594</v>
      </c>
      <c r="D2051" s="2" t="str">
        <f t="shared" si="31"/>
        <v>Error?</v>
      </c>
    </row>
    <row r="2052" spans="1:4" x14ac:dyDescent="0.2">
      <c r="A2052" s="5">
        <v>1991</v>
      </c>
      <c r="B2052" s="138">
        <f>'Cap Outlay Deprec 26'!K10</f>
        <v>69247</v>
      </c>
      <c r="C2052" s="2" t="s">
        <v>594</v>
      </c>
      <c r="D2052" s="2" t="str">
        <f t="shared" si="31"/>
        <v>Error?</v>
      </c>
    </row>
    <row r="2053" spans="1:4" x14ac:dyDescent="0.2">
      <c r="A2053" s="5">
        <v>1992</v>
      </c>
      <c r="B2053" s="138">
        <f>'Cap Outlay Deprec 26'!K12</f>
        <v>717389</v>
      </c>
      <c r="C2053" s="2" t="s">
        <v>594</v>
      </c>
      <c r="D2053" s="2" t="str">
        <f t="shared" si="31"/>
        <v>Error?</v>
      </c>
    </row>
    <row r="2054" spans="1:4" x14ac:dyDescent="0.2">
      <c r="A2054" s="5">
        <v>1993</v>
      </c>
      <c r="B2054" s="138">
        <f>'Cap Outlay Deprec 26'!K13</f>
        <v>344682</v>
      </c>
      <c r="C2054" s="2" t="s">
        <v>594</v>
      </c>
      <c r="D2054" s="2" t="str">
        <f t="shared" si="31"/>
        <v>Error?</v>
      </c>
    </row>
    <row r="2055" spans="1:4" x14ac:dyDescent="0.2">
      <c r="A2055" s="5">
        <v>1994</v>
      </c>
      <c r="B2055" s="138">
        <f>'Cap Outlay Deprec 26'!K16</f>
        <v>2676161</v>
      </c>
      <c r="C2055" s="2" t="s">
        <v>594</v>
      </c>
      <c r="D2055" s="2" t="str">
        <f t="shared" si="31"/>
        <v>Error?</v>
      </c>
    </row>
    <row r="2056" spans="1:4" x14ac:dyDescent="0.2">
      <c r="A2056" s="5">
        <v>1995</v>
      </c>
      <c r="B2056" s="138">
        <f>'Cap Outlay Deprec 26'!L5</f>
        <v>81150</v>
      </c>
      <c r="C2056" s="2" t="s">
        <v>594</v>
      </c>
      <c r="D2056" s="2" t="str">
        <f t="shared" si="31"/>
        <v>Error?</v>
      </c>
    </row>
    <row r="2057" spans="1:4" x14ac:dyDescent="0.2">
      <c r="A2057" s="5">
        <v>1996</v>
      </c>
      <c r="B2057" s="138">
        <f>'Cap Outlay Deprec 26'!L8</f>
        <v>390135</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37527</v>
      </c>
      <c r="C2059" s="2" t="s">
        <v>594</v>
      </c>
      <c r="D2059" s="2" t="str">
        <f t="shared" si="31"/>
        <v>Error?</v>
      </c>
    </row>
    <row r="2060" spans="1:4" x14ac:dyDescent="0.2">
      <c r="A2060" s="5">
        <v>1999</v>
      </c>
      <c r="B2060" s="138">
        <f>'Cap Outlay Deprec 26'!L13</f>
        <v>22408</v>
      </c>
      <c r="C2060" s="2" t="s">
        <v>594</v>
      </c>
      <c r="D2060" s="2" t="str">
        <f t="shared" si="31"/>
        <v>Error?</v>
      </c>
    </row>
    <row r="2061" spans="1:4" x14ac:dyDescent="0.2">
      <c r="A2061" s="5">
        <v>2000</v>
      </c>
      <c r="B2061" s="138">
        <f>'Cap Outlay Deprec 26'!L16</f>
        <v>531220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20000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125000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24601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320846</v>
      </c>
      <c r="C2551" s="2" t="s">
        <v>594</v>
      </c>
      <c r="D2551" s="2" t="str">
        <f t="shared" si="38"/>
        <v>Error?</v>
      </c>
    </row>
    <row r="2552" spans="1:4" x14ac:dyDescent="0.2">
      <c r="A2552" s="10">
        <v>2491</v>
      </c>
      <c r="D2552" s="2" t="str">
        <f t="shared" si="38"/>
        <v>OK</v>
      </c>
    </row>
    <row r="2553" spans="1:4" x14ac:dyDescent="0.2">
      <c r="A2553" s="5">
        <v>2492</v>
      </c>
      <c r="B2553" s="138">
        <f>'Acct Summary 7-8'!C6</f>
        <v>929917</v>
      </c>
      <c r="C2553" s="2" t="s">
        <v>594</v>
      </c>
      <c r="D2553" s="2" t="str">
        <f t="shared" si="38"/>
        <v>Error?</v>
      </c>
    </row>
    <row r="2554" spans="1:4" x14ac:dyDescent="0.2">
      <c r="A2554" s="5">
        <v>2493</v>
      </c>
      <c r="B2554" s="138">
        <f>'Acct Summary 7-8'!C7</f>
        <v>708288</v>
      </c>
      <c r="C2554" s="2" t="s">
        <v>594</v>
      </c>
      <c r="D2554" s="2" t="str">
        <f t="shared" si="38"/>
        <v>Error?</v>
      </c>
    </row>
    <row r="2555" spans="1:4" x14ac:dyDescent="0.2">
      <c r="A2555" s="5">
        <v>2494</v>
      </c>
      <c r="B2555" s="138">
        <f>'Acct Summary 7-8'!C8</f>
        <v>1959051</v>
      </c>
      <c r="C2555" s="2" t="s">
        <v>594</v>
      </c>
      <c r="D2555" s="2" t="str">
        <f t="shared" si="38"/>
        <v>Error?</v>
      </c>
    </row>
    <row r="2556" spans="1:4" x14ac:dyDescent="0.2">
      <c r="A2556" s="5">
        <v>2495</v>
      </c>
      <c r="B2556" s="138">
        <f>'Acct Summary 7-8'!C12</f>
        <v>1030374</v>
      </c>
      <c r="C2556" s="2" t="s">
        <v>594</v>
      </c>
      <c r="D2556" s="2" t="str">
        <f t="shared" si="38"/>
        <v>Error?</v>
      </c>
    </row>
    <row r="2557" spans="1:4" x14ac:dyDescent="0.2">
      <c r="A2557" s="5">
        <v>2496</v>
      </c>
      <c r="B2557" s="138">
        <f>'Acct Summary 7-8'!C13</f>
        <v>887193</v>
      </c>
      <c r="C2557" s="2" t="s">
        <v>594</v>
      </c>
      <c r="D2557" s="2" t="str">
        <f t="shared" si="38"/>
        <v>Error?</v>
      </c>
    </row>
    <row r="2558" spans="1:4" x14ac:dyDescent="0.2">
      <c r="A2558" s="5">
        <v>2497</v>
      </c>
      <c r="B2558" s="138">
        <f>'Acct Summary 7-8'!C14</f>
        <v>42893</v>
      </c>
      <c r="C2558" s="2" t="s">
        <v>594</v>
      </c>
      <c r="D2558" s="2" t="str">
        <f t="shared" si="38"/>
        <v>Error?</v>
      </c>
    </row>
    <row r="2559" spans="1:4" x14ac:dyDescent="0.2">
      <c r="A2559" s="5">
        <v>2498</v>
      </c>
      <c r="B2559" s="138">
        <f>'Acct Summary 7-8'!C15</f>
        <v>20000</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1980460</v>
      </c>
      <c r="C2561" s="2" t="s">
        <v>594</v>
      </c>
      <c r="D2561" s="2" t="str">
        <f t="shared" si="39"/>
        <v>Error?</v>
      </c>
    </row>
    <row r="2562" spans="1:4" x14ac:dyDescent="0.2">
      <c r="A2562" s="5">
        <v>2501</v>
      </c>
      <c r="B2562" s="138">
        <f>'Acct Summary 7-8'!C20</f>
        <v>-21409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40208</v>
      </c>
      <c r="C2564" s="2" t="s">
        <v>594</v>
      </c>
      <c r="D2564" s="2" t="str">
        <f t="shared" si="39"/>
        <v>Error?</v>
      </c>
    </row>
    <row r="2565" spans="1:4" x14ac:dyDescent="0.2">
      <c r="A2565" s="10">
        <v>2504</v>
      </c>
      <c r="D2565" s="2" t="str">
        <f t="shared" si="39"/>
        <v>OK</v>
      </c>
    </row>
    <row r="2566" spans="1:4" x14ac:dyDescent="0.2">
      <c r="A2566" s="5">
        <v>2505</v>
      </c>
      <c r="B2566" s="138">
        <f>'Acct Summary 7-8'!D6</f>
        <v>216500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256708</v>
      </c>
      <c r="C2568" s="2" t="s">
        <v>594</v>
      </c>
      <c r="D2568" s="2" t="str">
        <f t="shared" si="39"/>
        <v>Error?</v>
      </c>
    </row>
    <row r="2569" spans="1:4" x14ac:dyDescent="0.2">
      <c r="A2569" s="5">
        <v>2508</v>
      </c>
      <c r="B2569" s="138">
        <f>'Acct Summary 7-8'!D13</f>
        <v>250086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250086</v>
      </c>
      <c r="C2573" s="2" t="s">
        <v>594</v>
      </c>
      <c r="D2573" s="2" t="str">
        <f t="shared" si="39"/>
        <v>Error?</v>
      </c>
    </row>
    <row r="2574" spans="1:4" x14ac:dyDescent="0.2">
      <c r="A2574" s="5">
        <v>2513</v>
      </c>
      <c r="B2574" s="138">
        <f>'Acct Summary 7-8'!D20</f>
        <v>6622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11238</v>
      </c>
      <c r="C2591" s="2" t="s">
        <v>594</v>
      </c>
      <c r="D2591" s="2" t="str">
        <f t="shared" si="39"/>
        <v>Error?</v>
      </c>
    </row>
    <row r="2592" spans="1:4" x14ac:dyDescent="0.2">
      <c r="A2592" s="10">
        <v>2531</v>
      </c>
      <c r="D2592" s="2" t="str">
        <f t="shared" si="39"/>
        <v>OK</v>
      </c>
    </row>
    <row r="2593" spans="1:4" x14ac:dyDescent="0.2">
      <c r="A2593" s="5">
        <v>2532</v>
      </c>
      <c r="B2593" s="138">
        <f>'Acct Summary 7-8'!F6</f>
        <v>99117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110355</v>
      </c>
      <c r="C2595" s="2" t="s">
        <v>594</v>
      </c>
      <c r="D2595" s="2" t="str">
        <f t="shared" si="39"/>
        <v>Error?</v>
      </c>
    </row>
    <row r="2596" spans="1:4" x14ac:dyDescent="0.2">
      <c r="A2596" s="5">
        <v>2535</v>
      </c>
      <c r="B2596" s="138">
        <f>'Acct Summary 7-8'!F13</f>
        <v>94537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94537</v>
      </c>
      <c r="C2600" s="2" t="s">
        <v>594</v>
      </c>
      <c r="D2600" s="2" t="str">
        <f t="shared" si="39"/>
        <v>Error?</v>
      </c>
    </row>
    <row r="2601" spans="1:4" x14ac:dyDescent="0.2">
      <c r="A2601" s="5">
        <v>2540</v>
      </c>
      <c r="B2601" s="138">
        <f>'Acct Summary 7-8'!F20</f>
        <v>15818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150860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150860</v>
      </c>
      <c r="C2606" s="2" t="s">
        <v>594</v>
      </c>
      <c r="D2606" s="2" t="str">
        <f t="shared" si="39"/>
        <v>Error?</v>
      </c>
    </row>
    <row r="2607" spans="1:4" x14ac:dyDescent="0.2">
      <c r="A2607" s="5">
        <v>2546</v>
      </c>
      <c r="B2607" s="138">
        <f>'Acct Summary 7-8'!G12</f>
        <v>7317</v>
      </c>
      <c r="C2607" s="2" t="s">
        <v>594</v>
      </c>
      <c r="D2607" s="2" t="str">
        <f t="shared" si="39"/>
        <v>Error?</v>
      </c>
    </row>
    <row r="2608" spans="1:4" x14ac:dyDescent="0.2">
      <c r="A2608" s="5">
        <v>2547</v>
      </c>
      <c r="B2608" s="138">
        <f>'Acct Summary 7-8'!G13</f>
        <v>61245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68562</v>
      </c>
      <c r="C2612" s="2" t="s">
        <v>594</v>
      </c>
      <c r="D2612" s="2" t="str">
        <f t="shared" si="39"/>
        <v>Error?</v>
      </c>
    </row>
    <row r="2613" spans="1:4" x14ac:dyDescent="0.2">
      <c r="A2613" s="5">
        <v>2552</v>
      </c>
      <c r="B2613" s="138">
        <f>'Acct Summary 7-8'!G20</f>
        <v>82298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90409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90409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51541</v>
      </c>
      <c r="C2634" s="2" t="s">
        <v>594</v>
      </c>
      <c r="D2634" s="2" t="str">
        <f t="shared" si="40"/>
        <v>Error?</v>
      </c>
    </row>
    <row r="2635" spans="1:4" x14ac:dyDescent="0.2">
      <c r="A2635" s="5">
        <v>2574</v>
      </c>
      <c r="B2635" s="138">
        <f>'Acct Summary 7-8'!E17</f>
        <v>51541</v>
      </c>
      <c r="C2635" s="2" t="s">
        <v>594</v>
      </c>
      <c r="D2635" s="2" t="str">
        <f t="shared" si="40"/>
        <v>Error?</v>
      </c>
    </row>
    <row r="2636" spans="1:4" x14ac:dyDescent="0.2">
      <c r="A2636" s="5">
        <v>2575</v>
      </c>
      <c r="B2636" s="138">
        <f>'Acct Summary 7-8'!E20</f>
        <v>38868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14305</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3996</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14463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14463</v>
      </c>
      <c r="D2912" s="2" t="str">
        <f t="shared" si="44"/>
        <v>Error?</v>
      </c>
    </row>
    <row r="2913" spans="1:4" x14ac:dyDescent="0.2">
      <c r="A2913" s="5">
        <v>2852</v>
      </c>
      <c r="B2913" s="138">
        <f>'Assets-Liab 5-6'!I41</f>
        <v>14463</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68195</v>
      </c>
      <c r="D3055" s="2" t="str">
        <f t="shared" si="46"/>
        <v>Error?</v>
      </c>
    </row>
    <row r="3056" spans="1:4" x14ac:dyDescent="0.2">
      <c r="A3056" s="5">
        <v>2995</v>
      </c>
      <c r="B3056" s="138">
        <f>'Expenditures 15-22'!D10</f>
        <v>57693</v>
      </c>
      <c r="D3056" s="2" t="str">
        <f t="shared" si="46"/>
        <v>Error?</v>
      </c>
    </row>
    <row r="3057" spans="1:4" x14ac:dyDescent="0.2">
      <c r="A3057" s="5">
        <v>2996</v>
      </c>
      <c r="B3057" s="138">
        <f>'Expenditures 15-22'!E10</f>
        <v>4139</v>
      </c>
      <c r="D3057" s="2" t="str">
        <f t="shared" si="46"/>
        <v>Error?</v>
      </c>
    </row>
    <row r="3058" spans="1:4" x14ac:dyDescent="0.2">
      <c r="A3058" s="5">
        <v>2997</v>
      </c>
      <c r="B3058" s="138">
        <f>'Expenditures 15-22'!F10</f>
        <v>18280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148307</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2809</v>
      </c>
      <c r="C3225" s="2" t="s">
        <v>594</v>
      </c>
      <c r="D3225" s="2" t="str">
        <f t="shared" si="49"/>
        <v>Error?</v>
      </c>
    </row>
    <row r="3226" spans="1:4" x14ac:dyDescent="0.2">
      <c r="A3226" s="5">
        <v>3165</v>
      </c>
      <c r="B3226" s="138">
        <f>'Acct Summary 7-8'!I8</f>
        <v>2809</v>
      </c>
      <c r="C3226" s="2" t="s">
        <v>594</v>
      </c>
      <c r="D3226" s="2" t="str">
        <f t="shared" si="49"/>
        <v>Error?</v>
      </c>
    </row>
    <row r="3227" spans="1:4" x14ac:dyDescent="0.2">
      <c r="A3227" s="5">
        <v>3166</v>
      </c>
      <c r="B3227" s="138">
        <f>'Acct Summary 7-8'!I20</f>
        <v>2809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649190</v>
      </c>
      <c r="C3229" s="2" t="s">
        <v>594</v>
      </c>
      <c r="D3229" s="2" t="str">
        <f t="shared" si="49"/>
        <v>Error?</v>
      </c>
    </row>
    <row r="3230" spans="1:4" x14ac:dyDescent="0.2">
      <c r="A3230" s="5">
        <v>3169</v>
      </c>
      <c r="B3230" s="138">
        <f>'Acct Summary 7-8'!C75</f>
        <v>48303</v>
      </c>
      <c r="D3230" s="2" t="str">
        <f t="shared" si="49"/>
        <v>Error?</v>
      </c>
    </row>
    <row r="3231" spans="1:4" x14ac:dyDescent="0.2">
      <c r="A3231" s="5">
        <v>3170</v>
      </c>
      <c r="B3231" s="138">
        <f>'Acct Summary 7-8'!C76</f>
        <v>48303</v>
      </c>
      <c r="C3231" s="2" t="s">
        <v>594</v>
      </c>
      <c r="D3231" s="2" t="str">
        <f t="shared" si="49"/>
        <v>Error?</v>
      </c>
    </row>
    <row r="3232" spans="1:4" x14ac:dyDescent="0.2">
      <c r="A3232" s="5">
        <v>3171</v>
      </c>
      <c r="B3232" s="138">
        <f>'Acct Summary 7-8'!C77</f>
        <v>600887</v>
      </c>
      <c r="C3232" s="2" t="s">
        <v>594</v>
      </c>
      <c r="D3232" s="2" t="str">
        <f t="shared" si="49"/>
        <v>Error?</v>
      </c>
    </row>
    <row r="3233" spans="1:4" x14ac:dyDescent="0.2">
      <c r="A3233" s="5">
        <v>3172</v>
      </c>
      <c r="B3233" s="138">
        <f>'Acct Summary 7-8'!C78</f>
        <v>579478</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6622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15818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82298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38868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125000</v>
      </c>
      <c r="C3318" s="2" t="s">
        <v>594</v>
      </c>
      <c r="D3318" s="2" t="str">
        <f t="shared" si="50"/>
        <v>Error?</v>
      </c>
    </row>
    <row r="3319" spans="1:4" x14ac:dyDescent="0.2">
      <c r="A3319" s="5">
        <v>3258</v>
      </c>
      <c r="B3319" s="138">
        <f>'Acct Summary 7-8'!I77</f>
        <v>-125000</v>
      </c>
      <c r="C3319" s="2" t="s">
        <v>594</v>
      </c>
      <c r="D3319" s="2" t="str">
        <f t="shared" si="50"/>
        <v>Error?</v>
      </c>
    </row>
    <row r="3320" spans="1:4" x14ac:dyDescent="0.2">
      <c r="A3320" s="5">
        <v>3259</v>
      </c>
      <c r="B3320" s="138">
        <f>'Acct Summary 7-8'!I78</f>
        <v>-122191</v>
      </c>
      <c r="C3320" s="2" t="s">
        <v>594</v>
      </c>
      <c r="D3320" s="2" t="str">
        <f t="shared" si="50"/>
        <v>Error?</v>
      </c>
    </row>
    <row r="3321" spans="1:4" x14ac:dyDescent="0.2">
      <c r="A3321" s="5">
        <v>3260</v>
      </c>
      <c r="B3321" s="138">
        <f>'Acct Summary 7-8'!I79</f>
        <v>136654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14463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5917</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5917</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708249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8191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72968</v>
      </c>
      <c r="D3417" s="2" t="str">
        <f t="shared" si="52"/>
        <v>Error?</v>
      </c>
    </row>
    <row r="3418" spans="1:4" x14ac:dyDescent="0.2">
      <c r="A3418" s="10">
        <v>3357</v>
      </c>
      <c r="D3418" s="2" t="str">
        <f t="shared" si="52"/>
        <v>OK</v>
      </c>
    </row>
    <row r="3419" spans="1:4" x14ac:dyDescent="0.2">
      <c r="A3419" s="5">
        <v>3358</v>
      </c>
      <c r="B3419" s="138">
        <f>'Assets-Liab 5-6'!F4</f>
        <v>16130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116928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14463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59273</v>
      </c>
      <c r="C3446" s="2" t="s">
        <v>594</v>
      </c>
      <c r="D3446" s="2" t="str">
        <f t="shared" si="52"/>
        <v>Error?</v>
      </c>
    </row>
    <row r="3447" spans="1:4" x14ac:dyDescent="0.2">
      <c r="A3447" s="5">
        <v>3386</v>
      </c>
      <c r="B3447" s="138">
        <f>'Tax Sched 23'!D16</f>
        <v>43876</v>
      </c>
      <c r="C3447" s="2" t="s">
        <v>594</v>
      </c>
      <c r="D3447" s="2" t="str">
        <f t="shared" si="52"/>
        <v>Error?</v>
      </c>
    </row>
    <row r="3448" spans="1:4" x14ac:dyDescent="0.2">
      <c r="A3448" s="5">
        <v>3387</v>
      </c>
      <c r="B3448" s="138">
        <f>'Tax Sched 23'!C16</f>
        <v>15397</v>
      </c>
      <c r="D3448" s="2" t="str">
        <f t="shared" si="52"/>
        <v>Error?</v>
      </c>
    </row>
    <row r="3449" spans="1:4" x14ac:dyDescent="0.2">
      <c r="A3449" s="5">
        <v>3388</v>
      </c>
      <c r="B3449" s="138">
        <f>'Tax Sched 23'!F16</f>
        <v>42827</v>
      </c>
      <c r="C3449" s="2" t="s">
        <v>594</v>
      </c>
      <c r="D3449" s="2" t="str">
        <f t="shared" si="52"/>
        <v>Error?</v>
      </c>
    </row>
    <row r="3450" spans="1:4" x14ac:dyDescent="0.2">
      <c r="A3450" s="5">
        <v>3389</v>
      </c>
      <c r="B3450" s="138">
        <f>'Tax Sched 23'!E16</f>
        <v>58224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581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581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581</v>
      </c>
      <c r="D3567" s="2" t="str">
        <f t="shared" si="54"/>
        <v>Error?</v>
      </c>
    </row>
    <row r="3568" spans="1:4" x14ac:dyDescent="0.2">
      <c r="A3568" s="5">
        <v>3507</v>
      </c>
      <c r="B3568" s="138">
        <f>'Assets-Liab 5-6'!K41</f>
        <v>581</v>
      </c>
      <c r="C3568" s="2" t="s">
        <v>594</v>
      </c>
      <c r="D3568" s="2" t="str">
        <f t="shared" si="54"/>
        <v>Error?</v>
      </c>
    </row>
    <row r="3569" spans="1:4" x14ac:dyDescent="0.2">
      <c r="A3569" s="5">
        <v>3508</v>
      </c>
      <c r="B3569" s="138">
        <f>'Acct Summary 7-8'!K4</f>
        <v>2809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2809</v>
      </c>
      <c r="C3571" s="2" t="s">
        <v>594</v>
      </c>
      <c r="D3571" s="2" t="str">
        <f t="shared" si="54"/>
        <v>Error?</v>
      </c>
    </row>
    <row r="3572" spans="1:4" x14ac:dyDescent="0.2">
      <c r="A3572" s="5">
        <v>3511</v>
      </c>
      <c r="B3572" s="138">
        <f>'Acct Summary 7-8'!K13</f>
        <v>47616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47616</v>
      </c>
      <c r="C3575" s="2" t="s">
        <v>594</v>
      </c>
      <c r="D3575" s="2" t="str">
        <f t="shared" si="54"/>
        <v>Error?</v>
      </c>
    </row>
    <row r="3576" spans="1:4" x14ac:dyDescent="0.2">
      <c r="A3576" s="5">
        <v>3515</v>
      </c>
      <c r="B3576" s="138">
        <f>'Acct Summary 7-8'!K20</f>
        <v>-44807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-44807</v>
      </c>
      <c r="C3588" s="2" t="s">
        <v>594</v>
      </c>
      <c r="D3588" s="2" t="str">
        <f t="shared" si="55"/>
        <v>Error?</v>
      </c>
    </row>
    <row r="3589" spans="1:4" x14ac:dyDescent="0.2">
      <c r="A3589" s="5">
        <v>3528</v>
      </c>
      <c r="B3589" s="138">
        <f>'Acct Summary 7-8'!K79</f>
        <v>45388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581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47616</v>
      </c>
      <c r="D3632" s="2" t="str">
        <f t="shared" si="55"/>
        <v>Error?</v>
      </c>
    </row>
    <row r="3633" spans="1:4" x14ac:dyDescent="0.2">
      <c r="A3633" s="5">
        <v>3572</v>
      </c>
      <c r="B3633" s="138">
        <f>'Expenditures 15-22'!E350</f>
        <v>47616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47616</v>
      </c>
      <c r="C3635" s="2" t="s">
        <v>594</v>
      </c>
      <c r="D3635" s="2" t="str">
        <f t="shared" si="55"/>
        <v>Error?</v>
      </c>
    </row>
    <row r="3636" spans="1:4" x14ac:dyDescent="0.2">
      <c r="A3636" s="5">
        <v>3575</v>
      </c>
      <c r="B3636" s="138">
        <f>'Expenditures 15-22'!E367</f>
        <v>47616</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47616</v>
      </c>
      <c r="C3669" s="2" t="s">
        <v>594</v>
      </c>
      <c r="D3669" s="2" t="str">
        <f t="shared" si="56"/>
        <v>Error?</v>
      </c>
    </row>
    <row r="3670" spans="1:4" x14ac:dyDescent="0.2">
      <c r="A3670" s="5">
        <v>3609</v>
      </c>
      <c r="B3670" s="138">
        <f>'Expenditures 15-22'!K350</f>
        <v>47616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47616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47616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-44807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2494</v>
      </c>
      <c r="C3725" s="2" t="s">
        <v>594</v>
      </c>
      <c r="D3725" s="2" t="str">
        <f t="shared" si="57"/>
        <v>Error?</v>
      </c>
    </row>
    <row r="3726" spans="1:4" x14ac:dyDescent="0.2">
      <c r="A3726" s="5">
        <v>3665</v>
      </c>
      <c r="B3726" s="138">
        <f>'Tax Sched 23'!D13</f>
        <v>2229</v>
      </c>
      <c r="C3726" s="2" t="s">
        <v>594</v>
      </c>
      <c r="D3726" s="2" t="str">
        <f t="shared" si="57"/>
        <v>Error?</v>
      </c>
    </row>
    <row r="3727" spans="1:4" x14ac:dyDescent="0.2">
      <c r="A3727" s="5">
        <v>3666</v>
      </c>
      <c r="B3727" s="138">
        <f>'Tax Sched 23'!C13</f>
        <v>265</v>
      </c>
      <c r="D3727" s="2" t="str">
        <f t="shared" si="57"/>
        <v>Error?</v>
      </c>
    </row>
    <row r="3728" spans="1:4" x14ac:dyDescent="0.2">
      <c r="A3728" s="5">
        <v>3667</v>
      </c>
      <c r="B3728" s="138">
        <f>'Tax Sched 23'!F13</f>
        <v>737</v>
      </c>
      <c r="C3728" s="2" t="s">
        <v>594</v>
      </c>
      <c r="D3728" s="2" t="str">
        <f t="shared" si="57"/>
        <v>Error?</v>
      </c>
    </row>
    <row r="3729" spans="1:4" x14ac:dyDescent="0.2">
      <c r="A3729" s="5">
        <v>3668</v>
      </c>
      <c r="B3729" s="138">
        <f>'Tax Sched 23'!E13</f>
        <v>1002</v>
      </c>
      <c r="D3729" s="2" t="str">
        <f t="shared" si="57"/>
        <v>Error?</v>
      </c>
    </row>
    <row r="3730" spans="1:4" x14ac:dyDescent="0.2">
      <c r="A3730" s="5">
        <v>3669</v>
      </c>
      <c r="B3730" s="138">
        <f>'ICR Computation 30'!E10</f>
        <v>107138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551474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2510525</v>
      </c>
      <c r="C4122" s="2" t="s">
        <v>594</v>
      </c>
      <c r="D4122" s="2" t="str">
        <f t="shared" si="63"/>
        <v>Error?</v>
      </c>
    </row>
    <row r="4123" spans="1:4" x14ac:dyDescent="0.2">
      <c r="A4123" s="5">
        <v>4062</v>
      </c>
      <c r="B4123" s="138">
        <f>'Acct Summary 7-8'!D10</f>
        <v>256708</v>
      </c>
      <c r="C4123" s="2" t="s">
        <v>594</v>
      </c>
      <c r="D4123" s="2" t="str">
        <f t="shared" si="63"/>
        <v>Error?</v>
      </c>
    </row>
    <row r="4124" spans="1:4" x14ac:dyDescent="0.2">
      <c r="A4124" s="5">
        <v>4063</v>
      </c>
      <c r="B4124" s="138">
        <f>'Acct Summary 7-8'!E10</f>
        <v>90409</v>
      </c>
      <c r="C4124" s="2" t="s">
        <v>594</v>
      </c>
      <c r="D4124" s="2" t="str">
        <f t="shared" si="63"/>
        <v>Error?</v>
      </c>
    </row>
    <row r="4125" spans="1:4" x14ac:dyDescent="0.2">
      <c r="A4125" s="5">
        <v>4064</v>
      </c>
      <c r="B4125" s="138">
        <f>'Acct Summary 7-8'!F10</f>
        <v>110355</v>
      </c>
      <c r="C4125" s="2" t="s">
        <v>594</v>
      </c>
      <c r="D4125" s="2" t="str">
        <f t="shared" si="63"/>
        <v>Error?</v>
      </c>
    </row>
    <row r="4126" spans="1:4" x14ac:dyDescent="0.2">
      <c r="A4126" s="5">
        <v>4065</v>
      </c>
      <c r="B4126" s="138">
        <f>'Acct Summary 7-8'!G10</f>
        <v>150860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2809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2809</v>
      </c>
      <c r="C4130" s="2" t="s">
        <v>594</v>
      </c>
      <c r="D4130" s="2" t="str">
        <f t="shared" si="63"/>
        <v>Error?</v>
      </c>
    </row>
    <row r="4131" spans="1:4" x14ac:dyDescent="0.2">
      <c r="A4131" s="5">
        <v>4070</v>
      </c>
      <c r="B4131" s="138">
        <f>'Acct Summary 7-8'!C18</f>
        <v>551474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2531934</v>
      </c>
      <c r="C4136" s="2" t="s">
        <v>594</v>
      </c>
      <c r="D4136" s="2" t="str">
        <f t="shared" si="63"/>
        <v>Error?</v>
      </c>
    </row>
    <row r="4137" spans="1:4" x14ac:dyDescent="0.2">
      <c r="A4137" s="5">
        <v>4076</v>
      </c>
      <c r="B4137" s="138">
        <f>'Acct Summary 7-8'!D19</f>
        <v>250086</v>
      </c>
      <c r="C4137" s="2" t="s">
        <v>594</v>
      </c>
      <c r="D4137" s="2" t="str">
        <f t="shared" si="63"/>
        <v>Error?</v>
      </c>
    </row>
    <row r="4138" spans="1:4" x14ac:dyDescent="0.2">
      <c r="A4138" s="5">
        <v>4077</v>
      </c>
      <c r="B4138" s="138">
        <f>'Acct Summary 7-8'!E19</f>
        <v>51541</v>
      </c>
      <c r="C4138" s="2" t="s">
        <v>594</v>
      </c>
      <c r="D4138" s="2" t="str">
        <f t="shared" si="63"/>
        <v>Error?</v>
      </c>
    </row>
    <row r="4139" spans="1:4" x14ac:dyDescent="0.2">
      <c r="A4139" s="5">
        <v>4078</v>
      </c>
      <c r="B4139" s="138">
        <f>'Acct Summary 7-8'!F19</f>
        <v>94537</v>
      </c>
      <c r="C4139" s="2" t="s">
        <v>594</v>
      </c>
      <c r="D4139" s="2" t="str">
        <f t="shared" si="63"/>
        <v>Error?</v>
      </c>
    </row>
    <row r="4140" spans="1:4" x14ac:dyDescent="0.2">
      <c r="A4140" s="5">
        <v>4079</v>
      </c>
      <c r="B4140" s="138">
        <f>'Acct Summary 7-8'!G19</f>
        <v>68562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47616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851880</v>
      </c>
      <c r="C4171" s="2" t="s">
        <v>594</v>
      </c>
      <c r="D4171" s="2" t="str">
        <f t="shared" si="64"/>
        <v>Error?</v>
      </c>
    </row>
    <row r="4172" spans="1:4" x14ac:dyDescent="0.2">
      <c r="A4172" s="5">
        <v>4111</v>
      </c>
      <c r="B4172" s="138">
        <f>'Short-Term Long-Term Debt 24'!J49</f>
        <v>778912</v>
      </c>
      <c r="C4172" s="2" t="s">
        <v>594</v>
      </c>
      <c r="D4172" s="2" t="str">
        <f t="shared" si="64"/>
        <v>Error?</v>
      </c>
    </row>
    <row r="4173" spans="1:4" x14ac:dyDescent="0.2">
      <c r="A4173" s="5">
        <v>4112</v>
      </c>
      <c r="B4173" s="138">
        <f>'Short-Term Long-Term Debt 24'!H49</f>
        <v>33376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2847</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2700</v>
      </c>
      <c r="C4268" s="2" t="s">
        <v>594</v>
      </c>
      <c r="D4268" s="2" t="str">
        <f t="shared" si="65"/>
        <v>Error?</v>
      </c>
    </row>
    <row r="4269" spans="1:5" x14ac:dyDescent="0.2">
      <c r="A4269" s="12">
        <v>4208</v>
      </c>
      <c r="B4269" s="138">
        <f>'FP Info 3'!J16</f>
        <v>748740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359667</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18500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64394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4392593</v>
      </c>
      <c r="D4995" s="2" t="str">
        <f t="shared" si="77"/>
        <v>Error?</v>
      </c>
    </row>
    <row r="4996" spans="1:4" x14ac:dyDescent="0.2">
      <c r="A4996" s="12">
        <v>4935</v>
      </c>
      <c r="B4996" s="138">
        <f>'FP Info 3'!H31</f>
        <v>606177.83400000003</v>
      </c>
      <c r="D4996" s="2" t="str">
        <f t="shared" si="77"/>
        <v>Error?</v>
      </c>
    </row>
    <row r="4997" spans="1:4" x14ac:dyDescent="0.2">
      <c r="A4997" s="12">
        <v>4936</v>
      </c>
      <c r="B4997" s="138">
        <f>'FP Info 3'!H37</f>
        <v>851880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2494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112374</v>
      </c>
      <c r="D5061" s="2" t="str">
        <f t="shared" si="78"/>
        <v>Error?</v>
      </c>
    </row>
    <row r="5062" spans="1:4" x14ac:dyDescent="0.2">
      <c r="A5062" s="10">
        <v>5001</v>
      </c>
      <c r="D5062" s="2" t="str">
        <f t="shared" si="78"/>
        <v>OK</v>
      </c>
    </row>
    <row r="5063" spans="1:4" x14ac:dyDescent="0.2">
      <c r="A5063" s="5">
        <v>5002</v>
      </c>
      <c r="B5063" s="138">
        <f>'Revenues 9-14'!C7</f>
        <v>2248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117116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190955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190955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668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668</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621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621</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9333</v>
      </c>
      <c r="D5101" s="2" t="str">
        <f t="shared" si="78"/>
        <v>Error?</v>
      </c>
    </row>
    <row r="5102" spans="1:4" x14ac:dyDescent="0.2">
      <c r="A5102" s="5">
        <v>5041</v>
      </c>
      <c r="B5102" s="138">
        <f>'Revenues 9-14'!C82</f>
        <v>9333</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1841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298</v>
      </c>
      <c r="D5119" s="2" t="str">
        <f t="shared" ref="D5119:D5182" si="79">IF(ISBLANK(B5119),"OK",IF(A5119-B5119=0,"OK","Error?"))</f>
        <v>Error?</v>
      </c>
    </row>
    <row r="5120" spans="1:4" x14ac:dyDescent="0.2">
      <c r="A5120" s="5">
        <v>5059</v>
      </c>
      <c r="B5120" s="138">
        <f>'Revenues 9-14'!C108</f>
        <v>2153</v>
      </c>
      <c r="C5120" s="2" t="s">
        <v>594</v>
      </c>
      <c r="D5120" s="2" t="str">
        <f t="shared" si="79"/>
        <v>Error?</v>
      </c>
    </row>
    <row r="5121" spans="1:4" x14ac:dyDescent="0.2">
      <c r="A5121" s="5">
        <v>5060</v>
      </c>
      <c r="B5121" s="138">
        <f>'Revenues 9-14'!C109</f>
        <v>320846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634118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634118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10193</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10193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1878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1500</v>
      </c>
      <c r="D5167" s="2" t="str">
        <f t="shared" si="79"/>
        <v>Error?</v>
      </c>
    </row>
    <row r="5168" spans="1:4" x14ac:dyDescent="0.2">
      <c r="A5168" s="5">
        <v>5107</v>
      </c>
      <c r="B5168" s="138">
        <f>'Revenues 9-14'!C147</f>
        <v>1959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101568</v>
      </c>
      <c r="D5194" s="2" t="str">
        <f t="shared" si="80"/>
        <v>Error?</v>
      </c>
    </row>
    <row r="5195" spans="1:4" x14ac:dyDescent="0.2">
      <c r="A5195" s="10">
        <v>5134</v>
      </c>
      <c r="D5195" s="2" t="str">
        <f t="shared" si="80"/>
        <v>OK</v>
      </c>
    </row>
    <row r="5196" spans="1:4" x14ac:dyDescent="0.2">
      <c r="A5196" s="5">
        <v>5135</v>
      </c>
      <c r="B5196" s="138">
        <f>'Revenues 9-14'!C158</f>
        <v>114307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295799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929917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63406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29032</v>
      </c>
      <c r="D5241" s="2" t="str">
        <f t="shared" si="80"/>
        <v>Error?</v>
      </c>
    </row>
    <row r="5242" spans="1:4" x14ac:dyDescent="0.2">
      <c r="A5242" s="5">
        <v>5181</v>
      </c>
      <c r="B5242" s="138">
        <f>'Revenues 9-14'!C197</f>
        <v>9745</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107138</v>
      </c>
      <c r="C5246" s="2" t="s">
        <v>594</v>
      </c>
      <c r="D5246" s="2" t="str">
        <f t="shared" si="80"/>
        <v>Error?</v>
      </c>
    </row>
    <row r="5247" spans="1:4" x14ac:dyDescent="0.2">
      <c r="A5247" s="5">
        <v>5186</v>
      </c>
      <c r="B5247" s="138">
        <f>'Revenues 9-14'!C203</f>
        <v>220136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579803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708288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708288</v>
      </c>
      <c r="C5326" s="2" t="s">
        <v>594</v>
      </c>
      <c r="D5326" s="2" t="str">
        <f t="shared" si="82"/>
        <v>Error?</v>
      </c>
    </row>
    <row r="5327" spans="1:4" x14ac:dyDescent="0.2">
      <c r="A5327" s="5">
        <v>5266</v>
      </c>
      <c r="B5327" s="138">
        <f>'Revenues 9-14'!C275</f>
        <v>1959051</v>
      </c>
      <c r="C5327" s="2" t="s">
        <v>594</v>
      </c>
      <c r="D5327" s="2" t="str">
        <f t="shared" si="82"/>
        <v>Error?</v>
      </c>
    </row>
    <row r="5328" spans="1:4" x14ac:dyDescent="0.2">
      <c r="A5328" s="5">
        <v>5267</v>
      </c>
      <c r="B5328" s="138">
        <f>'Revenues 9-14'!D5</f>
        <v>28094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28094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10200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1914</v>
      </c>
      <c r="D5354" s="2" t="str">
        <f t="shared" si="82"/>
        <v>Error?</v>
      </c>
    </row>
    <row r="5355" spans="1:4" x14ac:dyDescent="0.2">
      <c r="A5355" s="5">
        <v>5294</v>
      </c>
      <c r="B5355" s="138">
        <f>'Revenues 9-14'!D108</f>
        <v>12114</v>
      </c>
      <c r="C5355" s="2" t="s">
        <v>594</v>
      </c>
      <c r="D5355" s="2" t="str">
        <f t="shared" si="82"/>
        <v>Error?</v>
      </c>
    </row>
    <row r="5356" spans="1:4" x14ac:dyDescent="0.2">
      <c r="A5356" s="5">
        <v>5295</v>
      </c>
      <c r="B5356" s="138">
        <f>'Revenues 9-14'!D109</f>
        <v>40208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216500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216500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216500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256708</v>
      </c>
      <c r="C5508" s="2" t="s">
        <v>594</v>
      </c>
      <c r="D5508" s="2" t="str">
        <f t="shared" si="85"/>
        <v>Error?</v>
      </c>
    </row>
    <row r="5509" spans="1:4" x14ac:dyDescent="0.2">
      <c r="A5509" s="5">
        <v>5448</v>
      </c>
      <c r="B5509" s="138">
        <f>'Revenues 9-14'!E5</f>
        <v>90409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90409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90409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90409</v>
      </c>
      <c r="C5552" s="2" t="s">
        <v>594</v>
      </c>
      <c r="D5552" s="2" t="str">
        <f t="shared" si="85"/>
        <v>Error?</v>
      </c>
    </row>
    <row r="5553" spans="1:4" x14ac:dyDescent="0.2">
      <c r="A5553" s="5">
        <v>5492</v>
      </c>
      <c r="B5553" s="138">
        <f>'Revenues 9-14'!F5</f>
        <v>11238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11238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11238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32500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32500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534</v>
      </c>
      <c r="D5615" s="2" t="str">
        <f t="shared" si="86"/>
        <v>Error?</v>
      </c>
    </row>
    <row r="5616" spans="1:4" x14ac:dyDescent="0.2">
      <c r="A5616" s="10">
        <v>5555</v>
      </c>
      <c r="D5616" s="2" t="str">
        <f t="shared" si="86"/>
        <v>OK</v>
      </c>
    </row>
    <row r="5617" spans="1:4" x14ac:dyDescent="0.2">
      <c r="A5617" s="5">
        <v>5556</v>
      </c>
      <c r="B5617" s="138">
        <f>'Revenues 9-14'!F152</f>
        <v>66083</v>
      </c>
      <c r="D5617" s="2" t="str">
        <f t="shared" si="86"/>
        <v>Error?</v>
      </c>
    </row>
    <row r="5618" spans="1:4" x14ac:dyDescent="0.2">
      <c r="A5618" s="5">
        <v>5557</v>
      </c>
      <c r="B5618" s="138">
        <f>'Revenues 9-14'!F154</f>
        <v>66617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66617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99117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110355</v>
      </c>
      <c r="C5720" s="2" t="s">
        <v>594</v>
      </c>
      <c r="D5720" s="2" t="str">
        <f t="shared" si="88"/>
        <v>Error?</v>
      </c>
    </row>
    <row r="5721" spans="1:4" x14ac:dyDescent="0.2">
      <c r="A5721" s="5">
        <v>5660</v>
      </c>
      <c r="B5721" s="138">
        <f>'Revenues 9-14'!G5</f>
        <v>81787</v>
      </c>
      <c r="D5721" s="2" t="str">
        <f t="shared" si="88"/>
        <v>Error?</v>
      </c>
    </row>
    <row r="5722" spans="1:4" x14ac:dyDescent="0.2">
      <c r="A5722" s="5">
        <v>5661</v>
      </c>
      <c r="B5722" s="138">
        <f>'Revenues 9-14'!G7</f>
        <v>0</v>
      </c>
      <c r="D5722" s="2" t="str">
        <f t="shared" si="88"/>
        <v>Error?</v>
      </c>
    </row>
    <row r="5723" spans="1:4" x14ac:dyDescent="0.2">
      <c r="A5723" s="5">
        <v>5662</v>
      </c>
      <c r="B5723" s="138">
        <f>'Revenues 9-14'!G8</f>
        <v>59273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141060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9800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9800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150860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2809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2809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2809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2809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2809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2809</v>
      </c>
      <c r="C6023" s="2" t="s">
        <v>594</v>
      </c>
      <c r="D6023" s="2" t="str">
        <f t="shared" si="93"/>
        <v>Error?</v>
      </c>
    </row>
    <row r="6024" spans="1:5" x14ac:dyDescent="0.2">
      <c r="A6024" s="5">
        <v>5963</v>
      </c>
      <c r="B6024" s="138">
        <f>'Revenues 9-14'!G109</f>
        <v>150860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2809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2809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7318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111.66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1707</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50211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50211</v>
      </c>
      <c r="D6215" s="2" t="str">
        <f t="shared" si="96"/>
        <v>Error?</v>
      </c>
      <c r="E6215" s="2" t="s">
        <v>199</v>
      </c>
    </row>
    <row r="6216" spans="1:5" x14ac:dyDescent="0.2">
      <c r="A6216">
        <v>6155</v>
      </c>
      <c r="B6216" s="138">
        <f>'Assets-Liab 5-6'!J41</f>
        <v>50211</v>
      </c>
      <c r="D6216" s="2" t="str">
        <f t="shared" si="96"/>
        <v>Error?</v>
      </c>
      <c r="E6216" s="2" t="s">
        <v>199</v>
      </c>
    </row>
    <row r="6217" spans="1:5" x14ac:dyDescent="0.2">
      <c r="A6217">
        <v>6156</v>
      </c>
      <c r="B6217" s="138">
        <f>'Assets-Liab 5-6'!J4</f>
        <v>50211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116430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116430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116430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89598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89598</v>
      </c>
      <c r="D6229" s="2" t="str">
        <f t="shared" si="96"/>
        <v>Error?</v>
      </c>
      <c r="E6229" s="2" t="s">
        <v>199</v>
      </c>
    </row>
    <row r="6230" spans="1:5" x14ac:dyDescent="0.2">
      <c r="A6230">
        <v>6169</v>
      </c>
      <c r="B6230" s="138">
        <f>'Acct Summary 7-8'!J20</f>
        <v>26832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26832</v>
      </c>
      <c r="D6263" s="2" t="str">
        <f t="shared" si="96"/>
        <v>Error?</v>
      </c>
      <c r="E6263" s="2" t="s">
        <v>199</v>
      </c>
    </row>
    <row r="6264" spans="1:5" x14ac:dyDescent="0.2">
      <c r="A6264">
        <v>6203</v>
      </c>
      <c r="B6264" s="138">
        <f>'Acct Summary 7-8'!J79</f>
        <v>23379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50211</v>
      </c>
      <c r="D6266" s="2" t="str">
        <f t="shared" si="96"/>
        <v>Error?</v>
      </c>
      <c r="E6266" s="2" t="s">
        <v>199</v>
      </c>
    </row>
    <row r="6267" spans="1:5" x14ac:dyDescent="0.2">
      <c r="A6267">
        <v>6206</v>
      </c>
      <c r="B6267" s="138">
        <f>'Acct Summary 7-8'!C82</f>
        <v>579478</v>
      </c>
      <c r="D6267" s="2" t="str">
        <f t="shared" si="96"/>
        <v>Error?</v>
      </c>
      <c r="E6267" s="2" t="s">
        <v>199</v>
      </c>
    </row>
    <row r="6268" spans="1:5" x14ac:dyDescent="0.2">
      <c r="A6268">
        <v>6207</v>
      </c>
      <c r="B6268" s="138">
        <f>'Acct Summary 7-8'!D82</f>
        <v>6622</v>
      </c>
      <c r="D6268" s="2" t="str">
        <f t="shared" si="96"/>
        <v>Error?</v>
      </c>
      <c r="E6268" s="2" t="s">
        <v>199</v>
      </c>
    </row>
    <row r="6269" spans="1:5" x14ac:dyDescent="0.2">
      <c r="A6269">
        <v>6208</v>
      </c>
      <c r="B6269" s="138">
        <f>'Acct Summary 7-8'!E82</f>
        <v>38868</v>
      </c>
      <c r="D6269" s="2" t="str">
        <f t="shared" si="96"/>
        <v>Error?</v>
      </c>
      <c r="E6269" s="2" t="s">
        <v>199</v>
      </c>
    </row>
    <row r="6270" spans="1:5" x14ac:dyDescent="0.2">
      <c r="A6270">
        <v>6209</v>
      </c>
      <c r="B6270" s="138">
        <f>'Acct Summary 7-8'!F82</f>
        <v>15818</v>
      </c>
      <c r="D6270" s="2" t="str">
        <f t="shared" si="96"/>
        <v>Error?</v>
      </c>
      <c r="E6270" s="2" t="s">
        <v>199</v>
      </c>
    </row>
    <row r="6271" spans="1:5" x14ac:dyDescent="0.2">
      <c r="A6271">
        <v>6210</v>
      </c>
      <c r="B6271" s="138">
        <f>'Acct Summary 7-8'!G82</f>
        <v>82298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-122191</v>
      </c>
      <c r="D6273" s="2" t="str">
        <f t="shared" si="97"/>
        <v>Error?</v>
      </c>
      <c r="E6273" s="2" t="s">
        <v>199</v>
      </c>
    </row>
    <row r="6274" spans="1:5" x14ac:dyDescent="0.2">
      <c r="A6274">
        <v>6213</v>
      </c>
      <c r="B6274" s="138">
        <f>'Acct Summary 7-8'!J82</f>
        <v>26832</v>
      </c>
      <c r="D6274" s="2" t="str">
        <f t="shared" si="97"/>
        <v>Error?</v>
      </c>
      <c r="E6274" s="2" t="s">
        <v>199</v>
      </c>
    </row>
    <row r="6275" spans="1:5" x14ac:dyDescent="0.2">
      <c r="A6275">
        <v>6214</v>
      </c>
      <c r="B6275" s="138">
        <f>'Acct Summary 7-8'!K82</f>
        <v>-44807</v>
      </c>
      <c r="D6275" s="2" t="str">
        <f t="shared" si="97"/>
        <v>Error?</v>
      </c>
      <c r="E6275" s="2" t="s">
        <v>199</v>
      </c>
    </row>
    <row r="6276" spans="1:5" x14ac:dyDescent="0.2">
      <c r="A6276">
        <v>6215</v>
      </c>
      <c r="B6276" s="138">
        <f>'Acct Summary 7-8'!C83</f>
        <v>0.81621677963141381</v>
      </c>
      <c r="D6276" s="2" t="str">
        <f t="shared" si="97"/>
        <v>Error?</v>
      </c>
      <c r="E6276" s="2" t="s">
        <v>199</v>
      </c>
    </row>
    <row r="6277" spans="1:5" x14ac:dyDescent="0.2">
      <c r="A6277">
        <v>6216</v>
      </c>
      <c r="B6277" s="138">
        <f>'Acct Summary 7-8'!D83</f>
        <v>0.80844829691124409</v>
      </c>
      <c r="D6277" s="2" t="str">
        <f t="shared" si="97"/>
        <v>Error?</v>
      </c>
      <c r="E6277" s="2" t="s">
        <v>199</v>
      </c>
    </row>
    <row r="6278" spans="1:5" x14ac:dyDescent="0.2">
      <c r="A6278">
        <v>6217</v>
      </c>
      <c r="B6278" s="138">
        <f>'Acct Summary 7-8'!E83</f>
        <v>0.53267185615612322</v>
      </c>
      <c r="D6278" s="2" t="str">
        <f t="shared" si="97"/>
        <v>Error?</v>
      </c>
      <c r="E6278" s="2" t="s">
        <v>199</v>
      </c>
    </row>
    <row r="6279" spans="1:5" x14ac:dyDescent="0.2">
      <c r="A6279">
        <v>6218</v>
      </c>
      <c r="B6279" s="138">
        <f>'Acct Summary 7-8'!F83</f>
        <v>0.98065716057036578</v>
      </c>
      <c r="D6279" s="2" t="str">
        <f t="shared" si="97"/>
        <v>Error?</v>
      </c>
      <c r="E6279" s="2" t="s">
        <v>199</v>
      </c>
    </row>
    <row r="6280" spans="1:5" x14ac:dyDescent="0.2">
      <c r="A6280">
        <v>6219</v>
      </c>
      <c r="B6280" s="138">
        <f>'Acct Summary 7-8'!G83</f>
        <v>0.70383483853311435</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-8.4485238194012311</v>
      </c>
      <c r="D6282" s="2" t="str">
        <f t="shared" si="97"/>
        <v>Error?</v>
      </c>
      <c r="E6282" s="2" t="s">
        <v>199</v>
      </c>
    </row>
    <row r="6283" spans="1:5" x14ac:dyDescent="0.2">
      <c r="A6283">
        <v>6222</v>
      </c>
      <c r="B6283" s="138">
        <f>'Acct Summary 7-8'!J83</f>
        <v>0.53438489573997727</v>
      </c>
      <c r="D6283" s="2" t="str">
        <f t="shared" si="97"/>
        <v>Error?</v>
      </c>
      <c r="E6283" s="2" t="s">
        <v>199</v>
      </c>
    </row>
    <row r="6284" spans="1:5" x14ac:dyDescent="0.2">
      <c r="A6284">
        <v>6223</v>
      </c>
      <c r="B6284" s="138">
        <f>'Acct Summary 7-8'!K83</f>
        <v>-77.120481927710841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115833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115833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597</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597</v>
      </c>
      <c r="D6351" s="2" t="str">
        <f t="shared" si="98"/>
        <v>Error?</v>
      </c>
      <c r="E6351" s="2" t="s">
        <v>199</v>
      </c>
    </row>
    <row r="6352" spans="1:5" x14ac:dyDescent="0.2">
      <c r="A6352">
        <v>6291</v>
      </c>
      <c r="B6352" s="138">
        <f>'Revenues 9-14'!J109</f>
        <v>116430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1878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66575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3789</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85847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2070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15680</v>
      </c>
      <c r="D6880" s="2" t="str">
        <f t="shared" si="106"/>
        <v>Error?</v>
      </c>
    </row>
    <row r="6881" spans="1:4" x14ac:dyDescent="0.2">
      <c r="A6881">
        <v>6820</v>
      </c>
      <c r="B6881" s="138">
        <f>'Expenditures 15-22'!K22</f>
        <v>15680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3789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20000</v>
      </c>
      <c r="D6985" s="2" t="str">
        <f t="shared" si="108"/>
        <v>Error?</v>
      </c>
    </row>
    <row r="6986" spans="1:4" x14ac:dyDescent="0.2">
      <c r="A6986">
        <v>6925</v>
      </c>
      <c r="B6986" s="138">
        <f>'Expenditures 15-22'!K87</f>
        <v>20000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20000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3789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89598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116430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4057</v>
      </c>
      <c r="D7093" s="2" t="str">
        <f t="shared" si="109"/>
        <v>Error?</v>
      </c>
    </row>
    <row r="7094" spans="1:4" x14ac:dyDescent="0.2">
      <c r="A7094">
        <v>7033</v>
      </c>
      <c r="B7094" s="138">
        <f>'Expenditures 15-22'!K254</f>
        <v>4057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11397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11397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8593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8593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3470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3470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16749</v>
      </c>
      <c r="D7172" s="2" t="str">
        <f t="shared" si="111"/>
        <v>Error?</v>
      </c>
    </row>
    <row r="7173" spans="1:4" x14ac:dyDescent="0.2">
      <c r="A7173">
        <v>7112</v>
      </c>
      <c r="B7173" s="138">
        <f>'Expenditures 15-22'!D325</f>
        <v>3718</v>
      </c>
      <c r="D7173" s="2" t="str">
        <f t="shared" si="111"/>
        <v>Error?</v>
      </c>
    </row>
    <row r="7174" spans="1:4" x14ac:dyDescent="0.2">
      <c r="A7174">
        <v>7113</v>
      </c>
      <c r="B7174" s="138">
        <f>'Expenditures 15-22'!E325</f>
        <v>21060</v>
      </c>
      <c r="D7174" s="2" t="str">
        <f t="shared" si="111"/>
        <v>Error?</v>
      </c>
    </row>
    <row r="7175" spans="1:4" x14ac:dyDescent="0.2">
      <c r="A7175">
        <v>7114</v>
      </c>
      <c r="B7175" s="138">
        <f>'Expenditures 15-22'!F325</f>
        <v>395</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41922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16749</v>
      </c>
      <c r="D7199" s="2" t="str">
        <f t="shared" si="111"/>
        <v>Error?</v>
      </c>
    </row>
    <row r="7200" spans="1:4" x14ac:dyDescent="0.2">
      <c r="A7200">
        <v>7139</v>
      </c>
      <c r="B7200" s="138">
        <f>'Expenditures 15-22'!D330</f>
        <v>3718</v>
      </c>
      <c r="D7200" s="2" t="str">
        <f t="shared" si="111"/>
        <v>Error?</v>
      </c>
    </row>
    <row r="7201" spans="1:4" x14ac:dyDescent="0.2">
      <c r="A7201">
        <v>7140</v>
      </c>
      <c r="B7201" s="138">
        <f>'Expenditures 15-22'!E330</f>
        <v>68736</v>
      </c>
      <c r="D7201" s="2" t="str">
        <f t="shared" si="111"/>
        <v>Error?</v>
      </c>
    </row>
    <row r="7202" spans="1:4" x14ac:dyDescent="0.2">
      <c r="A7202">
        <v>7141</v>
      </c>
      <c r="B7202" s="138">
        <f>'Expenditures 15-22'!F330</f>
        <v>395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89598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16749</v>
      </c>
      <c r="D7216" s="2" t="str">
        <f t="shared" si="111"/>
        <v>Error?</v>
      </c>
    </row>
    <row r="7217" spans="1:4" x14ac:dyDescent="0.2">
      <c r="A7217">
        <v>7156</v>
      </c>
      <c r="B7217" s="138">
        <f>'Expenditures 15-22'!D342</f>
        <v>3718</v>
      </c>
      <c r="D7217" s="2" t="str">
        <f t="shared" si="111"/>
        <v>Error?</v>
      </c>
    </row>
    <row r="7218" spans="1:4" x14ac:dyDescent="0.2">
      <c r="A7218">
        <v>7157</v>
      </c>
      <c r="B7218" s="138">
        <f>'Expenditures 15-22'!E342</f>
        <v>68736</v>
      </c>
      <c r="D7218" s="2" t="str">
        <f t="shared" si="111"/>
        <v>Error?</v>
      </c>
    </row>
    <row r="7219" spans="1:4" x14ac:dyDescent="0.2">
      <c r="A7219">
        <v>7158</v>
      </c>
      <c r="B7219" s="138">
        <f>'Expenditures 15-22'!F342</f>
        <v>395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89598</v>
      </c>
      <c r="D7224" s="2" t="str">
        <f t="shared" si="111"/>
        <v>Error?</v>
      </c>
    </row>
    <row r="7225" spans="1:4" x14ac:dyDescent="0.2">
      <c r="A7225">
        <v>7164</v>
      </c>
      <c r="B7225" s="138">
        <f>'Expenditures 15-22'!K343</f>
        <v>26832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12298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6974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2070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107800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107800</v>
      </c>
      <c r="D7618" s="2" t="str">
        <f t="shared" si="124"/>
        <v>Error?</v>
      </c>
      <c r="E7618" s="2" t="s">
        <v>19</v>
      </c>
    </row>
    <row r="7619" spans="1:5" x14ac:dyDescent="0.2">
      <c r="A7619">
        <f t="shared" si="123"/>
        <v>7558</v>
      </c>
      <c r="B7619" s="138">
        <f>'Cap Outlay Deprec 26'!H14</f>
        <v>104866</v>
      </c>
      <c r="D7619" s="2" t="str">
        <f t="shared" si="124"/>
        <v>Error?</v>
      </c>
      <c r="E7619" s="2" t="s">
        <v>19</v>
      </c>
    </row>
    <row r="7620" spans="1:5" x14ac:dyDescent="0.2">
      <c r="A7620">
        <f t="shared" si="123"/>
        <v>7559</v>
      </c>
      <c r="B7620" s="138">
        <f>'Cap Outlay Deprec 26'!I14</f>
        <v>2934</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107800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3789</v>
      </c>
      <c r="D7624" s="2" t="str">
        <f t="shared" si="124"/>
        <v>Error?</v>
      </c>
      <c r="E7624" s="2" t="s">
        <v>19</v>
      </c>
    </row>
    <row r="7625" spans="1:5" x14ac:dyDescent="0.2">
      <c r="A7625">
        <f t="shared" si="123"/>
        <v>7564</v>
      </c>
      <c r="B7625" s="138">
        <f>'Cap Outlay Deprec 26'!I17</f>
        <v>378.9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89698.9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4955</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24216</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24216</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125000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0</v>
      </c>
      <c r="D7797" s="2" t="str">
        <f t="shared" si="127"/>
        <v>Error?</v>
      </c>
      <c r="E7797" s="4" t="s">
        <v>2017</v>
      </c>
    </row>
    <row r="7798" spans="1:5" x14ac:dyDescent="0.2">
      <c r="A7798">
        <v>7737</v>
      </c>
      <c r="B7798" s="138">
        <f>'Contracts Paid in CY 29'!F141</f>
        <v>0</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8" sqref="A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Brooklyn UD 188</v>
      </c>
      <c r="B7" s="2420"/>
      <c r="C7" s="2420"/>
      <c r="D7" s="2421"/>
      <c r="E7" s="2422">
        <f>COVER!A13</f>
        <v>50082188022</v>
      </c>
      <c r="F7" s="2423"/>
      <c r="G7" s="2429" t="str">
        <f>COVER!T23</f>
        <v>066-005248</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Moore &amp; Simonin, PC</v>
      </c>
      <c r="H9" s="2435"/>
      <c r="I9" s="2435"/>
      <c r="J9" s="2435"/>
      <c r="K9" s="2435"/>
      <c r="L9" s="2436"/>
    </row>
    <row r="10" spans="1:29" ht="13.5" customHeight="1" x14ac:dyDescent="0.2">
      <c r="A10" s="2409">
        <f>COVER!A38</f>
        <v>0</v>
      </c>
      <c r="B10" s="2410"/>
      <c r="C10" s="2410"/>
      <c r="D10" s="2410"/>
      <c r="E10" s="2410"/>
      <c r="F10" s="2411"/>
      <c r="G10" s="2403" t="str">
        <f>COVER!T17</f>
        <v>3636 North Belt West</v>
      </c>
      <c r="H10" s="2404"/>
      <c r="I10" s="2404"/>
      <c r="J10" s="2404"/>
      <c r="K10" s="2404"/>
      <c r="L10" s="2405"/>
    </row>
    <row r="11" spans="1:29" ht="13.5" customHeight="1" x14ac:dyDescent="0.2">
      <c r="A11" s="1185" t="s">
        <v>1599</v>
      </c>
      <c r="B11" s="1186"/>
      <c r="C11" s="1187"/>
      <c r="D11" s="1192"/>
      <c r="E11" s="1187"/>
      <c r="F11" s="1191"/>
      <c r="G11" s="2403" t="str">
        <f>COVER!T19</f>
        <v>Belleville</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mooresimonin@mrsaccountants.com</v>
      </c>
      <c r="J13" s="2416"/>
      <c r="K13" s="2416"/>
      <c r="L13" s="2417"/>
    </row>
    <row r="14" spans="1:29" ht="13.5" customHeight="1" x14ac:dyDescent="0.2">
      <c r="A14" s="2403" t="str">
        <f>COVER!A19</f>
        <v>800 Madison St.</v>
      </c>
      <c r="B14" s="2404"/>
      <c r="C14" s="2404"/>
      <c r="D14" s="2404"/>
      <c r="E14" s="2404"/>
      <c r="F14" s="2405"/>
      <c r="G14" s="1196" t="s">
        <v>1247</v>
      </c>
      <c r="H14" s="1194"/>
      <c r="I14" s="1194"/>
      <c r="J14" s="1194"/>
      <c r="K14" s="1194"/>
      <c r="L14" s="1195"/>
    </row>
    <row r="15" spans="1:29" ht="13.5" customHeight="1" x14ac:dyDescent="0.2">
      <c r="A15" s="2403" t="str">
        <f>COVER!A21</f>
        <v>Lovejoy</v>
      </c>
      <c r="B15" s="2404"/>
      <c r="C15" s="2404"/>
      <c r="D15" s="2404"/>
      <c r="E15" s="2404"/>
      <c r="F15" s="2405"/>
      <c r="G15" s="2400" t="str">
        <f>COVER!T15</f>
        <v>Robert E. Moore, CPA</v>
      </c>
      <c r="H15" s="2401"/>
      <c r="I15" s="2401"/>
      <c r="J15" s="2401"/>
      <c r="K15" s="2401"/>
      <c r="L15" s="2402"/>
    </row>
    <row r="16" spans="1:29" ht="12.2" customHeight="1" x14ac:dyDescent="0.2">
      <c r="A16" s="2425">
        <f>COVER!A25</f>
        <v>62059</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618-233-5049</v>
      </c>
      <c r="H18" s="2420"/>
      <c r="I18" s="2420"/>
      <c r="J18" s="2420"/>
      <c r="K18" s="2419" t="str">
        <f>COVER!X21</f>
        <v>618-233-1061</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8" sqref="A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Brooklyn UD 188</v>
      </c>
      <c r="B1" s="2418"/>
      <c r="C1" s="2418"/>
      <c r="D1" s="2418"/>
    </row>
    <row r="2" spans="1:11" s="1215" customFormat="1" ht="12.75" x14ac:dyDescent="0.2">
      <c r="A2" s="2442">
        <f>'Single Audit Cover'!E7</f>
        <v>50082188022</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8" sqref="A8"/>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Brooklyn UD 188</v>
      </c>
      <c r="B1" s="2445"/>
      <c r="C1" s="2445"/>
      <c r="D1" s="2445"/>
      <c r="E1" s="2445"/>
    </row>
    <row r="2" spans="1:5" x14ac:dyDescent="0.2">
      <c r="A2" s="2446">
        <f>'Single Audit Cover'!E7</f>
        <v>50082188022</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708288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7318</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715606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715606</v>
      </c>
    </row>
    <row r="33" spans="1:4" x14ac:dyDescent="0.2">
      <c r="D33" s="1269"/>
    </row>
    <row r="34" spans="1:4" x14ac:dyDescent="0.2">
      <c r="A34" s="317" t="s">
        <v>1294</v>
      </c>
    </row>
    <row r="35" spans="1:4" x14ac:dyDescent="0.2">
      <c r="A35" s="317" t="s">
        <v>1293</v>
      </c>
      <c r="B35" s="1258" t="s">
        <v>1292</v>
      </c>
      <c r="D35" s="1270">
        <v>715606</v>
      </c>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715606</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8" sqref="A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Brooklyn UD 188</v>
      </c>
      <c r="C1" s="2449"/>
      <c r="D1" s="2449"/>
      <c r="E1" s="2449"/>
      <c r="F1" s="2449"/>
      <c r="G1" s="2449"/>
      <c r="H1" s="2449"/>
      <c r="I1" s="2449"/>
      <c r="J1" s="2449"/>
      <c r="K1" s="2449"/>
      <c r="L1" s="2449"/>
      <c r="M1" s="2449"/>
    </row>
    <row r="2" spans="2:14" ht="15" x14ac:dyDescent="0.2">
      <c r="B2" s="2450">
        <f>'Single Audit Cover'!E7</f>
        <v>50082188022</v>
      </c>
      <c r="C2" s="2450"/>
      <c r="D2" s="2450"/>
      <c r="E2" s="2450"/>
      <c r="F2" s="2450"/>
      <c r="G2" s="2450"/>
      <c r="H2" s="2450"/>
      <c r="I2" s="2450"/>
      <c r="J2" s="2450"/>
      <c r="K2" s="2450"/>
      <c r="L2" s="2450"/>
      <c r="M2" s="2450"/>
      <c r="N2" s="1302"/>
    </row>
    <row r="3" spans="2:14" ht="15" x14ac:dyDescent="0.2">
      <c r="B3" s="2451" t="s">
        <v>1281</v>
      </c>
      <c r="C3" s="2451"/>
      <c r="D3" s="2451"/>
      <c r="E3" s="2451"/>
      <c r="F3" s="2451"/>
      <c r="G3" s="2451"/>
      <c r="H3" s="2451"/>
      <c r="I3" s="2451"/>
      <c r="J3" s="2451"/>
      <c r="K3" s="2451"/>
      <c r="L3" s="2451"/>
      <c r="M3" s="2451"/>
      <c r="N3" s="1302"/>
    </row>
    <row r="4" spans="2:14" ht="15" x14ac:dyDescent="0.2">
      <c r="B4" s="2452" t="str">
        <f>'Single Audit Cover'!A4</f>
        <v>Year Ending June 30, 2018</v>
      </c>
      <c r="C4" s="2452"/>
      <c r="D4" s="2452"/>
      <c r="E4" s="2452"/>
      <c r="F4" s="2452"/>
      <c r="G4" s="2452"/>
      <c r="H4" s="2452"/>
      <c r="I4" s="2452"/>
      <c r="J4" s="2452"/>
      <c r="K4" s="2452"/>
      <c r="L4" s="2452"/>
      <c r="M4" s="2452"/>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2097</v>
      </c>
      <c r="C11" s="1338"/>
      <c r="D11" s="1339"/>
      <c r="E11" s="1340"/>
      <c r="F11" s="1340"/>
      <c r="G11" s="1340"/>
      <c r="H11" s="1340"/>
      <c r="I11" s="1340"/>
      <c r="J11" s="1340"/>
      <c r="K11" s="1340"/>
      <c r="L11" s="1340">
        <f>+G11+I11+K11</f>
        <v>0</v>
      </c>
      <c r="M11" s="1340"/>
    </row>
    <row r="12" spans="2:14" ht="20.100000000000001" customHeight="1" x14ac:dyDescent="0.2">
      <c r="B12" s="1337" t="s">
        <v>2098</v>
      </c>
      <c r="C12" s="1341"/>
      <c r="D12" s="1342"/>
      <c r="E12" s="1343"/>
      <c r="F12" s="1343"/>
      <c r="G12" s="1343"/>
      <c r="H12" s="1343"/>
      <c r="I12" s="1343"/>
      <c r="J12" s="1343"/>
      <c r="K12" s="1343"/>
      <c r="L12" s="1340">
        <f t="shared" ref="L12:L27" si="0">+G12+I12+K12</f>
        <v>0</v>
      </c>
      <c r="M12" s="1343"/>
    </row>
    <row r="13" spans="2:14" ht="20.100000000000001" customHeight="1" x14ac:dyDescent="0.2">
      <c r="B13" s="1337" t="s">
        <v>2099</v>
      </c>
      <c r="C13" s="1341">
        <v>10.55</v>
      </c>
      <c r="D13" s="1342"/>
      <c r="E13" s="1343"/>
      <c r="F13" s="1343">
        <v>7318</v>
      </c>
      <c r="G13" s="1343"/>
      <c r="H13" s="1343"/>
      <c r="I13" s="1343">
        <v>7318</v>
      </c>
      <c r="J13" s="1343"/>
      <c r="K13" s="1343"/>
      <c r="L13" s="1340">
        <f t="shared" si="0"/>
        <v>7318</v>
      </c>
      <c r="M13" s="1343"/>
    </row>
    <row r="14" spans="2:14" ht="20.100000000000001" customHeight="1" x14ac:dyDescent="0.2">
      <c r="B14" s="1337" t="s">
        <v>2100</v>
      </c>
      <c r="C14" s="1341">
        <v>10.555</v>
      </c>
      <c r="D14" s="1342" t="s">
        <v>2101</v>
      </c>
      <c r="E14" s="1343">
        <v>50894</v>
      </c>
      <c r="F14" s="1343">
        <v>10069</v>
      </c>
      <c r="G14" s="1343">
        <v>50894</v>
      </c>
      <c r="H14" s="1343"/>
      <c r="I14" s="1343">
        <v>10069</v>
      </c>
      <c r="J14" s="1343"/>
      <c r="K14" s="1343"/>
      <c r="L14" s="1340">
        <f t="shared" si="0"/>
        <v>60963</v>
      </c>
      <c r="M14" s="1343"/>
    </row>
    <row r="15" spans="2:14" ht="20.100000000000001" customHeight="1" x14ac:dyDescent="0.2">
      <c r="B15" s="1337" t="s">
        <v>1231</v>
      </c>
      <c r="C15" s="1341"/>
      <c r="D15" s="1342" t="s">
        <v>2102</v>
      </c>
      <c r="E15" s="1343"/>
      <c r="F15" s="1343">
        <v>53337</v>
      </c>
      <c r="G15" s="1343"/>
      <c r="H15" s="1343"/>
      <c r="I15" s="1343">
        <v>53337</v>
      </c>
      <c r="J15" s="1343"/>
      <c r="K15" s="1343"/>
      <c r="L15" s="1340">
        <f t="shared" si="0"/>
        <v>53337</v>
      </c>
      <c r="M15" s="1343"/>
    </row>
    <row r="16" spans="2:14" ht="20.100000000000001" customHeight="1" x14ac:dyDescent="0.2">
      <c r="B16" s="1337" t="s">
        <v>2103</v>
      </c>
      <c r="C16" s="1341">
        <v>10.553000000000001</v>
      </c>
      <c r="D16" s="1342" t="s">
        <v>2104</v>
      </c>
      <c r="E16" s="1343">
        <v>20998</v>
      </c>
      <c r="F16" s="1343">
        <v>4472</v>
      </c>
      <c r="G16" s="1343">
        <v>20998</v>
      </c>
      <c r="H16" s="1343"/>
      <c r="I16" s="1343">
        <v>4472</v>
      </c>
      <c r="J16" s="1343"/>
      <c r="K16" s="1343"/>
      <c r="L16" s="1340">
        <f t="shared" si="0"/>
        <v>25470</v>
      </c>
      <c r="M16" s="1343"/>
    </row>
    <row r="17" spans="2:14" ht="20.100000000000001" customHeight="1" x14ac:dyDescent="0.2">
      <c r="B17" s="1337"/>
      <c r="C17" s="1341"/>
      <c r="D17" s="1342" t="s">
        <v>2105</v>
      </c>
      <c r="E17" s="1343"/>
      <c r="F17" s="1343">
        <v>24560</v>
      </c>
      <c r="G17" s="1343"/>
      <c r="H17" s="1343"/>
      <c r="I17" s="1343">
        <v>24560</v>
      </c>
      <c r="J17" s="1343"/>
      <c r="K17" s="1343"/>
      <c r="L17" s="1340">
        <f t="shared" si="0"/>
        <v>24560</v>
      </c>
      <c r="M17" s="1343"/>
    </row>
    <row r="18" spans="2:14" ht="20.100000000000001" customHeight="1" x14ac:dyDescent="0.2">
      <c r="B18" s="1337" t="s">
        <v>2106</v>
      </c>
      <c r="C18" s="1341">
        <v>10.558999999999999</v>
      </c>
      <c r="D18" s="1342" t="s">
        <v>2107</v>
      </c>
      <c r="E18" s="1343"/>
      <c r="F18" s="1343">
        <v>9745</v>
      </c>
      <c r="G18" s="1343"/>
      <c r="H18" s="1343"/>
      <c r="I18" s="1343">
        <v>9745</v>
      </c>
      <c r="J18" s="1343"/>
      <c r="K18" s="1343"/>
      <c r="L18" s="1340">
        <f t="shared" si="0"/>
        <v>9745</v>
      </c>
      <c r="M18" s="1343"/>
    </row>
    <row r="19" spans="2:14" ht="20.100000000000001" customHeight="1" x14ac:dyDescent="0.2">
      <c r="B19" s="1337" t="s">
        <v>2108</v>
      </c>
      <c r="C19" s="1341">
        <v>10.582000000000001</v>
      </c>
      <c r="D19" s="1342" t="s">
        <v>2109</v>
      </c>
      <c r="E19" s="1343">
        <v>3720</v>
      </c>
      <c r="F19" s="1343">
        <v>772</v>
      </c>
      <c r="G19" s="1343">
        <v>3720</v>
      </c>
      <c r="H19" s="1343"/>
      <c r="I19" s="1343">
        <v>772</v>
      </c>
      <c r="J19" s="1343"/>
      <c r="K19" s="1343"/>
      <c r="L19" s="1340">
        <f t="shared" si="0"/>
        <v>4492</v>
      </c>
      <c r="M19" s="1343"/>
    </row>
    <row r="20" spans="2:14" ht="20.100000000000001" customHeight="1" x14ac:dyDescent="0.2">
      <c r="B20" s="1337"/>
      <c r="C20" s="1341"/>
      <c r="D20" s="1342" t="s">
        <v>2110</v>
      </c>
      <c r="E20" s="1343"/>
      <c r="F20" s="1343">
        <v>4183</v>
      </c>
      <c r="G20" s="1343"/>
      <c r="H20" s="1343"/>
      <c r="I20" s="1343">
        <v>4183</v>
      </c>
      <c r="J20" s="1343"/>
      <c r="K20" s="1343"/>
      <c r="L20" s="1340">
        <f t="shared" si="0"/>
        <v>4183</v>
      </c>
      <c r="M20" s="1343"/>
    </row>
    <row r="21" spans="2:14" ht="20.100000000000001" customHeight="1" x14ac:dyDescent="0.2">
      <c r="B21" s="1337" t="s">
        <v>2111</v>
      </c>
      <c r="C21" s="1341"/>
      <c r="D21" s="1342"/>
      <c r="E21" s="1343">
        <v>75612</v>
      </c>
      <c r="F21" s="1343">
        <v>114456</v>
      </c>
      <c r="G21" s="1343">
        <v>75612</v>
      </c>
      <c r="H21" s="1343"/>
      <c r="I21" s="1343">
        <v>114456</v>
      </c>
      <c r="J21" s="1343"/>
      <c r="K21" s="1343"/>
      <c r="L21" s="1340">
        <f t="shared" si="0"/>
        <v>190068</v>
      </c>
      <c r="M21" s="1343"/>
    </row>
    <row r="22" spans="2:14" ht="20.100000000000001" customHeight="1" x14ac:dyDescent="0.2">
      <c r="B22" s="1337" t="s">
        <v>2112</v>
      </c>
      <c r="C22" s="1341"/>
      <c r="D22" s="1342"/>
      <c r="E22" s="1343"/>
      <c r="F22" s="1343"/>
      <c r="G22" s="1343"/>
      <c r="H22" s="1343"/>
      <c r="I22" s="1343"/>
      <c r="J22" s="1343"/>
      <c r="K22" s="1343"/>
      <c r="L22" s="1340">
        <f t="shared" si="0"/>
        <v>0</v>
      </c>
      <c r="M22" s="1343"/>
    </row>
    <row r="23" spans="2:14" ht="20.100000000000001" customHeight="1" x14ac:dyDescent="0.2">
      <c r="B23" s="1337" t="s">
        <v>2098</v>
      </c>
      <c r="C23" s="1341"/>
      <c r="D23" s="1342"/>
      <c r="E23" s="1343"/>
      <c r="F23" s="1343"/>
      <c r="G23" s="1343"/>
      <c r="H23" s="1343"/>
      <c r="I23" s="1343"/>
      <c r="J23" s="1343"/>
      <c r="K23" s="1343"/>
      <c r="L23" s="1340">
        <f t="shared" si="0"/>
        <v>0</v>
      </c>
      <c r="M23" s="1343"/>
    </row>
    <row r="24" spans="2:14" ht="20.100000000000001" customHeight="1" x14ac:dyDescent="0.2">
      <c r="B24" s="1337" t="s">
        <v>2113</v>
      </c>
      <c r="C24" s="1341">
        <v>84.01</v>
      </c>
      <c r="D24" s="1342" t="s">
        <v>2114</v>
      </c>
      <c r="E24" s="1343">
        <v>186362</v>
      </c>
      <c r="F24" s="1343">
        <v>8860</v>
      </c>
      <c r="G24" s="1343">
        <v>199752</v>
      </c>
      <c r="H24" s="1343"/>
      <c r="I24" s="1343"/>
      <c r="J24" s="1343"/>
      <c r="K24" s="1343"/>
      <c r="L24" s="1340">
        <f t="shared" si="0"/>
        <v>199752</v>
      </c>
      <c r="M24" s="1343">
        <v>209071</v>
      </c>
    </row>
    <row r="25" spans="2:14" ht="20.100000000000001" customHeight="1" x14ac:dyDescent="0.2">
      <c r="B25" s="1337"/>
      <c r="C25" s="1341"/>
      <c r="D25" s="1342" t="s">
        <v>2115</v>
      </c>
      <c r="E25" s="1343"/>
      <c r="F25" s="1343">
        <v>211276</v>
      </c>
      <c r="G25" s="1343"/>
      <c r="H25" s="1343"/>
      <c r="I25" s="1343">
        <v>229610</v>
      </c>
      <c r="J25" s="1343"/>
      <c r="K25" s="1343"/>
      <c r="L25" s="1340">
        <f t="shared" si="0"/>
        <v>229610</v>
      </c>
      <c r="M25" s="1343">
        <v>233003</v>
      </c>
    </row>
    <row r="26" spans="2:14" ht="20.100000000000001" customHeight="1" x14ac:dyDescent="0.2">
      <c r="B26" s="1337" t="s">
        <v>2116</v>
      </c>
      <c r="C26" s="1341">
        <v>84.376999999999995</v>
      </c>
      <c r="D26" s="1342" t="s">
        <v>2117</v>
      </c>
      <c r="E26" s="1343">
        <v>634753</v>
      </c>
      <c r="F26" s="1343">
        <v>27687</v>
      </c>
      <c r="G26" s="1343">
        <v>646262</v>
      </c>
      <c r="H26" s="1343"/>
      <c r="I26" s="1343">
        <v>16178</v>
      </c>
      <c r="J26" s="1343"/>
      <c r="K26" s="1343"/>
      <c r="L26" s="1340">
        <f t="shared" si="0"/>
        <v>662440</v>
      </c>
      <c r="M26" s="1343">
        <v>662440</v>
      </c>
    </row>
    <row r="27" spans="2:14" ht="20.100000000000001" customHeight="1" x14ac:dyDescent="0.2">
      <c r="B27" s="1337"/>
      <c r="C27" s="1341"/>
      <c r="D27" s="1342" t="s">
        <v>2118</v>
      </c>
      <c r="E27" s="1343"/>
      <c r="F27" s="1343">
        <v>331980</v>
      </c>
      <c r="G27" s="1343"/>
      <c r="H27" s="1343"/>
      <c r="I27" s="1343">
        <v>420023</v>
      </c>
      <c r="J27" s="1343"/>
      <c r="K27" s="1343"/>
      <c r="L27" s="1340">
        <f t="shared" si="0"/>
        <v>420023</v>
      </c>
      <c r="M27" s="1343">
        <v>500000</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8" sqref="A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Brooklyn UD 188</v>
      </c>
      <c r="C1" s="2449"/>
      <c r="D1" s="2449"/>
      <c r="E1" s="2449"/>
      <c r="F1" s="2449"/>
      <c r="G1" s="2449"/>
      <c r="H1" s="2449"/>
      <c r="I1" s="2449"/>
      <c r="J1" s="2449"/>
      <c r="K1" s="2449"/>
      <c r="L1" s="2449"/>
      <c r="M1" s="2449"/>
    </row>
    <row r="2" spans="2:14" ht="15" x14ac:dyDescent="0.2">
      <c r="B2" s="2450">
        <f>'Single Audit Cover'!E7</f>
        <v>50082188022</v>
      </c>
      <c r="C2" s="2450"/>
      <c r="D2" s="2450"/>
      <c r="E2" s="2450"/>
      <c r="F2" s="2450"/>
      <c r="G2" s="2450"/>
      <c r="H2" s="2450"/>
      <c r="I2" s="2450"/>
      <c r="J2" s="2450"/>
      <c r="K2" s="2450"/>
      <c r="L2" s="2450"/>
      <c r="M2" s="2450"/>
      <c r="N2" s="1302"/>
    </row>
    <row r="3" spans="2:14" ht="15" x14ac:dyDescent="0.2">
      <c r="B3" s="2451" t="s">
        <v>1281</v>
      </c>
      <c r="C3" s="2451"/>
      <c r="D3" s="2451"/>
      <c r="E3" s="2451"/>
      <c r="F3" s="2451"/>
      <c r="G3" s="2451"/>
      <c r="H3" s="2451"/>
      <c r="I3" s="2451"/>
      <c r="J3" s="2451"/>
      <c r="K3" s="2451"/>
      <c r="L3" s="2451"/>
      <c r="M3" s="2451"/>
      <c r="N3" s="1302"/>
    </row>
    <row r="4" spans="2:14" ht="15" x14ac:dyDescent="0.2">
      <c r="B4" s="2452" t="str">
        <f>'Single Audit Cover'!A4</f>
        <v>Year Ending June 30, 2018</v>
      </c>
      <c r="C4" s="2452"/>
      <c r="D4" s="2452"/>
      <c r="E4" s="2452"/>
      <c r="F4" s="2452"/>
      <c r="G4" s="2452"/>
      <c r="H4" s="2452"/>
      <c r="I4" s="2452"/>
      <c r="J4" s="2452"/>
      <c r="K4" s="2452"/>
      <c r="L4" s="2452"/>
      <c r="M4" s="2452"/>
      <c r="N4" s="1302"/>
    </row>
    <row r="6" spans="2:14" x14ac:dyDescent="0.2">
      <c r="B6" s="1303"/>
      <c r="C6" s="1304"/>
      <c r="D6" s="1305" t="s">
        <v>1327</v>
      </c>
      <c r="E6" s="1306" t="s">
        <v>548</v>
      </c>
      <c r="F6" s="1307"/>
      <c r="G6" s="1308" t="s">
        <v>1835</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1836</v>
      </c>
      <c r="D9" s="1314" t="s">
        <v>1837</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2119</v>
      </c>
      <c r="C11" s="1338">
        <v>84.367000000000004</v>
      </c>
      <c r="D11" s="1339" t="s">
        <v>2120</v>
      </c>
      <c r="E11" s="1340">
        <v>7109</v>
      </c>
      <c r="F11" s="1340">
        <v>1643</v>
      </c>
      <c r="G11" s="1340">
        <v>8752</v>
      </c>
      <c r="H11" s="1340"/>
      <c r="I11" s="1340"/>
      <c r="J11" s="1340"/>
      <c r="K11" s="1340"/>
      <c r="L11" s="1340">
        <f>+G11+I11+K11</f>
        <v>8752</v>
      </c>
      <c r="M11" s="1340">
        <v>27745</v>
      </c>
    </row>
    <row r="12" spans="2:14" ht="20.100000000000001" customHeight="1" x14ac:dyDescent="0.2">
      <c r="B12" s="1337"/>
      <c r="C12" s="1341"/>
      <c r="D12" s="1342" t="s">
        <v>2121</v>
      </c>
      <c r="E12" s="1343"/>
      <c r="F12" s="1343">
        <v>16857</v>
      </c>
      <c r="G12" s="1343"/>
      <c r="H12" s="1343"/>
      <c r="I12" s="1343">
        <v>16857</v>
      </c>
      <c r="J12" s="1343"/>
      <c r="K12" s="1343"/>
      <c r="L12" s="1340">
        <f t="shared" ref="L12:L27" si="0">+G12+I12+K12</f>
        <v>16857</v>
      </c>
      <c r="M12" s="1343">
        <v>19401</v>
      </c>
    </row>
    <row r="13" spans="2:14" ht="20.100000000000001" customHeight="1" x14ac:dyDescent="0.2">
      <c r="B13" s="1337" t="s">
        <v>2122</v>
      </c>
      <c r="C13" s="1341"/>
      <c r="D13" s="1342"/>
      <c r="E13" s="1343">
        <v>828224</v>
      </c>
      <c r="F13" s="1343">
        <v>598303</v>
      </c>
      <c r="G13" s="1343">
        <v>854766</v>
      </c>
      <c r="H13" s="1343"/>
      <c r="I13" s="1343">
        <v>682668</v>
      </c>
      <c r="J13" s="1343"/>
      <c r="K13" s="1343"/>
      <c r="L13" s="1340">
        <f t="shared" si="0"/>
        <v>1537434</v>
      </c>
      <c r="M13" s="1343"/>
    </row>
    <row r="14" spans="2:14" ht="20.100000000000001" customHeight="1" x14ac:dyDescent="0.2">
      <c r="B14" s="1337" t="s">
        <v>2123</v>
      </c>
      <c r="C14" s="1341"/>
      <c r="D14" s="1342"/>
      <c r="E14" s="1343"/>
      <c r="F14" s="1343"/>
      <c r="G14" s="1343"/>
      <c r="H14" s="1343"/>
      <c r="I14" s="1343"/>
      <c r="J14" s="1343"/>
      <c r="K14" s="1343"/>
      <c r="L14" s="1340">
        <f t="shared" si="0"/>
        <v>0</v>
      </c>
      <c r="M14" s="1343"/>
    </row>
    <row r="15" spans="2:14" ht="20.100000000000001" customHeight="1" x14ac:dyDescent="0.2">
      <c r="B15" s="1337" t="s">
        <v>2124</v>
      </c>
      <c r="C15" s="1341">
        <v>93.778000000000006</v>
      </c>
      <c r="D15" s="1342" t="s">
        <v>2125</v>
      </c>
      <c r="E15" s="1343">
        <v>2720</v>
      </c>
      <c r="F15" s="1343">
        <v>731</v>
      </c>
      <c r="G15" s="1343">
        <v>3451</v>
      </c>
      <c r="H15" s="1343"/>
      <c r="I15" s="1343"/>
      <c r="J15" s="1343"/>
      <c r="K15" s="1343"/>
      <c r="L15" s="1340">
        <f t="shared" si="0"/>
        <v>3451</v>
      </c>
      <c r="M15" s="1343"/>
    </row>
    <row r="16" spans="2:14" ht="20.100000000000001" customHeight="1" x14ac:dyDescent="0.2">
      <c r="B16" s="1337"/>
      <c r="C16" s="1341"/>
      <c r="D16" s="1342" t="s">
        <v>2126</v>
      </c>
      <c r="E16" s="1343"/>
      <c r="F16" s="1343">
        <v>2116</v>
      </c>
      <c r="G16" s="1343"/>
      <c r="H16" s="1343"/>
      <c r="I16" s="1343">
        <v>2116</v>
      </c>
      <c r="J16" s="1343"/>
      <c r="K16" s="1343"/>
      <c r="L16" s="1340">
        <f t="shared" si="0"/>
        <v>2116</v>
      </c>
      <c r="M16" s="1343"/>
    </row>
    <row r="17" spans="2:14" ht="20.100000000000001" customHeight="1" x14ac:dyDescent="0.2">
      <c r="B17" s="1337" t="s">
        <v>2127</v>
      </c>
      <c r="C17" s="1341"/>
      <c r="D17" s="1342"/>
      <c r="E17" s="1343">
        <v>2720</v>
      </c>
      <c r="F17" s="1343">
        <v>2847</v>
      </c>
      <c r="G17" s="1343">
        <v>3451</v>
      </c>
      <c r="H17" s="1343"/>
      <c r="I17" s="1343">
        <v>2116</v>
      </c>
      <c r="J17" s="1343"/>
      <c r="K17" s="1343"/>
      <c r="L17" s="1340">
        <f t="shared" si="0"/>
        <v>5567</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t="s">
        <v>2128</v>
      </c>
      <c r="C19" s="1341"/>
      <c r="D19" s="1342"/>
      <c r="E19" s="1343">
        <v>906556</v>
      </c>
      <c r="F19" s="1343">
        <v>715606</v>
      </c>
      <c r="G19" s="1343">
        <v>933829</v>
      </c>
      <c r="H19" s="1343"/>
      <c r="I19" s="1343">
        <v>799240</v>
      </c>
      <c r="J19" s="1343"/>
      <c r="K19" s="1343"/>
      <c r="L19" s="1340">
        <f t="shared" si="0"/>
        <v>1733069</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1838</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1839</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1840</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1841</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1842</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B5" sqref="B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Brooklyn UD 188</v>
      </c>
      <c r="B1" s="2462"/>
      <c r="C1" s="2462"/>
      <c r="D1" s="2462"/>
      <c r="E1" s="2462"/>
      <c r="F1" s="2462"/>
    </row>
    <row r="2" spans="1:7" ht="13.5" customHeight="1" x14ac:dyDescent="0.2">
      <c r="A2" s="2450">
        <f>'Single Audit Cover'!E7</f>
        <v>50082188022</v>
      </c>
      <c r="B2" s="2450"/>
      <c r="C2" s="2450"/>
      <c r="D2" s="2450"/>
      <c r="E2" s="2450"/>
      <c r="F2" s="2450"/>
      <c r="G2" s="1275"/>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1831</v>
      </c>
      <c r="C6" s="317"/>
      <c r="D6" s="317"/>
    </row>
    <row r="7" spans="1:7" ht="60.95" customHeight="1" x14ac:dyDescent="0.2">
      <c r="A7" s="2461" t="s">
        <v>2129</v>
      </c>
      <c r="B7" s="2461"/>
      <c r="C7" s="2461"/>
      <c r="D7" s="2461"/>
      <c r="E7" s="2461"/>
      <c r="F7" s="2461"/>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2075</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1" t="s">
        <v>1833</v>
      </c>
      <c r="B13" s="2461"/>
      <c r="C13" s="2461"/>
      <c r="D13" s="2461"/>
      <c r="E13" s="2461"/>
      <c r="F13" s="2461"/>
    </row>
    <row r="14" spans="1:7" ht="9.75" customHeight="1" x14ac:dyDescent="0.2">
      <c r="C14" s="1260"/>
      <c r="D14" s="1260"/>
    </row>
    <row r="15" spans="1:7" ht="13.5" customHeight="1" x14ac:dyDescent="0.2">
      <c r="C15" s="1871" t="s">
        <v>1332</v>
      </c>
      <c r="D15" s="2459" t="s">
        <v>1331</v>
      </c>
      <c r="E15" s="2459"/>
      <c r="F15" s="2459"/>
    </row>
    <row r="16" spans="1:7" ht="13.5" customHeight="1" x14ac:dyDescent="0.2">
      <c r="A16" s="1282"/>
      <c r="B16" s="1276" t="s">
        <v>1330</v>
      </c>
      <c r="C16" s="1871"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5" t="s">
        <v>2132</v>
      </c>
      <c r="B32" s="2455"/>
      <c r="C32" s="2455"/>
      <c r="D32" s="2455"/>
      <c r="E32" s="2455"/>
      <c r="F32" s="2455"/>
    </row>
    <row r="33" spans="1:6" ht="13.5" customHeight="1" x14ac:dyDescent="0.2">
      <c r="A33" s="328" t="s">
        <v>1509</v>
      </c>
      <c r="B33" s="328"/>
      <c r="C33" s="1288">
        <v>7318</v>
      </c>
      <c r="D33" s="1928"/>
      <c r="E33" s="1286"/>
    </row>
    <row r="34" spans="1:6" ht="13.5" customHeight="1" x14ac:dyDescent="0.2">
      <c r="A34" s="328" t="s">
        <v>1946</v>
      </c>
      <c r="B34" s="328"/>
      <c r="C34" s="1289">
        <v>0</v>
      </c>
      <c r="D34" s="1928" t="s">
        <v>1671</v>
      </c>
      <c r="E34" s="2456">
        <f>+C33+C34</f>
        <v>7318</v>
      </c>
      <c r="F34" s="2457"/>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t="s">
        <v>401</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70"/>
      <c r="C50" s="1870"/>
      <c r="D50" s="1870"/>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8" sqref="A8"/>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Brooklyn UD 188</v>
      </c>
      <c r="C1" s="2477"/>
      <c r="D1" s="2477"/>
      <c r="E1" s="2477"/>
      <c r="F1" s="2477"/>
      <c r="G1" s="2477"/>
      <c r="H1" s="2477"/>
      <c r="I1" s="2477"/>
      <c r="J1" s="1422"/>
    </row>
    <row r="2" spans="2:10" s="317" customFormat="1" ht="12.75" customHeight="1" x14ac:dyDescent="0.2">
      <c r="B2" s="2478">
        <f>'Single Audit Cover'!E7</f>
        <v>50082188022</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t="s">
        <v>1226</v>
      </c>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2075</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2075</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2075</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2075</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2075</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t="s">
        <v>1383</v>
      </c>
      <c r="E29" s="2483"/>
      <c r="F29" s="2483"/>
      <c r="G29" s="2483"/>
      <c r="H29" s="2483"/>
      <c r="I29" s="2483"/>
    </row>
    <row r="30" spans="2:9" s="317" customFormat="1" x14ac:dyDescent="0.2">
      <c r="B30" s="1368"/>
      <c r="C30" s="322"/>
      <c r="D30" s="1433" t="s">
        <v>1849</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2075</v>
      </c>
      <c r="H33" s="1300" t="s">
        <v>101</v>
      </c>
    </row>
    <row r="35" spans="2:9" x14ac:dyDescent="0.2">
      <c r="B35" s="1441" t="s">
        <v>1850</v>
      </c>
      <c r="C35" s="1442"/>
      <c r="D35" s="1267"/>
    </row>
    <row r="36" spans="2:9" ht="6" customHeight="1" x14ac:dyDescent="0.2">
      <c r="B36" s="1441"/>
      <c r="C36" s="1442"/>
      <c r="D36" s="1267"/>
    </row>
    <row r="37" spans="2:9" ht="17.25" customHeight="1" x14ac:dyDescent="0.2">
      <c r="B37" s="1443" t="s">
        <v>1851</v>
      </c>
      <c r="C37" s="2484" t="s">
        <v>1852</v>
      </c>
      <c r="D37" s="2485"/>
      <c r="E37" s="2485"/>
      <c r="F37" s="2486"/>
      <c r="G37" s="2484" t="s">
        <v>1674</v>
      </c>
      <c r="H37" s="2485"/>
      <c r="I37" s="2486"/>
    </row>
    <row r="38" spans="2:9" ht="16.5" customHeight="1" x14ac:dyDescent="0.2">
      <c r="B38" s="1444">
        <v>84.376999999999995</v>
      </c>
      <c r="C38" s="2472" t="s">
        <v>2130</v>
      </c>
      <c r="D38" s="2473"/>
      <c r="E38" s="2473"/>
      <c r="F38" s="2474"/>
      <c r="G38" s="2487">
        <v>436201</v>
      </c>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436201</v>
      </c>
      <c r="H43" s="2468"/>
      <c r="I43" s="2468"/>
    </row>
    <row r="44" spans="2:9" ht="12.75" customHeight="1" x14ac:dyDescent="0.2"/>
    <row r="45" spans="2:9" ht="12.75" customHeight="1" x14ac:dyDescent="0.2">
      <c r="B45" s="1435" t="s">
        <v>1949</v>
      </c>
      <c r="D45" s="2469">
        <v>799240</v>
      </c>
      <c r="E45" s="2470"/>
    </row>
    <row r="46" spans="2:9" ht="5.25" customHeight="1" x14ac:dyDescent="0.2">
      <c r="B46" s="1445"/>
      <c r="D46" s="1446"/>
      <c r="E46" s="1447"/>
    </row>
    <row r="47" spans="2:9" ht="12.75" customHeight="1" x14ac:dyDescent="0.2">
      <c r="B47" s="1300" t="s">
        <v>1676</v>
      </c>
      <c r="C47" s="1300"/>
      <c r="D47" s="1448">
        <f>+G43/D45</f>
        <v>0.54576973124468242</v>
      </c>
      <c r="E47" s="1449"/>
      <c r="F47" s="1450"/>
      <c r="I47" s="1451"/>
    </row>
    <row r="48" spans="2:9" ht="9.9499999999999993" customHeight="1" x14ac:dyDescent="0.2"/>
    <row r="49" spans="1:9" x14ac:dyDescent="0.2">
      <c r="B49" s="1368" t="s">
        <v>1335</v>
      </c>
      <c r="C49" s="1282"/>
      <c r="D49" s="1282"/>
      <c r="E49" s="2471">
        <v>750000</v>
      </c>
      <c r="F49" s="2471"/>
      <c r="G49" s="2471"/>
      <c r="H49" s="322"/>
    </row>
    <row r="51" spans="1:9" ht="13.5" customHeight="1" x14ac:dyDescent="0.2">
      <c r="B51" s="1368" t="s">
        <v>1334</v>
      </c>
      <c r="C51" s="1282"/>
      <c r="E51" s="1438"/>
      <c r="F51" s="1300" t="s">
        <v>940</v>
      </c>
      <c r="G51" s="1438" t="s">
        <v>2075</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1853</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1854</v>
      </c>
      <c r="C58" s="1464"/>
      <c r="D58" s="1464"/>
    </row>
    <row r="59" spans="1:9" s="1461" customFormat="1" ht="3.95" customHeight="1" x14ac:dyDescent="0.2">
      <c r="A59" s="1458"/>
      <c r="B59" s="1463"/>
      <c r="C59" s="1464"/>
      <c r="D59" s="1464"/>
    </row>
    <row r="60" spans="1:9" s="1461" customFormat="1" ht="13.5" customHeight="1" x14ac:dyDescent="0.2">
      <c r="A60" s="1458"/>
      <c r="B60" s="1463" t="s">
        <v>1855</v>
      </c>
      <c r="C60" s="1464"/>
      <c r="D60" s="1464"/>
    </row>
    <row r="61" spans="1:9" s="1461" customFormat="1" ht="3.95" customHeight="1" x14ac:dyDescent="0.2">
      <c r="A61" s="1458"/>
      <c r="B61" s="1463"/>
      <c r="C61" s="1464"/>
      <c r="D61" s="1464"/>
    </row>
    <row r="62" spans="1:9" s="1461" customFormat="1" ht="12.75" customHeight="1" x14ac:dyDescent="0.2">
      <c r="A62" s="1458"/>
      <c r="B62" s="1463" t="s">
        <v>1856</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A8" sqref="A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Brooklyn UD 188</v>
      </c>
      <c r="C1" s="2476"/>
      <c r="D1" s="2476"/>
      <c r="E1" s="2476"/>
      <c r="F1" s="2476"/>
      <c r="G1" s="2476"/>
      <c r="H1" s="2476"/>
      <c r="I1" s="2476"/>
      <c r="J1" s="2476"/>
      <c r="K1" s="2476"/>
      <c r="L1" s="1374"/>
      <c r="M1" s="1374"/>
    </row>
    <row r="2" spans="1:13" ht="12" customHeight="1" x14ac:dyDescent="0.2">
      <c r="B2" s="2478">
        <f>'Single Audit Cover'!E7</f>
        <v>50082188022</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1843</v>
      </c>
      <c r="C10" s="1385" t="s">
        <v>1950</v>
      </c>
      <c r="D10" s="1386" t="s">
        <v>2131</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1844</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1845</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1846</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1847</v>
      </c>
      <c r="C38" s="1420"/>
    </row>
    <row r="39" spans="1:13" ht="9.6" customHeight="1" x14ac:dyDescent="0.2">
      <c r="B39" s="1300" t="s">
        <v>1348</v>
      </c>
      <c r="C39" s="1300"/>
      <c r="M39" s="1421"/>
    </row>
    <row r="40" spans="1:13" ht="12.6" customHeight="1" x14ac:dyDescent="0.2">
      <c r="B40" s="1420" t="s">
        <v>1848</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8" sqref="A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Brooklyn UD 188</v>
      </c>
      <c r="C1" s="2499"/>
      <c r="D1" s="2499"/>
      <c r="E1" s="2499"/>
      <c r="F1" s="2499"/>
      <c r="G1" s="2499"/>
      <c r="H1" s="2499"/>
      <c r="I1" s="2499"/>
      <c r="J1" s="2499"/>
      <c r="K1" s="2499"/>
      <c r="L1" s="1465"/>
    </row>
    <row r="2" spans="1:12" ht="12.75" customHeight="1" x14ac:dyDescent="0.2">
      <c r="B2" s="2500">
        <f>'Single Audit Cover'!E7</f>
        <v>50082188022</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1857</v>
      </c>
      <c r="C8" s="1467" t="s">
        <v>1950</v>
      </c>
      <c r="D8" s="1468" t="s">
        <v>2131</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1858</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1859</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1860</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1861</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1862</v>
      </c>
      <c r="C48" s="1419"/>
      <c r="D48" s="322"/>
      <c r="E48" s="322"/>
      <c r="F48" s="322"/>
    </row>
    <row r="49" spans="2:3" s="317" customFormat="1" ht="10.5" customHeight="1" x14ac:dyDescent="0.2">
      <c r="B49" s="1420" t="s">
        <v>1863</v>
      </c>
      <c r="C49" s="1420"/>
    </row>
    <row r="50" spans="2:3" s="317" customFormat="1" ht="11.1" customHeight="1" x14ac:dyDescent="0.2">
      <c r="B50" s="1420" t="s">
        <v>1864</v>
      </c>
      <c r="C50" s="1420"/>
    </row>
    <row r="51" spans="2:3" s="317" customFormat="1" ht="11.1" customHeight="1" x14ac:dyDescent="0.2">
      <c r="B51" s="1420" t="s">
        <v>1865</v>
      </c>
      <c r="C51" s="1420"/>
    </row>
    <row r="52" spans="2:3" s="317" customFormat="1" ht="11.1" customHeight="1" x14ac:dyDescent="0.2">
      <c r="B52" s="1420" t="s">
        <v>1866</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8" sqref="A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Brooklyn UD 188</v>
      </c>
      <c r="C1" s="2476"/>
      <c r="D1" s="2476"/>
      <c r="E1" s="1491"/>
    </row>
    <row r="2" spans="2:5" s="1282" customFormat="1" ht="12.75" customHeight="1" x14ac:dyDescent="0.2">
      <c r="B2" s="2478">
        <f>'Single Audit Cover'!E7</f>
        <v>50082188022</v>
      </c>
      <c r="C2" s="2478"/>
      <c r="D2" s="2478"/>
      <c r="E2" s="1492"/>
    </row>
    <row r="3" spans="2:5" ht="12.75" customHeight="1" x14ac:dyDescent="0.2">
      <c r="B3" s="2492" t="s">
        <v>1867</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1868</v>
      </c>
      <c r="C5" s="328"/>
      <c r="D5" s="328"/>
      <c r="E5" s="328"/>
    </row>
    <row r="6" spans="2:5" s="1282" customFormat="1" ht="13.5" customHeight="1" x14ac:dyDescent="0.2">
      <c r="B6" s="1495" t="s">
        <v>1382</v>
      </c>
      <c r="C6" s="1495" t="s">
        <v>1381</v>
      </c>
      <c r="D6" s="1495" t="s">
        <v>1869</v>
      </c>
    </row>
    <row r="7" spans="2:5" ht="13.5" customHeight="1" x14ac:dyDescent="0.2">
      <c r="B7" s="1496"/>
      <c r="C7" s="324"/>
      <c r="D7" s="324"/>
      <c r="E7" s="324"/>
    </row>
    <row r="8" spans="2:5" ht="13.5" customHeight="1" x14ac:dyDescent="0.2">
      <c r="B8" s="1496" t="s">
        <v>2131</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1870</v>
      </c>
    </row>
    <row r="46" spans="2:5" ht="12.2" customHeight="1" x14ac:dyDescent="0.2">
      <c r="B46" s="1505" t="s">
        <v>1871</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purl.org/dc/dcmitype/"/>
    <ds:schemaRef ds:uri="http://schemas.microsoft.com/office/infopath/2007/PartnerControls"/>
    <ds:schemaRef ds:uri="http://purl.org/dc/elements/1.1/"/>
    <ds:schemaRef ds:uri="http://schemas.openxmlformats.org/package/2006/metadata/core-properties"/>
    <ds:schemaRef ds:uri="4d435f69-8686-490b-bd6d-b153bf22ab50"/>
    <ds:schemaRef ds:uri="http://purl.org/dc/terms/"/>
    <ds:schemaRef ds:uri="http://schemas.microsoft.com/office/2006/documentManagement/types"/>
    <ds:schemaRef ds:uri="d21dc803-237d-4c68-8692-8d731fd29118"/>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2018-10-22T17:25:02Z</cp:lastPrinted>
  <dcterms:created xsi:type="dcterms:W3CDTF">2003-10-29T19:06:34Z</dcterms:created>
  <dcterms:modified xsi:type="dcterms:W3CDTF">2018-10-29T18:26:02Z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