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2990" windowHeight="89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SF&amp;QC Sec-1" sheetId="174" r:id="rId33"/>
    <sheet name="SF&amp;QC Sec-2" sheetId="175" r:id="rId34"/>
    <sheet name="SF&amp;QC Sec-3" sheetId="176" r:id="rId35"/>
    <sheet name="SSPAF" sheetId="177" r:id="rId36"/>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2">'Aud Quest 2'!$A$1:$J$120</definedName>
    <definedName name="_xlnm.Print_Area" localSheetId="15">'ICR Computation 30'!$A$1:$G$46</definedName>
    <definedName name="_xlnm.Print_Area" localSheetId="18">'Itemization 33'!$A$1:$B$53</definedName>
    <definedName name="_xlnm.Print_Area" localSheetId="13">'PCTC-OEPP 27-28'!$A$1:$G$189</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4">'SF&amp;QC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6" i="185" l="1"/>
  <c r="I16" i="185"/>
  <c r="G16" i="185"/>
  <c r="F16" i="185"/>
  <c r="E16" i="185"/>
  <c r="K18" i="185"/>
  <c r="I18" i="185"/>
  <c r="G18" i="185"/>
  <c r="F18" i="185"/>
  <c r="E18" i="185"/>
  <c r="K17" i="185"/>
  <c r="I17" i="185"/>
  <c r="G17" i="185"/>
  <c r="F17" i="185"/>
  <c r="E17" i="185"/>
  <c r="K15" i="185"/>
  <c r="I15" i="185"/>
  <c r="G15" i="185"/>
  <c r="F15" i="185"/>
  <c r="E15" i="185"/>
  <c r="K14" i="185"/>
  <c r="I14" i="185"/>
  <c r="G14" i="185"/>
  <c r="F14" i="185"/>
  <c r="E14" i="185"/>
  <c r="K13" i="185"/>
  <c r="I13" i="185"/>
  <c r="G13" i="185"/>
  <c r="F13" i="185"/>
  <c r="E13" i="185"/>
  <c r="K12" i="185"/>
  <c r="I12" i="185"/>
  <c r="G12" i="185"/>
  <c r="F12" i="185"/>
  <c r="E12" i="185"/>
  <c r="G25" i="185" l="1"/>
  <c r="G21" i="185"/>
  <c r="I21" i="185"/>
  <c r="F21" i="185"/>
  <c r="E21" i="185"/>
  <c r="E25" i="185"/>
  <c r="F25" i="185"/>
  <c r="I25" i="185"/>
  <c r="K21" i="185"/>
  <c r="I24" i="179"/>
  <c r="G24" i="179"/>
  <c r="F24" i="179"/>
  <c r="E24" i="179"/>
  <c r="K18" i="179" l="1"/>
  <c r="K27" i="179" s="1"/>
  <c r="K16" i="184" s="1"/>
  <c r="I18" i="179"/>
  <c r="I27" i="179" s="1"/>
  <c r="G18" i="179"/>
  <c r="G27" i="179" s="1"/>
  <c r="F18" i="179"/>
  <c r="F27" i="179" s="1"/>
  <c r="E18" i="179"/>
  <c r="E27" i="179" s="1"/>
  <c r="L21" i="179"/>
  <c r="L22" i="179"/>
  <c r="L25" i="185"/>
  <c r="L21" i="185"/>
  <c r="L18" i="185"/>
  <c r="L17" i="185"/>
  <c r="L16" i="185"/>
  <c r="L15" i="185"/>
  <c r="L14" i="185"/>
  <c r="L13" i="185"/>
  <c r="L12" i="185"/>
  <c r="B4" i="185"/>
  <c r="I19" i="183"/>
  <c r="G19" i="183"/>
  <c r="F19" i="183"/>
  <c r="E19" i="183"/>
  <c r="E16" i="184" l="1"/>
  <c r="F16" i="184"/>
  <c r="G16" i="184"/>
  <c r="I16" i="184"/>
  <c r="L16" i="184" s="1"/>
  <c r="L18" i="179"/>
  <c r="L13" i="184"/>
  <c r="B4" i="184"/>
  <c r="L22" i="183"/>
  <c r="L19" i="183"/>
  <c r="L17" i="183"/>
  <c r="L16" i="183"/>
  <c r="L15" i="183"/>
  <c r="L14" i="183"/>
  <c r="L13" i="183"/>
  <c r="B4" i="183"/>
  <c r="E43" i="4" l="1"/>
  <c r="G32" i="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4" i="179"/>
  <c r="L23" i="179"/>
  <c r="L17" i="179"/>
  <c r="L16" i="179"/>
  <c r="L15" i="179"/>
  <c r="L14" i="179"/>
  <c r="L13" i="179"/>
  <c r="D12"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1" i="183"/>
  <c r="B2" i="179"/>
  <c r="B2" i="185"/>
  <c r="B2" i="183"/>
  <c r="B2" i="184"/>
  <c r="B2" i="177"/>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K24" i="12" s="1"/>
  <c r="B7733" i="106" s="1"/>
  <c r="J12" i="12"/>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K94" i="29"/>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F72" i="34"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0" i="106"/>
  <c r="D7010"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D26" i="108"/>
  <c r="F26" i="108"/>
  <c r="G26" i="108"/>
  <c r="D27" i="108"/>
  <c r="E27" i="108"/>
  <c r="F27" i="108"/>
  <c r="G27" i="108"/>
  <c r="F31" i="108"/>
  <c r="F37" i="108"/>
  <c r="G28" i="108"/>
  <c r="E29" i="108"/>
  <c r="D31"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6" i="7"/>
  <c r="D6" i="7" s="1"/>
  <c r="B1762" i="106" s="1"/>
  <c r="D1762" i="106" s="1"/>
  <c r="B7" i="7"/>
  <c r="B1747" i="106" s="1"/>
  <c r="D1747" i="106" s="1"/>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B5161" i="106" s="1"/>
  <c r="D5161" i="106" s="1"/>
  <c r="D140" i="5"/>
  <c r="G140" i="5"/>
  <c r="G144" i="5"/>
  <c r="B5756" i="106" s="1"/>
  <c r="D5756" i="106" s="1"/>
  <c r="G154" i="5"/>
  <c r="B4357" i="106" s="1"/>
  <c r="D4357" i="106" s="1"/>
  <c r="C144" i="5"/>
  <c r="B5165" i="106" s="1"/>
  <c r="D5165" i="106" s="1"/>
  <c r="C154" i="5"/>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s="1"/>
  <c r="D6400" i="106" s="1"/>
  <c r="K178" i="5"/>
  <c r="B4951" i="106" s="1"/>
  <c r="D4951" i="106" s="1"/>
  <c r="C184" i="5"/>
  <c r="B5232" i="106" s="1"/>
  <c r="D5232" i="106" s="1"/>
  <c r="D184" i="5"/>
  <c r="F184" i="5"/>
  <c r="B5658" i="106" s="1"/>
  <c r="D5658" i="106" s="1"/>
  <c r="G184" i="5"/>
  <c r="B5784" i="106" s="1"/>
  <c r="D5784" i="106" s="1"/>
  <c r="H184" i="5"/>
  <c r="B5908" i="106" s="1"/>
  <c r="D5908" i="106" s="1"/>
  <c r="K184" i="5"/>
  <c r="D191" i="5"/>
  <c r="B4396" i="106" s="1"/>
  <c r="D4396" i="106" s="1"/>
  <c r="F191" i="5"/>
  <c r="G191" i="5"/>
  <c r="G201" i="5"/>
  <c r="B6409" i="106" s="1"/>
  <c r="D6409" i="106" s="1"/>
  <c r="D211" i="5"/>
  <c r="B5444" i="106" s="1"/>
  <c r="D5444" i="106" s="1"/>
  <c r="F211" i="5"/>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D14" i="4"/>
  <c r="B2570" i="106" s="1"/>
  <c r="D2570" i="106" s="1"/>
  <c r="B2633" i="106"/>
  <c r="D2633" i="106" s="1"/>
  <c r="D7" i="118"/>
  <c r="D8" i="118"/>
  <c r="D9" i="118"/>
  <c r="H14" i="118"/>
  <c r="H19" i="118"/>
  <c r="H24" i="118"/>
  <c r="D11" i="37"/>
  <c r="D22" i="37"/>
  <c r="B1746" i="106" l="1"/>
  <c r="D1746" i="106" s="1"/>
  <c r="H29" i="118"/>
  <c r="I210" i="29"/>
  <c r="B7071" i="106" s="1"/>
  <c r="D7071" i="106" s="1"/>
  <c r="G35" i="108"/>
  <c r="E35" i="108"/>
  <c r="F70" i="34"/>
  <c r="D12" i="7"/>
  <c r="B1769" i="106" s="1"/>
  <c r="D1769" i="106" s="1"/>
  <c r="J210" i="29"/>
  <c r="B7072" i="106" s="1"/>
  <c r="D7072" i="106" s="1"/>
  <c r="L5" i="11"/>
  <c r="B2056" i="106" s="1"/>
  <c r="D2056" i="106" s="1"/>
  <c r="C129" i="29"/>
  <c r="C151" i="29" s="1"/>
  <c r="B1226" i="106" s="1"/>
  <c r="D1226" i="106" s="1"/>
  <c r="D15" i="7"/>
  <c r="B1772" i="106" s="1"/>
  <c r="D1772" i="106" s="1"/>
  <c r="H33" i="118"/>
  <c r="B7047" i="106"/>
  <c r="D7047" i="106" s="1"/>
  <c r="B6995" i="106"/>
  <c r="D6995" i="106" s="1"/>
  <c r="B1274" i="106"/>
  <c r="D1274" i="106" s="1"/>
  <c r="D7" i="7"/>
  <c r="B1763" i="106" s="1"/>
  <c r="D1763" i="106" s="1"/>
  <c r="D5" i="4"/>
  <c r="B3406" i="106" s="1"/>
  <c r="D3406" i="106" s="1"/>
  <c r="F46" i="34"/>
  <c r="E26" i="108"/>
  <c r="B7074" i="106"/>
  <c r="D7074" i="106" s="1"/>
  <c r="D24" i="37"/>
  <c r="B4270" i="106" s="1"/>
  <c r="D4270" i="106" s="1"/>
  <c r="F35" i="34"/>
  <c r="H173" i="5"/>
  <c r="E30" i="108"/>
  <c r="D9" i="7"/>
  <c r="B1767" i="106" s="1"/>
  <c r="D1767" i="106" s="1"/>
  <c r="B7727" i="106"/>
  <c r="D7727" i="106" s="1"/>
  <c r="F62" i="34"/>
  <c r="G29" i="108"/>
  <c r="E174" i="29"/>
  <c r="B1309" i="106" s="1"/>
  <c r="D1309" i="106" s="1"/>
  <c r="F37" i="34"/>
  <c r="H112" i="29"/>
  <c r="B7018" i="106" s="1"/>
  <c r="D7018" i="106" s="1"/>
  <c r="B3619" i="106"/>
  <c r="D3619" i="106" s="1"/>
  <c r="B2836" i="106"/>
  <c r="D2836" i="106" s="1"/>
  <c r="D17" i="7"/>
  <c r="B4104" i="106" s="1"/>
  <c r="D4104" i="106" s="1"/>
  <c r="F111" i="34"/>
  <c r="J77" i="4"/>
  <c r="B6262" i="106" s="1"/>
  <c r="D6262" i="106" s="1"/>
  <c r="G30" i="108"/>
  <c r="B6289" i="106"/>
  <c r="D6289" i="106" s="1"/>
  <c r="F172" i="5"/>
  <c r="B5644" i="106" s="1"/>
  <c r="D5644" i="106" s="1"/>
  <c r="G38" i="108"/>
  <c r="G34" i="108"/>
  <c r="E109" i="5"/>
  <c r="E4" i="4" s="1"/>
  <c r="B2630" i="106" s="1"/>
  <c r="D2630" i="106" s="1"/>
  <c r="G33" i="108"/>
  <c r="L342" i="29"/>
  <c r="F38" i="34"/>
  <c r="J352" i="29"/>
  <c r="B7235" i="106" s="1"/>
  <c r="D7235" i="106" s="1"/>
  <c r="I129" i="29"/>
  <c r="B7037" i="106" s="1"/>
  <c r="D7037" i="106" s="1"/>
  <c r="J22" i="37"/>
  <c r="D69" i="36"/>
  <c r="F131" i="34"/>
  <c r="F44" i="34"/>
  <c r="E38" i="108"/>
  <c r="H109" i="5"/>
  <c r="B6025" i="106" s="1"/>
  <c r="D6025" i="106" s="1"/>
  <c r="J274" i="5"/>
  <c r="B7054" i="106" s="1"/>
  <c r="D7054" i="106" s="1"/>
  <c r="J41" i="3"/>
  <c r="B6216" i="106" s="1"/>
  <c r="D6216" i="106" s="1"/>
  <c r="H365" i="29"/>
  <c r="B7242" i="106" s="1"/>
  <c r="D7242" i="106" s="1"/>
  <c r="K184" i="29"/>
  <c r="F13" i="4" s="1"/>
  <c r="B2596" i="106" s="1"/>
  <c r="D2596" i="106" s="1"/>
  <c r="F41" i="34"/>
  <c r="B3647" i="106"/>
  <c r="D3647" i="106" s="1"/>
  <c r="I24" i="12"/>
  <c r="B1996" i="106" s="1"/>
  <c r="D1996" i="106" s="1"/>
  <c r="G5" i="4"/>
  <c r="B3409" i="106" s="1"/>
  <c r="D3409" i="106" s="1"/>
  <c r="F94" i="34"/>
  <c r="F49" i="34"/>
  <c r="D36" i="108"/>
  <c r="D41" i="108" s="1"/>
  <c r="E43" i="108" s="1"/>
  <c r="F36" i="108"/>
  <c r="F128" i="34"/>
  <c r="N22" i="3"/>
  <c r="B283" i="106" s="1"/>
  <c r="D283" i="106" s="1"/>
  <c r="F45" i="34"/>
  <c r="I342" i="29"/>
  <c r="B7222" i="106" s="1"/>
  <c r="D7222" i="106" s="1"/>
  <c r="G39" i="108"/>
  <c r="F66" i="34"/>
  <c r="C342" i="29"/>
  <c r="B7216" i="106" s="1"/>
  <c r="D7216" i="106" s="1"/>
  <c r="J129" i="29"/>
  <c r="B7038" i="106" s="1"/>
  <c r="D7038" i="106" s="1"/>
  <c r="K76" i="4"/>
  <c r="B3586" i="106" s="1"/>
  <c r="D3586" i="106" s="1"/>
  <c r="G15" i="145"/>
  <c r="D109" i="5"/>
  <c r="D4" i="7"/>
  <c r="B1760" i="106" s="1"/>
  <c r="D1760" i="106" s="1"/>
  <c r="B4413" i="106"/>
  <c r="D4413" i="106" s="1"/>
  <c r="L367" i="29"/>
  <c r="F19" i="7"/>
  <c r="B1807" i="106" s="1"/>
  <c r="D1807" i="106" s="1"/>
  <c r="B2724" i="106"/>
  <c r="D2724" i="106" s="1"/>
  <c r="H76" i="4"/>
  <c r="B3298" i="106" s="1"/>
  <c r="D3298" i="106" s="1"/>
  <c r="I173" i="5"/>
  <c r="B4216" i="106" s="1"/>
  <c r="D4216" i="106" s="1"/>
  <c r="D6103" i="106"/>
  <c r="K41" i="3"/>
  <c r="B1128" i="106"/>
  <c r="D1128" i="106" s="1"/>
  <c r="E28" i="108"/>
  <c r="F28" i="108"/>
  <c r="D13" i="7"/>
  <c r="B3726" i="106" s="1"/>
  <c r="D3726" i="106" s="1"/>
  <c r="B5425" i="106"/>
  <c r="D5425" i="106" s="1"/>
  <c r="F127" i="34"/>
  <c r="B2054" i="106"/>
  <c r="D2054" i="106" s="1"/>
  <c r="L13" i="11"/>
  <c r="B2060" i="106" s="1"/>
  <c r="D2060" i="106" s="1"/>
  <c r="B5677" i="106"/>
  <c r="D5677" i="106" s="1"/>
  <c r="F130" i="34"/>
  <c r="L22" i="37"/>
  <c r="B2734" i="106"/>
  <c r="D2734" i="106" s="1"/>
  <c r="B1511" i="106"/>
  <c r="D1511" i="106" s="1"/>
  <c r="G14" i="4"/>
  <c r="B2609" i="106" s="1"/>
  <c r="D2609" i="106" s="1"/>
  <c r="C109" i="5"/>
  <c r="B5121" i="106" s="1"/>
  <c r="D5121" i="106" s="1"/>
  <c r="B5066" i="106"/>
  <c r="D5066" i="106" s="1"/>
  <c r="B1745" i="106"/>
  <c r="D1745" i="106" s="1"/>
  <c r="D5" i="7"/>
  <c r="B1761" i="106" s="1"/>
  <c r="D1761" i="106" s="1"/>
  <c r="B6848" i="106"/>
  <c r="D6848" i="106" s="1"/>
  <c r="F34" i="34"/>
  <c r="H28" i="118"/>
  <c r="B1868" i="106"/>
  <c r="D1868" i="106" s="1"/>
  <c r="B6006" i="106"/>
  <c r="D6006" i="106" s="1"/>
  <c r="K173" i="5"/>
  <c r="K6" i="4" s="1"/>
  <c r="B3570" i="106" s="1"/>
  <c r="D3570" i="106" s="1"/>
  <c r="B5906" i="106"/>
  <c r="D5906" i="106" s="1"/>
  <c r="H6" i="4"/>
  <c r="B2656" i="106" s="1"/>
  <c r="D2656" i="106" s="1"/>
  <c r="G172" i="5"/>
  <c r="B5752" i="106"/>
  <c r="D5752" i="106" s="1"/>
  <c r="B1752" i="106"/>
  <c r="D1752" i="106" s="1"/>
  <c r="D11" i="7"/>
  <c r="B1768" i="106" s="1"/>
  <c r="D1768" i="106" s="1"/>
  <c r="B5488" i="106"/>
  <c r="D5488" i="106" s="1"/>
  <c r="F136" i="34"/>
  <c r="B5383" i="106"/>
  <c r="D5383" i="106" s="1"/>
  <c r="F106" i="34"/>
  <c r="B3668" i="106"/>
  <c r="D3668" i="106" s="1"/>
  <c r="K350" i="29"/>
  <c r="B6016" i="106"/>
  <c r="D6016" i="106" s="1"/>
  <c r="K274" i="5"/>
  <c r="K7" i="4" s="1"/>
  <c r="B3718" i="106" s="1"/>
  <c r="D3718" i="106" s="1"/>
  <c r="B5178" i="106"/>
  <c r="D5178" i="106" s="1"/>
  <c r="C172" i="5"/>
  <c r="B5214" i="106" s="1"/>
  <c r="D5214" i="106" s="1"/>
  <c r="B3621" i="106"/>
  <c r="D3621" i="106" s="1"/>
  <c r="C367" i="29"/>
  <c r="B3622" i="106" s="1"/>
  <c r="D3622" i="106" s="1"/>
  <c r="B4373" i="106"/>
  <c r="D4373" i="106" s="1"/>
  <c r="I274" i="5"/>
  <c r="B4435" i="106" s="1"/>
  <c r="D4435" i="106" s="1"/>
  <c r="B3254" i="106"/>
  <c r="D3254" i="106" s="1"/>
  <c r="F77" i="4"/>
  <c r="B3255" i="106" s="1"/>
  <c r="D3255" i="106" s="1"/>
  <c r="F21" i="8"/>
  <c r="G109" i="5"/>
  <c r="L15" i="11"/>
  <c r="B3459" i="106" s="1"/>
  <c r="D3459" i="106" s="1"/>
  <c r="B3649" i="106"/>
  <c r="D3649" i="106" s="1"/>
  <c r="G367" i="29"/>
  <c r="B3650" i="106" s="1"/>
  <c r="D3650" i="106" s="1"/>
  <c r="K285" i="29"/>
  <c r="B3724" i="106" s="1"/>
  <c r="D3724" i="106" s="1"/>
  <c r="B1329" i="106"/>
  <c r="D1329" i="106" s="1"/>
  <c r="F61" i="34"/>
  <c r="G210" i="29"/>
  <c r="B1124" i="106"/>
  <c r="D1124" i="106" s="1"/>
  <c r="H342" i="29"/>
  <c r="L312"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J367" i="29" l="1"/>
  <c r="B7245" i="106" s="1"/>
  <c r="D7245" i="106" s="1"/>
  <c r="H4" i="4"/>
  <c r="B2655" i="106" s="1"/>
  <c r="D2655" i="106" s="1"/>
  <c r="K28" i="118"/>
  <c r="O27" i="118" s="1"/>
  <c r="O29" i="118" s="1"/>
  <c r="D274" i="5"/>
  <c r="H77" i="4"/>
  <c r="B3299" i="106" s="1"/>
  <c r="D3299" i="106" s="1"/>
  <c r="B5527" i="106"/>
  <c r="D5527" i="106" s="1"/>
  <c r="K77" i="4"/>
  <c r="B3587" i="106" s="1"/>
  <c r="D3587" i="106" s="1"/>
  <c r="B1328" i="106"/>
  <c r="D1328" i="106" s="1"/>
  <c r="H275" i="5"/>
  <c r="I6" i="4"/>
  <c r="B5011" i="106" s="1"/>
  <c r="D5011" i="106" s="1"/>
  <c r="B5914" i="106"/>
  <c r="D5914" i="106" s="1"/>
  <c r="I26" i="12"/>
  <c r="B7741" i="106" s="1"/>
  <c r="D7741" i="106" s="1"/>
  <c r="B1317" i="106"/>
  <c r="D1317" i="106" s="1"/>
  <c r="H8" i="4"/>
  <c r="I7" i="4"/>
  <c r="B4444" i="106" s="1"/>
  <c r="D4444" i="106" s="1"/>
  <c r="J7" i="4"/>
  <c r="B6222" i="106" s="1"/>
  <c r="D6222" i="106" s="1"/>
  <c r="J16" i="4"/>
  <c r="B6226" i="106" s="1"/>
  <c r="D6226" i="106" s="1"/>
  <c r="K365" i="29"/>
  <c r="K16" i="4" s="1"/>
  <c r="B3628" i="106"/>
  <c r="D3628" i="106" s="1"/>
  <c r="N23" i="3"/>
  <c r="B284" i="106" s="1"/>
  <c r="D284" i="106" s="1"/>
  <c r="F41" i="108"/>
  <c r="G43" i="108" s="1"/>
  <c r="L114" i="29"/>
  <c r="C4" i="4"/>
  <c r="B2551" i="106" s="1"/>
  <c r="D2551" i="106" s="1"/>
  <c r="D7255" i="106"/>
  <c r="D7253" i="106"/>
  <c r="J151" i="29"/>
  <c r="B7052" i="106" s="1"/>
  <c r="D7052" i="106" s="1"/>
  <c r="D7250" i="106"/>
  <c r="D7252" i="106"/>
  <c r="B3568" i="106"/>
  <c r="D3568" i="106" s="1"/>
  <c r="D52" i="36"/>
  <c r="D44" i="36"/>
  <c r="F6" i="4"/>
  <c r="B2593" i="106" s="1"/>
  <c r="D2593" i="106" s="1"/>
  <c r="B5356" i="106"/>
  <c r="D5356" i="106" s="1"/>
  <c r="D4" i="4"/>
  <c r="B2564" i="106" s="1"/>
  <c r="D2564" i="106" s="1"/>
  <c r="D7254" i="106"/>
  <c r="B6022" i="106"/>
  <c r="D6022" i="106" s="1"/>
  <c r="L16" i="11"/>
  <c r="B2061" i="106" s="1"/>
  <c r="D2061" i="106" s="1"/>
  <c r="B6014" i="106"/>
  <c r="D6014" i="106" s="1"/>
  <c r="F274" i="5"/>
  <c r="F275" i="5" s="1"/>
  <c r="B5720" i="106" s="1"/>
  <c r="D5720" i="106" s="1"/>
  <c r="G173" i="5"/>
  <c r="B5770" i="106"/>
  <c r="D5770" i="106" s="1"/>
  <c r="C173" i="5"/>
  <c r="F73" i="34"/>
  <c r="G15" i="4"/>
  <c r="B6032" i="106" s="1"/>
  <c r="D6032" i="106" s="1"/>
  <c r="B1365" i="106"/>
  <c r="D1365" i="106" s="1"/>
  <c r="F65" i="34"/>
  <c r="B3670" i="106"/>
  <c r="D3670" i="106" s="1"/>
  <c r="K352" i="29"/>
  <c r="D7256" i="106"/>
  <c r="D7251" i="106"/>
  <c r="C114" i="29"/>
  <c r="B757" i="106" s="1"/>
  <c r="D757" i="106" s="1"/>
  <c r="B1879" i="106"/>
  <c r="D1879" i="106" s="1"/>
  <c r="H22" i="37"/>
  <c r="D19" i="7"/>
  <c r="B1775" i="106" s="1"/>
  <c r="D1775" i="106" s="1"/>
  <c r="K342" i="29"/>
  <c r="F13" i="34" s="1"/>
  <c r="B6024" i="106"/>
  <c r="D6024" i="106" s="1"/>
  <c r="G4" i="4"/>
  <c r="B2603" i="106" s="1"/>
  <c r="D2603" i="106" s="1"/>
  <c r="H367" i="29"/>
  <c r="B3660" i="106" s="1"/>
  <c r="D3660"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2658" i="106"/>
  <c r="D2658" i="106" s="1"/>
  <c r="H10" i="4"/>
  <c r="B4127" i="106" s="1"/>
  <c r="D4127" i="106" s="1"/>
  <c r="D7" i="4"/>
  <c r="B5507" i="106"/>
  <c r="D5507" i="106" s="1"/>
  <c r="B7298" i="106"/>
  <c r="B7299" i="106"/>
  <c r="D275" i="5" l="1"/>
  <c r="K367" i="29"/>
  <c r="B7243" i="106"/>
  <c r="D7243" i="106" s="1"/>
  <c r="F7" i="4"/>
  <c r="B2594" i="106" s="1"/>
  <c r="D2594" i="106" s="1"/>
  <c r="B1145" i="106"/>
  <c r="D1145" i="106" s="1"/>
  <c r="B5719" i="106"/>
  <c r="D5719" i="106" s="1"/>
  <c r="B7224" i="106"/>
  <c r="D7224" i="106" s="1"/>
  <c r="B5223" i="106"/>
  <c r="D5223" i="106" s="1"/>
  <c r="C6" i="4"/>
  <c r="B2553" i="106" s="1"/>
  <c r="D2553" i="106" s="1"/>
  <c r="K13" i="4"/>
  <c r="B3572" i="106" s="1"/>
  <c r="D3572" i="106" s="1"/>
  <c r="B3672" i="106"/>
  <c r="D3672" i="106" s="1"/>
  <c r="F24" i="37"/>
  <c r="G41" i="108"/>
  <c r="G44" i="108" s="1"/>
  <c r="G45" i="108" s="1"/>
  <c r="B5778" i="106"/>
  <c r="D5778" i="106" s="1"/>
  <c r="G6" i="4"/>
  <c r="B2604" i="106" s="1"/>
  <c r="D2604" i="106" s="1"/>
  <c r="J8" i="4"/>
  <c r="J20" i="4"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F8" i="4" l="1"/>
  <c r="B6223" i="106"/>
  <c r="D6223" i="106" s="1"/>
  <c r="J10" i="4"/>
  <c r="B6225" i="106" s="1"/>
  <c r="D6225" i="106" s="1"/>
  <c r="D8" i="4"/>
  <c r="D10" i="4" s="1"/>
  <c r="B4123" i="106" s="1"/>
  <c r="D4123" i="106" s="1"/>
  <c r="K17" i="4"/>
  <c r="B3575" i="106" s="1"/>
  <c r="D357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B2568" i="106" l="1"/>
  <c r="D2568" i="106" s="1"/>
  <c r="F10" i="4"/>
  <c r="B4125" i="106" s="1"/>
  <c r="D4125" i="106" s="1"/>
  <c r="D8" i="146"/>
  <c r="B2595" i="106"/>
  <c r="D2595"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<sst xmlns="http://schemas.openxmlformats.org/spreadsheetml/2006/main" count="5284" uniqueCount="2169">
  <si>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</si>
  <si>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</si>
  <si>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</si>
  <si>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</si>
  <si>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</si>
  <si>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</si>
  <si>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</si>
  <si>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</si>
  <si>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</si>
  <si>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</si>
  <si>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</si>
  <si>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</si>
  <si>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</si>
  <si>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</si>
  <si>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</si>
  <si>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</si>
  <si>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</si>
  <si>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</si>
  <si>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</si>
  <si>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</si>
  <si>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</si>
  <si>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</si>
  <si>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</si>
  <si>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</si>
  <si>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</si>
  <si>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</si>
  <si>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</si>
  <si>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</si>
  <si>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</si>
  <si>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</si>
  <si>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</si>
  <si>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</si>
  <si>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</si>
  <si>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</si>
  <si>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</si>
  <si>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</si>
  <si>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</si>
  <si>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</si>
  <si>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</si>
  <si>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</si>
  <si>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</si>
  <si>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</si>
  <si>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</si>
  <si>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</si>
  <si>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</si>
  <si>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</si>
  <si>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</si>
  <si>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</si>
  <si>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</si>
  <si>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</si>
  <si>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</si>
  <si>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</si>
  <si>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</si>
  <si>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</si>
  <si>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</si>
  <si>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</si>
  <si>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</si>
  <si>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</si>
  <si>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</si>
  <si>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</si>
  <si>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</si>
  <si>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</si>
  <si>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</si>
  <si>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</si>
  <si>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</si>
  <si>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</si>
  <si>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</si>
  <si>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</si>
  <si>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</si>
  <si>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</si>
  <si>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</si>
  <si>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</si>
  <si>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</si>
  <si>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</si>
  <si>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</si>
  <si>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</si>
  <si>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</si>
  <si>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</si>
  <si>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</si>
  <si>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</si>
  <si>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</si>
  <si>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</si>
  <si>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</si>
  <si>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</si>
  <si>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</si>
  <si>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</si>
  <si>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</si>
  <si>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</si>
  <si>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</si>
  <si>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</si>
  <si>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</si>
  <si>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</si>
  <si>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</si>
  <si>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</si>
  <si>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</si>
  <si>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</si>
  <si>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</si>
  <si>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</si>
  <si>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</si>
  <si>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</si>
  <si>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</si>
  <si>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</si>
  <si>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</si>
  <si>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</si>
  <si>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</si>
  <si>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</si>
  <si>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</si>
  <si>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</si>
  <si>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</si>
  <si>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</si>
  <si>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</si>
  <si>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</si>
  <si>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</si>
  <si>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</si>
  <si>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</si>
  <si>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</si>
  <si>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</si>
  <si>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</si>
  <si>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</si>
  <si>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</si>
  <si>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</si>
  <si>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</si>
  <si>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</si>
  <si>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</si>
  <si>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</si>
  <si>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</si>
  <si>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</si>
  <si>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</si>
  <si>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</si>
  <si>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</si>
  <si>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</si>
  <si>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</si>
  <si>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</si>
  <si>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</si>
  <si>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</si>
  <si>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</si>
  <si>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</si>
  <si>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</si>
  <si>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</si>
  <si>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</si>
  <si>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</si>
  <si>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</si>
  <si>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</si>
  <si>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</si>
  <si>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</si>
  <si>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</si>
  <si>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</si>
  <si>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</si>
  <si>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</si>
  <si>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</si>
  <si>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</si>
  <si>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</si>
  <si>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</si>
  <si>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</si>
  <si>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</si>
  <si>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</si>
  <si>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</si>
  <si>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</si>
  <si>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</si>
  <si>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</si>
  <si>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</si>
  <si>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</si>
  <si>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</si>
  <si>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</si>
  <si>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</si>
  <si>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</si>
  <si>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</si>
  <si>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</si>
  <si>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</si>
  <si>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</si>
  <si>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</si>
  <si>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</si>
  <si>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</si>
  <si>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</si>
  <si>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</si>
  <si>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</si>
  <si>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</si>
  <si>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</si>
  <si>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</si>
  <si>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</si>
  <si>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</si>
  <si>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</si>
  <si>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</si>
  <si>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</si>
  <si>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</si>
  <si>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</si>
  <si>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</si>
  <si>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</si>
  <si>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</si>
  <si>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</si>
  <si>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</si>
  <si>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</si>
  <si>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</si>
  <si>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</si>
  <si>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</si>
  <si>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</si>
  <si>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</si>
  <si>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</si>
  <si>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</si>
  <si>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</si>
  <si>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</si>
  <si>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</si>
  <si>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</si>
  <si>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</si>
  <si>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</si>
  <si>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</si>
  <si>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</si>
  <si>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</si>
  <si>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</si>
  <si>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</si>
  <si>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</si>
  <si>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</si>
  <si>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</si>
  <si>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</si>
  <si>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</si>
  <si>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</si>
  <si>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</si>
  <si>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</si>
  <si>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</si>
  <si>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</si>
  <si>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</si>
  <si>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</si>
  <si>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</si>
  <si>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</si>
  <si>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</si>
  <si>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</si>
  <si>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</si>
  <si>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</si>
  <si>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</si>
  <si>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</si>
  <si>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</si>
  <si>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</si>
  <si>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</si>
  <si>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</si>
  <si>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</si>
  <si>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</si>
  <si>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</si>
  <si>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</si>
  <si>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</si>
  <si>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</si>
  <si>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</si>
  <si>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</si>
  <si>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</si>
  <si>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</si>
  <si>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</si>
  <si>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</si>
  <si>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</si>
  <si>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</si>
  <si>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</si>
  <si>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</si>
  <si>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</si>
  <si>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</si>
  <si>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</si>
  <si>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</si>
  <si>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</si>
  <si>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</si>
  <si>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</si>
  <si>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</si>
  <si>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</si>
  <si>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</si>
  <si>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</si>
  <si>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</si>
  <si>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</si>
  <si>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</si>
  <si>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</si>
  <si>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</si>
  <si>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</si>
  <si>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</si>
  <si>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</si>
  <si>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</si>
  <si>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</si>
  <si>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</si>
  <si>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</si>
  <si>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</si>
  <si>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</si>
  <si>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</si>
  <si>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</si>
  <si>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</si>
  <si>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</si>
  <si>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</si>
  <si>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</si>
  <si>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</si>
  <si>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</si>
  <si>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</si>
  <si>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</si>
  <si>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</si>
  <si>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</si>
  <si>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</si>
  <si>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</si>
  <si>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</si>
  <si>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</si>
  <si>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</si>
  <si>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</si>
  <si>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</si>
  <si>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</si>
  <si>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</si>
  <si>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</si>
  <si>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</si>
  <si>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</si>
  <si>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</si>
  <si>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</si>
  <si>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</si>
  <si>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</si>
  <si>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</si>
  <si>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</si>
  <si>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</si>
  <si>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</si>
  <si>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</si>
  <si>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</si>
  <si>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</si>
  <si>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</si>
  <si>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</si>
  <si>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</si>
  <si>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</si>
  <si>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</si>
  <si>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</si>
  <si>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</si>
  <si>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</si>
  <si>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</si>
  <si>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</si>
  <si>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</si>
  <si>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</si>
  <si>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</si>
  <si>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</si>
  <si>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</si>
  <si>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</si>
  <si>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</si>
  <si>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</si>
  <si>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</si>
  <si>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</si>
  <si>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</si>
  <si>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</si>
  <si>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</si>
  <si>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</si>
  <si>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</si>
  <si>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</si>
  <si>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</si>
  <si>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</si>
  <si>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</si>
  <si>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</si>
  <si>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</si>
  <si>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</si>
  <si>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</si>
  <si>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</si>
  <si>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</si>
  <si>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</si>
  <si>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</si>
  <si>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</si>
  <si>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</si>
  <si>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</si>
  <si>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</si>
  <si>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</si>
  <si>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</si>
  <si>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</si>
  <si>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</si>
  <si>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</si>
  <si>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</si>
  <si>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</si>
  <si>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</si>
  <si>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</si>
  <si>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</si>
  <si>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</si>
  <si>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</si>
  <si>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</si>
  <si>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</si>
  <si>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</si>
  <si>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</si>
  <si>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</si>
  <si>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</si>
  <si>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</si>
  <si>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</si>
  <si>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</si>
  <si>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</si>
  <si>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</si>
  <si>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</si>
  <si>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</si>
  <si>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</si>
  <si>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</si>
  <si>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</si>
  <si>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</si>
  <si>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</si>
  <si>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</si>
  <si>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</si>
  <si>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</si>
  <si>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</si>
  <si>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</si>
  <si>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</si>
  <si>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</si>
  <si>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</si>
  <si>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</si>
  <si>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</si>
  <si>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</si>
  <si>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</si>
  <si>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</si>
  <si>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</si>
  <si>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</si>
  <si>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</si>
  <si>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</si>
  <si>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</si>
  <si>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</si>
  <si>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</si>
  <si>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</si>
  <si>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</si>
  <si>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</si>
  <si>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</si>
  <si>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</si>
  <si>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</si>
  <si>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</si>
  <si>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</si>
  <si>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</si>
  <si>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</si>
  <si>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</si>
  <si>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</si>
  <si>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</si>
  <si>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</si>
  <si>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</si>
  <si>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</si>
  <si>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</si>
  <si>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</si>
  <si>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</si>
  <si>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</si>
  <si>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</si>
  <si>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</si>
  <si>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</si>
  <si>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</si>
  <si>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</si>
  <si>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</si>
  <si>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</si>
  <si>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</si>
  <si>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</si>
  <si>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</si>
  <si>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</si>
  <si>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</si>
  <si>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</si>
  <si>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</si>
  <si>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</si>
  <si>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</si>
  <si>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</si>
  <si>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</si>
  <si>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</si>
  <si>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</si>
  <si>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</si>
  <si>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</si>
  <si>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</si>
  <si>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</si>
  <si>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</si>
  <si>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</si>
  <si>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</si>
  <si>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</si>
  <si>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</si>
  <si>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</si>
  <si>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</si>
  <si>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</si>
  <si>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</si>
  <si>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</si>
  <si>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</si>
  <si>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</si>
  <si>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</si>
  <si>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</si>
  <si>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</si>
  <si>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</si>
  <si>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</si>
  <si>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</si>
  <si>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</si>
  <si>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</si>
  <si>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</si>
  <si>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</si>
  <si>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</si>
  <si>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</si>
  <si>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</si>
  <si>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</si>
  <si>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</si>
  <si>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</si>
  <si>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</si>
  <si>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</si>
  <si>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</si>
  <si>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</si>
  <si>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</si>
  <si>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</si>
  <si>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</si>
  <si>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</si>
  <si>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</si>
  <si>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</si>
  <si>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</si>
  <si>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</si>
  <si>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</si>
  <si>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</si>
  <si>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</si>
  <si>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</si>
  <si>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</si>
  <si>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</si>
  <si>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</si>
  <si>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</si>
  <si>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</si>
  <si>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</si>
  <si>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</si>
  <si>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</si>
  <si>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</si>
  <si>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</si>
  <si>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</si>
  <si>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</si>
  <si>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</si>
  <si>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</si>
  <si>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</si>
  <si>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</si>
  <si>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</si>
  <si>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</si>
  <si>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</si>
  <si>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</si>
  <si>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</si>
  <si>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</si>
  <si>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</si>
  <si>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</si>
  <si>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</si>
  <si>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</si>
  <si>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</si>
  <si>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</si>
  <si>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</si>
  <si>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</si>
  <si>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</si>
  <si>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</si>
  <si>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</si>
  <si>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</si>
  <si>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</si>
  <si>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</si>
  <si>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</si>
  <si>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</si>
  <si>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</si>
  <si>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</si>
  <si>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</si>
  <si>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</si>
  <si>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</si>
  <si>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</si>
  <si>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</si>
  <si>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</si>
  <si>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</si>
  <si>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</si>
  <si>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</si>
  <si>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</si>
  <si>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</si>
  <si>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</si>
  <si>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</si>
  <si>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</si>
  <si>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</si>
  <si>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</si>
  <si>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</si>
  <si>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</si>
  <si>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</si>
  <si>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</si>
  <si>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</si>
  <si>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</si>
  <si>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</si>
  <si>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</si>
  <si>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</si>
  <si>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</si>
  <si>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</si>
  <si>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</si>
  <si>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</si>
  <si>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</si>
  <si>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</si>
  <si>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</si>
  <si>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</si>
  <si>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</si>
  <si>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</si>
  <si>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</si>
  <si>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</si>
  <si>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</si>
  <si>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</si>
  <si>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</si>
  <si>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</si>
  <si>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</si>
  <si>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</si>
  <si>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</si>
  <si>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</si>
  <si>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</si>
  <si>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</si>
  <si>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</si>
  <si>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</si>
  <si>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</si>
  <si>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</si>
  <si>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</si>
  <si>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</si>
  <si>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</si>
  <si>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</si>
  <si>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</si>
  <si>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</si>
  <si>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</si>
  <si>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</si>
  <si>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</si>
  <si>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</si>
  <si>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</si>
  <si>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</si>
  <si>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</si>
  <si>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</si>
  <si>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</si>
  <si>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</si>
  <si>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</si>
  <si>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</si>
  <si>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</si>
  <si>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</si>
  <si>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</si>
  <si>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</si>
  <si>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</si>
  <si>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</si>
  <si>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</si>
  <si>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</si>
  <si>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</si>
  <si>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</si>
  <si>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</si>
  <si>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</si>
  <si>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</si>
  <si>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</si>
  <si>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</si>
  <si>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</si>
  <si>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</si>
  <si>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</si>
  <si>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</si>
  <si>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</si>
  <si>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</si>
  <si>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</si>
  <si>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</si>
  <si>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</si>
  <si>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</si>
  <si>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</si>
  <si>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</si>
  <si>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</si>
  <si>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</si>
  <si>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</si>
  <si>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</si>
  <si>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</si>
  <si>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</si>
  <si>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</si>
  <si>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</si>
  <si>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</si>
  <si>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</si>
  <si>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</si>
  <si>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</si>
  <si>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</si>
  <si>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</si>
  <si>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</si>
  <si>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</si>
  <si>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</si>
  <si>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</si>
  <si>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</si>
  <si>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</si>
  <si>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</si>
  <si>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</si>
  <si>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</si>
  <si>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</si>
  <si>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</si>
  <si>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</si>
  <si>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</si>
  <si>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</si>
  <si>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</si>
  <si>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</si>
  <si>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</si>
  <si>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</si>
  <si>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</si>
  <si>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</si>
  <si>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</si>
  <si>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</si>
  <si>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</si>
  <si>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</si>
  <si>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</si>
  <si>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</si>
  <si>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</si>
  <si>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</si>
  <si>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</si>
  <si>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</si>
  <si>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</si>
  <si>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</si>
  <si>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</si>
  <si>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</si>
  <si>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</si>
  <si>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</si>
  <si>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</si>
  <si>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</si>
  <si>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</si>
  <si>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</si>
  <si>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</si>
  <si>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</si>
  <si>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</si>
  <si>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</si>
  <si>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</si>
  <si>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</si>
  <si>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</si>
  <si>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</si>
  <si>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</si>
  <si>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</si>
  <si>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</si>
  <si>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</si>
  <si>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</si>
  <si>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</si>
  <si>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</si>
  <si>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</si>
  <si>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</si>
  <si>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</si>
  <si>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</si>
  <si>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</si>
  <si>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</si>
  <si>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</si>
  <si>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</si>
  <si>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</si>
  <si>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</si>
  <si>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</si>
  <si>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</si>
  <si>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</si>
  <si>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</si>
  <si>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</si>
  <si>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</si>
  <si>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</si>
  <si>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</si>
  <si>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</si>
  <si>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</si>
  <si>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</si>
  <si>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</si>
  <si>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</si>
  <si>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</si>
  <si>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</si>
  <si>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</si>
  <si>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</si>
  <si>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</si>
  <si>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</si>
  <si>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</si>
  <si>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</si>
  <si>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</si>
  <si>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</si>
  <si>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</si>
  <si>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</si>
  <si>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</si>
  <si>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</si>
  <si>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</si>
  <si>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</si>
  <si>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</si>
  <si>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</si>
  <si>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</si>
  <si>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</si>
  <si>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</si>
  <si>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</si>
  <si>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</si>
  <si>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</si>
  <si>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</si>
  <si>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</si>
  <si>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</si>
  <si>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</si>
  <si>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</si>
  <si>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</si>
  <si>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</si>
  <si>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</si>
  <si>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</si>
  <si>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</si>
  <si>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</si>
  <si>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</si>
  <si>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</si>
  <si>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</si>
  <si>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</si>
  <si>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</si>
  <si>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</si>
  <si>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</si>
  <si>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</si>
  <si>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</si>
  <si>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</si>
  <si>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</si>
  <si>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</si>
  <si>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</si>
  <si>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</si>
  <si>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</si>
  <si>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</si>
  <si>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</si>
  <si>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</si>
  <si>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</si>
  <si>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</si>
  <si>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</si>
  <si>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</si>
  <si>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</si>
  <si>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</si>
  <si>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</si>
  <si>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</si>
  <si>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</si>
  <si>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</si>
  <si>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</si>
  <si>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</si>
  <si>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</si>
  <si>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</si>
  <si>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</si>
  <si>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</si>
  <si>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</si>
  <si>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</si>
  <si>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</si>
  <si>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</si>
  <si>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</si>
  <si>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</si>
  <si>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</si>
  <si>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</si>
  <si>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</si>
  <si>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</si>
  <si>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</si>
  <si>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</si>
  <si>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</si>
  <si>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</si>
  <si>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</si>
  <si>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</si>
  <si>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</si>
  <si>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</si>
  <si>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</si>
  <si>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</si>
  <si>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</si>
  <si>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</si>
  <si>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</si>
  <si>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</si>
  <si>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</si>
  <si>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</si>
  <si>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</si>
  <si>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</si>
  <si>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</si>
  <si>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</si>
  <si>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</si>
  <si>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</si>
  <si>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</si>
  <si>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</si>
  <si>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</si>
  <si>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</si>
  <si>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</si>
  <si>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</si>
  <si>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</si>
  <si>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</si>
  <si>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</si>
  <si>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</si>
  <si>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</si>
  <si>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</si>
  <si>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</si>
  <si>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</si>
  <si>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</si>
  <si>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</si>
  <si>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</si>
  <si>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</si>
  <si>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</si>
  <si>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</si>
  <si>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</si>
  <si>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</si>
  <si>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</si>
  <si>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</si>
  <si>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</si>
  <si>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</si>
  <si>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</si>
  <si>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</si>
  <si>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</si>
  <si>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</si>
  <si>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</si>
  <si>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</si>
  <si>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</si>
  <si>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</si>
  <si>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</si>
  <si>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</si>
  <si>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</si>
  <si>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</si>
  <si>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</si>
  <si>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</si>
  <si>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</si>
  <si>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</si>
  <si>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</si>
  <si>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</si>
  <si>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</si>
  <si>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</si>
  <si>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</si>
  <si>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</si>
  <si>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</si>
  <si>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</si>
  <si>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</si>
  <si>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</si>
  <si>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</si>
  <si>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</si>
  <si>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</si>
  <si>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</si>
  <si>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</si>
  <si>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</si>
  <si>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</si>
  <si>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</si>
  <si>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</si>
  <si>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</si>
  <si>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</si>
  <si>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</si>
  <si>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</si>
  <si>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</si>
  <si>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</si>
  <si>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</si>
  <si>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</si>
  <si>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</si>
  <si>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</si>
  <si>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</si>
  <si>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</si>
  <si>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</si>
  <si>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</si>
  <si>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</si>
  <si>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</si>
  <si>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</si>
  <si>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</si>
  <si>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</si>
  <si>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</si>
  <si>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</si>
  <si>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</si>
  <si>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</si>
  <si>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</si>
  <si>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</si>
  <si>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</si>
  <si>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</si>
  <si>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</si>
  <si>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</si>
  <si>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</si>
  <si>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</si>
  <si>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</si>
  <si>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</si>
  <si>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</si>
  <si>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</si>
  <si>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</si>
  <si>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</si>
  <si>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</si>
  <si>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</si>
  <si>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</si>
  <si>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</si>
  <si>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</si>
  <si>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</si>
  <si>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</si>
  <si>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</si>
  <si>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</si>
  <si>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</si>
  <si>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</si>
  <si>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</si>
  <si>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</si>
  <si>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</si>
  <si>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</si>
  <si>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</si>
  <si>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</si>
  <si>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</si>
  <si>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</si>
  <si>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</si>
  <si>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</si>
  <si>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</si>
  <si>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</si>
  <si>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</si>
  <si>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</si>
  <si>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</si>
  <si>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</si>
  <si>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</si>
  <si>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</si>
  <si>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</si>
  <si>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</si>
  <si>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</si>
  <si>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</si>
  <si>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</si>
  <si>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</si>
  <si>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</si>
  <si>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</si>
  <si>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</si>
  <si>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</si>
  <si>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</si>
  <si>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</si>
  <si>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</si>
  <si>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</si>
  <si>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</si>
  <si>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</si>
  <si>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</si>
  <si>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</si>
  <si>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</si>
  <si>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</si>
  <si>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</si>
  <si>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</si>
  <si>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</si>
  <si>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</si>
  <si>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</si>
  <si>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</si>
  <si>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</si>
  <si>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</si>
  <si>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</si>
  <si>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</si>
  <si>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</si>
  <si>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</si>
  <si>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</si>
  <si>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</si>
  <si>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</si>
  <si>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</si>
  <si>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</si>
  <si>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</si>
  <si>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</si>
  <si>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</si>
  <si>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</si>
  <si>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</si>
  <si>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</si>
  <si>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</si>
  <si>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</si>
  <si>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</si>
  <si>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</si>
  <si>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</si>
  <si>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</si>
  <si>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</si>
  <si>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</si>
  <si>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</si>
  <si>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</si>
  <si>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</si>
  <si>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</si>
  <si>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</si>
  <si>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</si>
  <si>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</si>
  <si>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</si>
  <si>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</si>
  <si>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</si>
  <si>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</si>
  <si>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</si>
  <si>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</si>
  <si>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</si>
  <si>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</si>
  <si>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</si>
  <si>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</si>
  <si>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</si>
  <si>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</si>
  <si>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</si>
  <si>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</si>
  <si>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</si>
  <si>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</si>
  <si>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</si>
  <si>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</si>
  <si>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</si>
  <si>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</si>
  <si>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</si>
  <si>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</si>
  <si>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</si>
  <si>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</si>
  <si>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</si>
  <si>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</si>
  <si>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</si>
  <si>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</si>
  <si>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</si>
  <si>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</si>
  <si>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</si>
  <si>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</si>
  <si>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</si>
  <si>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</si>
  <si>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</si>
  <si>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</si>
  <si>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</si>
  <si>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</si>
  <si>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</si>
  <si>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</si>
  <si>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</si>
  <si>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</si>
  <si>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</si>
  <si>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</si>
  <si>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</si>
  <si>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</si>
  <si>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</si>
  <si>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</si>
  <si>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</si>
  <si>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</si>
  <si>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</si>
  <si>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</si>
  <si>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</si>
  <si>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</si>
  <si>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</si>
  <si>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</si>
  <si>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</si>
  <si>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</si>
  <si>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</si>
  <si>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</si>
  <si>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</si>
  <si>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</si>
  <si>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</si>
  <si>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</si>
  <si>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</si>
  <si>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</si>
  <si>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</si>
  <si>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</si>
  <si>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</si>
  <si>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</si>
  <si>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</si>
  <si>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</si>
  <si>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</si>
  <si>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</si>
  <si>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</si>
  <si>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</si>
  <si>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</si>
  <si>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</si>
  <si>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</si>
  <si>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</si>
  <si>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</si>
  <si>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</si>
  <si>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</si>
  <si>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</si>
  <si>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</si>
  <si>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</si>
  <si>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</si>
  <si>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</si>
  <si>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</si>
  <si>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</si>
  <si>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</si>
  <si>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</si>
  <si>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</si>
  <si>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</si>
  <si>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</si>
  <si>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</si>
  <si>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</si>
  <si>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</si>
  <si>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</si>
  <si>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</si>
  <si>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</si>
  <si>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</si>
  <si>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</si>
  <si>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</si>
  <si>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</si>
  <si>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</si>
  <si>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</si>
  <si>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</si>
  <si>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</si>
  <si>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</si>
  <si>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</si>
  <si>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</si>
  <si>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</si>
  <si>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</si>
  <si>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</si>
  <si>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</si>
  <si>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</si>
  <si>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</si>
  <si>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</si>
  <si>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</si>
  <si>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</si>
  <si>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</si>
  <si>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</si>
  <si>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</si>
  <si>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</si>
  <si>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</si>
  <si>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</si>
  <si>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</si>
  <si>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</si>
  <si>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</si>
  <si>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</si>
  <si>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</si>
  <si>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</si>
  <si>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</si>
  <si>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</si>
  <si>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</si>
  <si>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</si>
  <si>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</si>
  <si>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</si>
  <si>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</si>
  <si>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</si>
  <si>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</si>
  <si>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</si>
  <si>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</si>
  <si>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</si>
  <si>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</si>
  <si>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</si>
  <si>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</si>
  <si>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</si>
  <si>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</si>
  <si>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</si>
  <si>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</si>
  <si>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</si>
  <si>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</si>
  <si>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</si>
  <si>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</si>
  <si>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</si>
  <si>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</si>
  <si>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</si>
  <si>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</si>
  <si>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</si>
  <si>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</si>
  <si>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</si>
  <si>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</si>
  <si>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</si>
  <si>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</si>
  <si>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</si>
  <si>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</si>
  <si>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</si>
  <si>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</si>
  <si>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</si>
  <si>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</si>
  <si>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</si>
  <si>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</si>
  <si>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</si>
  <si>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</si>
  <si>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</si>
  <si>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</si>
  <si>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</si>
  <si>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</si>
  <si>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</si>
  <si>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</si>
  <si>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</si>
  <si>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</si>
  <si>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</si>
  <si>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</si>
  <si>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</si>
  <si>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</si>
  <si>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</si>
  <si>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</si>
  <si>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</si>
  <si>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</si>
  <si>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</si>
  <si>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</si>
  <si>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</si>
  <si>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</si>
  <si>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</si>
  <si>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</si>
  <si>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</si>
  <si>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</si>
  <si>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</si>
  <si>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</si>
  <si>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</si>
  <si>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</si>
  <si>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</si>
  <si>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</si>
  <si>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</si>
  <si>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</si>
  <si>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</si>
  <si>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</si>
  <si>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</si>
  <si>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</si>
  <si>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</si>
  <si>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</si>
  <si>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</si>
  <si>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</si>
  <si>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</si>
  <si>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</si>
  <si>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</si>
  <si>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</si>
  <si>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</si>
  <si>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</si>
  <si>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</si>
  <si>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</si>
  <si>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</si>
  <si>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</si>
  <si>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</si>
  <si>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</si>
  <si>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</si>
  <si>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</si>
  <si>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</si>
  <si>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</si>
  <si>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</si>
  <si>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</si>
  <si>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</si>
  <si>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</si>
  <si>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</si>
  <si>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</si>
  <si>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</si>
  <si>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</si>
  <si>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</si>
  <si>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</si>
  <si>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</si>
  <si>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</si>
  <si>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</si>
  <si>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</si>
  <si>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</si>
  <si>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</si>
  <si>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</si>
  <si>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</si>
  <si>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</si>
  <si>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</si>
  <si>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</si>
  <si>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</si>
  <si>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</si>
  <si>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</si>
  <si>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</si>
  <si>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</si>
  <si>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</si>
  <si>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</si>
  <si>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</si>
  <si>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</si>
  <si>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</si>
  <si>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</si>
  <si>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</si>
  <si>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</si>
  <si>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</si>
  <si>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</si>
  <si>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</si>
  <si>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</si>
  <si>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</si>
  <si>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</si>
  <si>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</si>
  <si>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</si>
  <si>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</si>
  <si>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</si>
  <si>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</si>
  <si>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</si>
  <si>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</si>
  <si>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</si>
  <si>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</si>
  <si>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</si>
  <si>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</si>
  <si>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</si>
  <si>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</si>
  <si>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</si>
  <si>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</si>
  <si>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</si>
  <si>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</si>
  <si>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</si>
  <si>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</si>
  <si>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</si>
  <si>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</si>
  <si>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</si>
  <si>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</si>
  <si>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</si>
  <si>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</si>
  <si>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</si>
  <si>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</si>
  <si>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</si>
  <si>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</si>
  <si>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</si>
  <si>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</si>
  <si>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</si>
  <si>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</si>
  <si>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</si>
  <si>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</si>
  <si>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</si>
  <si>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</si>
  <si>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</si>
  <si>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</si>
  <si>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</si>
  <si>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</si>
  <si>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</si>
  <si>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</si>
  <si>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</si>
  <si>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</si>
  <si>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</si>
  <si>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</si>
  <si>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</si>
  <si>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</si>
  <si>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</si>
  <si>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</si>
  <si>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</si>
  <si>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</si>
  <si>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</si>
  <si>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</si>
  <si>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</si>
  <si>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</si>
  <si>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</si>
  <si>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</si>
  <si>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</si>
  <si>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</si>
  <si>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</si>
  <si>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</si>
  <si>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</si>
  <si>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</si>
  <si>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</si>
  <si>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</si>
  <si>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</si>
  <si>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</si>
  <si>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</si>
  <si>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</si>
  <si>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</si>
  <si>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</si>
  <si>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</si>
  <si>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</si>
  <si>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</si>
  <si>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</si>
  <si>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</si>
  <si>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</si>
  <si>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</si>
  <si>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</si>
  <si>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</si>
  <si>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</si>
  <si>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</si>
  <si>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</si>
  <si>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</si>
  <si>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</si>
  <si>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</si>
  <si>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</si>
  <si>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</si>
  <si>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</si>
  <si>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</si>
  <si>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</si>
  <si>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</si>
  <si>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</si>
  <si>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</si>
  <si>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</si>
  <si>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</si>
  <si>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</si>
  <si>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</si>
  <si>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</si>
  <si>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</si>
  <si>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</si>
  <si>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</si>
  <si>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</si>
  <si>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</si>
  <si>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</si>
  <si>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</si>
  <si>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</si>
  <si>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</si>
  <si>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</si>
  <si>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</si>
  <si>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</si>
  <si>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</si>
  <si>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</si>
  <si>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</si>
  <si>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</si>
  <si>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</si>
  <si>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</si>
  <si>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</si>
  <si>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</si>
  <si>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</si>
  <si>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</si>
  <si>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</si>
  <si>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</si>
  <si>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</si>
  <si>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</si>
  <si>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</si>
  <si>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</si>
  <si>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</si>
  <si>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</si>
  <si>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</si>
  <si>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</si>
  <si>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</si>
  <si>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</si>
  <si>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</si>
  <si>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</si>
  <si>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</si>
  <si>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</si>
  <si>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</si>
  <si>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</si>
  <si>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</si>
  <si>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</si>
  <si>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</si>
  <si>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</si>
  <si>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</si>
  <si>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</si>
  <si>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</si>
  <si>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</si>
  <si>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</si>
  <si>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</si>
  <si>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</si>
  <si>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</si>
  <si>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</si>
  <si>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</si>
  <si>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</si>
  <si>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</si>
  <si>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</si>
  <si>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</si>
  <si>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</si>
  <si>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</si>
  <si>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</si>
  <si>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</si>
  <si>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</si>
  <si>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</si>
  <si>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</si>
  <si>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</si>
  <si>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</si>
  <si>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</si>
  <si>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</si>
  <si>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</si>
  <si>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</si>
  <si>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</si>
  <si>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</si>
  <si>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</si>
  <si>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</si>
  <si>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</si>
  <si>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</si>
  <si>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</si>
  <si>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</si>
  <si>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</si>
  <si>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</si>
  <si>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</si>
  <si>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</si>
  <si>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</si>
  <si>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</si>
  <si>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</si>
  <si>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</si>
  <si>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</si>
  <si>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</si>
  <si>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</si>
  <si>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</si>
  <si>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</si>
  <si>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</si>
  <si>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</si>
  <si>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</si>
  <si>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</si>
  <si>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</si>
  <si>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</si>
  <si>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</si>
  <si>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</si>
  <si>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</si>
  <si>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</si>
  <si>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</si>
  <si>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</si>
  <si>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</si>
  <si>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</si>
  <si>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</si>
  <si>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</si>
  <si>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</si>
  <si>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</si>
  <si>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</si>
  <si>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</si>
  <si>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</si>
  <si>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</si>
  <si>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</si>
  <si>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</si>
  <si>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</si>
  <si>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</si>
  <si>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</si>
  <si>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</si>
  <si>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</si>
  <si>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</si>
  <si>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</si>
  <si>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</si>
  <si>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</si>
  <si>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</si>
  <si>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</si>
  <si>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</si>
  <si>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</si>
  <si>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</si>
  <si>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</si>
  <si>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</si>
  <si>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</si>
  <si>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</si>
  <si>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</si>
  <si>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</si>
  <si>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</si>
  <si>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</si>
  <si>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</si>
  <si>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</si>
  <si>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</si>
  <si>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</si>
  <si>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</si>
  <si>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</si>
  <si>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</si>
  <si>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</si>
  <si>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</si>
  <si>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</si>
  <si>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</si>
  <si>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</si>
  <si>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</si>
  <si>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</si>
  <si>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</si>
  <si>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</si>
  <si>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</si>
  <si>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</si>
  <si>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</si>
  <si>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</si>
  <si>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</si>
  <si>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</si>
  <si>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</si>
  <si>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</si>
  <si>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</si>
  <si>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</si>
  <si>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</si>
  <si>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</si>
  <si>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</si>
  <si>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</si>
  <si>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</si>
  <si>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</si>
  <si>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</si>
  <si>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</si>
  <si>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</si>
  <si>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</si>
  <si>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</si>
  <si>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</si>
  <si>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</si>
  <si>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</si>
  <si>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</si>
  <si>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</si>
  <si>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</si>
  <si>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</si>
  <si>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</si>
  <si>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</si>
  <si>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</si>
  <si>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</si>
  <si>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</si>
  <si>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</si>
  <si>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</si>
  <si>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</si>
  <si>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</si>
  <si>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</si>
  <si>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</si>
  <si>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</si>
  <si>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</si>
  <si>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</si>
  <si>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</si>
  <si>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</si>
  <si>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</si>
  <si>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</si>
  <si>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</si>
  <si>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</si>
  <si>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</si>
  <si>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</si>
  <si>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</si>
  <si>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</si>
  <si>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</si>
  <si>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</si>
  <si>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</si>
  <si>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</si>
  <si>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</si>
  <si>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</si>
  <si>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</si>
  <si>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</si>
  <si>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</si>
  <si>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</si>
  <si>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</si>
  <si>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</si>
  <si>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</si>
  <si>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</si>
  <si>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</si>
  <si>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</si>
  <si>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</si>
  <si>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</si>
  <si>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</si>
  <si>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</si>
  <si>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</si>
  <si>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</si>
  <si>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</si>
  <si>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</si>
  <si>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</si>
  <si>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</si>
  <si>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</si>
  <si>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</si>
  <si>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</si>
  <si>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</si>
  <si>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</si>
  <si>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</si>
  <si>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</si>
  <si>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</si>
  <si>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</si>
  <si>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</si>
  <si>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</si>
  <si>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</si>
  <si>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</si>
  <si>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</si>
  <si>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</si>
  <si>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</si>
  <si>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</si>
  <si>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</si>
  <si>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</si>
  <si>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</si>
  <si>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</si>
  <si>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</si>
  <si>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</si>
  <si>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</si>
  <si>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</si>
  <si>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</si>
  <si>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</si>
  <si>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</si>
  <si>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</si>
  <si>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</si>
  <si>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</si>
  <si>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</si>
  <si>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</si>
  <si>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</si>
  <si>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</si>
  <si>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</si>
  <si>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</si>
  <si>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</si>
  <si>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</si>
  <si>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</si>
  <si>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</si>
  <si>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</si>
  <si>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</si>
  <si>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</si>
  <si>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</si>
  <si>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</si>
  <si>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</si>
  <si>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</si>
  <si>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</si>
  <si>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</si>
  <si>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</si>
  <si>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</si>
  <si>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</si>
  <si>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</si>
  <si>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</si>
  <si>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</si>
  <si>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</si>
  <si>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</si>
  <si>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</si>
  <si>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</si>
  <si>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</si>
  <si>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</si>
  <si>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</si>
  <si>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</si>
  <si>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</si>
  <si>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</si>
  <si>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</si>
  <si>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</si>
  <si>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</si>
  <si>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</si>
  <si>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</si>
  <si>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</si>
  <si>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</si>
  <si>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</si>
  <si>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</si>
  <si>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</si>
  <si>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</si>
  <si>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</si>
  <si>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</si>
  <si>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</si>
  <si>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</si>
  <si>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</si>
  <si>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</si>
  <si>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</si>
  <si>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</si>
  <si>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</si>
  <si>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</si>
  <si>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</si>
  <si>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</si>
  <si>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</si>
  <si>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</si>
  <si>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</si>
  <si>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</si>
  <si>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</si>
  <si>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</si>
  <si>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</si>
  <si>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</si>
  <si>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</si>
  <si>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</si>
  <si>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</si>
  <si>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</si>
  <si>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</si>
  <si>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</si>
  <si>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</si>
  <si>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</si>
  <si>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</si>
  <si>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</si>
  <si>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</si>
  <si>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</si>
  <si>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</si>
  <si>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</si>
  <si>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</si>
  <si>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</si>
  <si>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</si>
  <si>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</si>
  <si>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</si>
  <si>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</si>
  <si>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</si>
  <si>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</si>
  <si>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</si>
  <si>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</si>
  <si>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</si>
  <si>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</si>
  <si>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</si>
  <si>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</si>
  <si>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</si>
  <si>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</si>
  <si>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</si>
  <si>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</si>
  <si>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</si>
  <si>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</si>
  <si>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</si>
  <si>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</si>
  <si>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</si>
  <si>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</si>
  <si>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</si>
  <si>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</si>
  <si>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</si>
  <si>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</si>
  <si>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</si>
  <si>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</si>
  <si>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</si>
  <si>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</si>
  <si>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</si>
  <si>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</si>
  <si>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</si>
  <si>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</si>
  <si>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</si>
  <si>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</si>
  <si>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</si>
  <si>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</si>
  <si>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</si>
  <si>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</si>
  <si>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</si>
  <si>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</si>
  <si>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</si>
  <si>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</si>
  <si>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</si>
  <si>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</si>
  <si>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</si>
  <si>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</si>
  <si>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</si>
  <si>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</si>
  <si>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</si>
  <si>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</si>
  <si>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</si>
  <si>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</si>
  <si>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</si>
  <si>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</si>
  <si>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</si>
  <si>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</si>
  <si>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</si>
  <si>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</si>
  <si>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</si>
  <si>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</si>
  <si>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</si>
  <si>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</si>
  <si>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</si>
  <si>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</si>
  <si>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</si>
  <si>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</si>
  <si>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</si>
  <si>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</si>
  <si>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</si>
  <si>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</si>
  <si>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</si>
  <si>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</si>
  <si>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</si>
  <si>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</si>
  <si>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</si>
  <si>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</si>
  <si>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</si>
  <si>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</si>
  <si>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</si>
  <si>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</si>
  <si>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</si>
  <si>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</si>
  <si>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</si>
  <si>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</si>
  <si>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</si>
  <si>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</si>
  <si>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</si>
  <si>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</si>
  <si>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</si>
  <si>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</si>
  <si>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</si>
  <si>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</si>
  <si>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</si>
  <si>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</si>
  <si>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</si>
  <si>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</si>
  <si>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</si>
  <si>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</si>
  <si>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</si>
  <si>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</si>
  <si>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</si>
  <si>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</si>
  <si>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</si>
  <si>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</si>
  <si>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</si>
  <si>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</si>
  <si>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</si>
  <si>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</si>
  <si>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</si>
  <si>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</si>
  <si>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</si>
  <si>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</si>
  <si>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</si>
  <si>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</si>
  <si>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</si>
  <si>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</si>
  <si>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</si>
  <si>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</si>
  <si>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</si>
  <si>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</si>
  <si>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</si>
  <si>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</si>
  <si>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</si>
  <si>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</si>
  <si>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</si>
  <si>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</si>
  <si>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</si>
  <si>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</si>
  <si>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</si>
  <si>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</si>
  <si>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</si>
  <si>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</si>
  <si>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</si>
  <si>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</si>
  <si>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</si>
  <si>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</si>
  <si>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</si>
  <si>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</si>
  <si>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</si>
  <si>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</si>
  <si>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</si>
  <si>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</si>
  <si>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</si>
  <si>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</si>
  <si>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</si>
  <si>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</si>
  <si>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</si>
  <si>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</si>
  <si>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</si>
  <si>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</si>
  <si>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</si>
  <si>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</si>
  <si>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</si>
  <si>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</si>
  <si>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</si>
  <si>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</si>
  <si>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</si>
  <si>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</si>
  <si>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</si>
  <si>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</si>
  <si>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</si>
  <si>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</si>
  <si>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</si>
  <si>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</si>
  <si>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</si>
  <si>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</si>
  <si>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</si>
  <si>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</si>
  <si>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</si>
  <si>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</si>
  <si>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</si>
  <si>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</si>
  <si>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</si>
  <si>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</si>
  <si>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</si>
  <si>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</si>
  <si>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</si>
  <si>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</si>
  <si>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</si>
  <si>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</si>
  <si>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</si>
  <si>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</si>
  <si>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</si>
  <si>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</si>
  <si>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</si>
  <si>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</si>
  <si>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</si>
  <si>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</si>
  <si>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</si>
  <si>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</si>
  <si>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</si>
  <si>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</si>
  <si>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</si>
  <si>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</si>
  <si>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</si>
  <si>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</si>
  <si>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</si>
  <si>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</si>
  <si>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</si>
  <si>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</si>
  <si>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</si>
  <si>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</si>
  <si>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</si>
  <si>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</si>
  <si>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</si>
  <si>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</si>
  <si>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</si>
  <si>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</si>
  <si>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</si>
  <si>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</si>
  <si>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</si>
  <si>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</si>
  <si>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</si>
  <si>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</si>
  <si>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</si>
  <si>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</si>
  <si>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</si>
  <si>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</si>
  <si>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</si>
  <si>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</si>
  <si>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</si>
  <si>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</si>
  <si>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</si>
  <si>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</si>
  <si>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</si>
  <si>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</si>
  <si>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</si>
  <si>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</si>
  <si>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</si>
  <si>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</si>
  <si>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</si>
  <si>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</si>
  <si>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</si>
  <si>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</si>
  <si>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</si>
  <si>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</si>
  <si>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</si>
  <si>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</si>
  <si>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</si>
  <si>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</si>
  <si>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</si>
  <si>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</si>
  <si>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</si>
  <si>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</si>
  <si>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</si>
  <si>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</si>
  <si>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</si>
  <si>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</si>
  <si>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</si>
  <si>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</si>
  <si>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</si>
  <si>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</si>
  <si>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</si>
  <si>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</si>
  <si>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</si>
  <si>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</si>
  <si>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</si>
  <si>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</si>
  <si>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</si>
  <si>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</si>
  <si>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</si>
  <si>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</si>
  <si>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</si>
  <si>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</si>
  <si>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</si>
  <si>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</si>
  <si>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</si>
  <si>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</si>
  <si>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</si>
  <si>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</si>
  <si>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</si>
  <si>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</si>
  <si>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</si>
  <si>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</si>
  <si>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</si>
  <si>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</si>
  <si>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</si>
  <si>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</si>
  <si>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</si>
  <si>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</si>
  <si>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</si>
  <si>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</si>
  <si>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</si>
  <si>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</si>
  <si>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</si>
  <si>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</si>
  <si>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</si>
  <si>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</si>
  <si>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</si>
  <si>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</si>
  <si>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</si>
  <si>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</si>
  <si>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</si>
  <si>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</si>
  <si>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</si>
  <si>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</si>
  <si>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</si>
  <si>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</si>
  <si>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</si>
  <si>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</si>
  <si>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</si>
  <si>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</si>
  <si>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</si>
  <si>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</si>
  <si>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</si>
  <si>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</si>
  <si>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</si>
  <si>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</si>
  <si>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</si>
  <si>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</si>
  <si>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</si>
  <si>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</si>
  <si>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</si>
  <si>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</si>
  <si>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</si>
  <si>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</si>
  <si>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</si>
  <si>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</si>
  <si>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</si>
  <si>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</si>
  <si>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</si>
  <si>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</si>
  <si>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</si>
  <si>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</si>
  <si>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</si>
  <si>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</si>
  <si>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</si>
  <si>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</si>
  <si>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</si>
  <si>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</si>
  <si>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</si>
  <si>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</si>
  <si>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</si>
  <si>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</si>
  <si>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</si>
  <si>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</si>
  <si>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</si>
  <si>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</si>
  <si>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</si>
  <si>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</si>
  <si>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</si>
  <si>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</si>
  <si>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</si>
  <si>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</si>
  <si>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</si>
  <si>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</si>
  <si>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</si>
  <si>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</si>
  <si>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</si>
  <si>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</si>
  <si>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</si>
  <si>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</si>
  <si>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DENNIS ROSE</t>
  </si>
  <si>
    <t>DENNIS ROSE &amp; ASSOCIATES, P.C.</t>
  </si>
  <si>
    <t xml:space="preserve">1904 STATE STREET </t>
  </si>
  <si>
    <t>ALTON</t>
  </si>
  <si>
    <t>IL</t>
  </si>
  <si>
    <t>618-465-4999</t>
  </si>
  <si>
    <t>618-465-5050</t>
  </si>
  <si>
    <t>066-005060</t>
  </si>
  <si>
    <t>DROSECPA@DRA-CPA.COM</t>
  </si>
  <si>
    <t>7401 WESTCHESTER DRIVE</t>
  </si>
  <si>
    <t>BELLEVILLE</t>
  </si>
  <si>
    <t>ST. CLAIR</t>
  </si>
  <si>
    <t>GENERAL OBLIGATION SCHOOL BONDS, SERIES 2009A</t>
  </si>
  <si>
    <t>GO CAPITAL APPRECIATION SCHOOL BONDS, SERIES 2009B</t>
  </si>
  <si>
    <t>GENERAL OBLIGATION SCHOOL BONDS, SERIES 2013</t>
  </si>
  <si>
    <t>GENERAL OBLIGATION SCHOOL BONDS, SERIES 2016A</t>
  </si>
  <si>
    <t>GENERAL OBLIGATION SCHOOL BONDS, SERIES 2016B</t>
  </si>
  <si>
    <t>BUS LEASE</t>
  </si>
  <si>
    <t>CAPITAL LEASE</t>
  </si>
  <si>
    <t>COPIER LEASE</t>
  </si>
  <si>
    <t>GUIN-MUNDORF</t>
  </si>
  <si>
    <t>BASSC</t>
  </si>
  <si>
    <t>COMPU-TYPE</t>
  </si>
  <si>
    <t>VALUE OF COMMODITIES</t>
  </si>
  <si>
    <r>
      <t xml:space="preserve">The accompanying Schedule of Expenditures of Federal Awards includes the federal grant activity of </t>
    </r>
    <r>
      <rPr>
        <b/>
        <sz val="9"/>
        <rFont val="Calibri"/>
        <family val="2"/>
        <scheme val="minor"/>
      </rPr>
      <t>Harmony-Emge School District No. 175</t>
    </r>
    <r>
      <rPr>
        <sz val="9"/>
        <rFont val="Calibri"/>
        <family val="2"/>
        <scheme val="minor"/>
      </rPr>
      <t xml:space="preserve"> and is presented on the cash</t>
    </r>
    <r>
      <rPr>
        <b/>
        <sz val="9"/>
        <rFont val="Calibri"/>
        <family val="2"/>
        <scheme val="minor"/>
      </rPr>
      <t xml:space="preserve">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</si>
  <si>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NONE</t>
  </si>
  <si>
    <r>
      <t xml:space="preserve">The following amounts were expended in the form of non-cash assistance by </t>
    </r>
    <r>
      <rPr>
        <b/>
        <sz val="9"/>
        <rFont val="Calibri"/>
        <family val="2"/>
        <scheme val="minor"/>
      </rPr>
      <t>Harmony-Emge School District No. 175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</si>
  <si>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U.S. DEPARTMENT OF EDUCATION:</t>
  </si>
  <si>
    <t>PASS THROUGH FROM THE ILLINOIS STATE BOARD OF EDUCATION:</t>
  </si>
  <si>
    <t>TITLE I-LOW INCOME     (M)</t>
  </si>
  <si>
    <t>84.010A</t>
  </si>
  <si>
    <t>2017-4300-00</t>
  </si>
  <si>
    <t>2018-4300-00</t>
  </si>
  <si>
    <t>TITLE II-TEACHER QUALITY</t>
  </si>
  <si>
    <t>84.367A</t>
  </si>
  <si>
    <t>2017-4932-00</t>
  </si>
  <si>
    <t>2018-4932-00</t>
  </si>
  <si>
    <t xml:space="preserve">   TOTAL ILLINOIS STATE BOARD OF EDUCATION</t>
  </si>
  <si>
    <t>U.S. DEPARTMENT OF HEALTH &amp; HUMAN SERVICES:</t>
  </si>
  <si>
    <t>PASS THROUGH STATE OF ILLINOIS DEPARTMENT OF HEALTHCARE AND FAMILY SERVICES:</t>
  </si>
  <si>
    <t>MEDICAID MATCHING</t>
  </si>
  <si>
    <t>U.S. DEPARTMENT OF AGRICULTURE:</t>
  </si>
  <si>
    <t>NATIONAL SCHOOL LUNCH PROGRAM</t>
  </si>
  <si>
    <t>SCHOOL BREAKFAST PROGRAM</t>
  </si>
  <si>
    <t>COMMODITIES (NON-CASH ASSISTANCE)</t>
  </si>
  <si>
    <t>2017-4210-00</t>
  </si>
  <si>
    <t>2018-4210-00</t>
  </si>
  <si>
    <t>2017-4220-00</t>
  </si>
  <si>
    <t>2018-4220-00</t>
  </si>
  <si>
    <t>2018-4299-00</t>
  </si>
  <si>
    <t>TOTAL U.S. DEPARTMENT OF AGRICULTURE</t>
  </si>
  <si>
    <t>U.S. DEPARTMENT OF DEFENSE</t>
  </si>
  <si>
    <t>TOTAL FEDERAL PROGRAMS</t>
  </si>
  <si>
    <t>17-4620-00</t>
  </si>
  <si>
    <t>18-4620-00</t>
  </si>
  <si>
    <t>2018-4400-00</t>
  </si>
  <si>
    <t>PASS THROUGH BELLEVILLE AREA SPECIAL SERVICES COOPERATIVE:</t>
  </si>
  <si>
    <t xml:space="preserve">   TOTAL BELLEVILLE AREA SPECIAL SERVICES COOPERATIVE</t>
  </si>
  <si>
    <t>18-4600</t>
  </si>
  <si>
    <t>TOTAL U.S. DEPARTMENT OF EDUCATION</t>
  </si>
  <si>
    <r>
      <t xml:space="preserve">Of the federal expenditures presented in the schedule, </t>
    </r>
    <r>
      <rPr>
        <b/>
        <sz val="9"/>
        <rFont val="Calibri"/>
        <family val="2"/>
        <scheme val="minor"/>
      </rPr>
      <t>Harmony-Emge SD No. 175</t>
    </r>
    <r>
      <rPr>
        <sz val="9"/>
        <rFont val="Calibri"/>
        <family val="2"/>
        <scheme val="minor"/>
      </rPr>
      <t xml:space="preserve"> provided federal awards to subrecipients as follows:</t>
    </r>
  </si>
  <si>
    <t>INFORMATIONAL ONLY:</t>
  </si>
  <si>
    <t>TOTAL CFDA 84.010A</t>
  </si>
  <si>
    <t>TOTAL CFDA 84.367A</t>
  </si>
  <si>
    <t>TOTAL CFDA 84.424</t>
  </si>
  <si>
    <t>TOTAL CFDA 84.027</t>
  </si>
  <si>
    <t>TOTAL CFDA 10.555</t>
  </si>
  <si>
    <t>TOTAL CFDA 10.553</t>
  </si>
  <si>
    <t>TOTAL CFDA 93.778</t>
  </si>
  <si>
    <t>TOTAL OF ALL CFDAS</t>
  </si>
  <si>
    <t>TITLE I - LOW INCOME</t>
  </si>
  <si>
    <t>I.D.E.A. PART B THROUGH 94-142 FLOW THROUGH     (M)</t>
  </si>
  <si>
    <t>I.D.E.A. PART B THROUGH 94-142 PRE-SCHOOL  (M)</t>
  </si>
  <si>
    <t>I.D.E.A. PART B</t>
  </si>
  <si>
    <t>ADVERSE</t>
  </si>
  <si>
    <t>UNMODIFIED</t>
  </si>
  <si>
    <t>CLUSTER PROGRAMS:</t>
  </si>
  <si>
    <t>10.553, 10.555</t>
  </si>
  <si>
    <t>OTHER</t>
  </si>
  <si>
    <t>00-0000-000</t>
  </si>
  <si>
    <t>R9-14 A/C 1614 ED FUND - OTHER SOCIAL EVENTS</t>
  </si>
  <si>
    <t>R9-14 A/C 1690 ED FUND - OTHER EVENTS</t>
  </si>
  <si>
    <t>R9-14 A/C 1790 ED FUND - LATCH KEY</t>
  </si>
  <si>
    <t>R9-14 A/C 1993 ED FUND - ACTIVITY, NOTEBOOK, BAND/CHORUS AND ART FEES</t>
  </si>
  <si>
    <t xml:space="preserve">R9-14 A/C 1999 ED FUND - OTHER 22,851; TRANSPORTATION FUND - OTHER 38,714 </t>
  </si>
  <si>
    <t>R9-14 A/C 3999 ED FUND - STATE LIBRARY GRANT</t>
  </si>
  <si>
    <t>R9-14 A/C 4299 ED FUND - COMMODITIES (NON-CASH ASSISTANCE)</t>
  </si>
  <si>
    <t>E15-22 A/C 2190 ED FUND - DEAN OF STUDENTS, PLAYGROUND, ESP</t>
  </si>
  <si>
    <t>E15-22 A/C 4190 ED FUND - OTHER</t>
  </si>
  <si>
    <t>E15-22 A/C 5400 DEBT SERVICE FUND - OTHER</t>
  </si>
  <si>
    <t>E15-22 A/C 2190 IMRF FUND - DEAN OF STUDENTS, PLAYGROUND, ESP</t>
  </si>
  <si>
    <t>TITLE IV-STUDENT SUPPORT &amp; ACADEMIC ENRICH</t>
  </si>
  <si>
    <t>ddeets@harmony175.org</t>
  </si>
  <si>
    <t>Harmony-Emge SD 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</si>
</sst>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311727</xdr:colOff>
          <xdr:row>2</xdr:row>
          <xdr:rowOff>138546</xdr:rowOff>
        </xdr:from>
        <xdr:to>
          <xdr:col>1</xdr:col>
          <xdr:colOff>1223529</xdr:colOff>
          <xdr:row>7</xdr:row>
          <xdr:rowOff>12123</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2074</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2074</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50082175002</v>
      </c>
      <c r="B13" s="2005"/>
      <c r="C13" s="2005"/>
      <c r="D13" s="2005"/>
      <c r="E13" s="2005"/>
      <c r="F13" s="2005"/>
      <c r="G13" s="2005"/>
      <c r="H13" s="2006"/>
      <c r="I13" s="31"/>
      <c r="J13" s="30"/>
      <c r="K13" s="28"/>
      <c r="L13" s="30"/>
      <c r="M13" s="30"/>
      <c r="N13" s="30"/>
      <c r="O13" s="30"/>
      <c r="P13" s="30"/>
      <c r="Q13" s="30"/>
      <c r="R13" s="30"/>
      <c r="S13" s="30"/>
      <c r="T13" s="2009" t="s">
        <v>2076</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2086</v>
      </c>
      <c r="B15" s="2007"/>
      <c r="C15" s="2007"/>
      <c r="D15" s="2007"/>
      <c r="E15" s="2007"/>
      <c r="F15" s="2007"/>
      <c r="G15" s="2007"/>
      <c r="H15" s="2008"/>
      <c r="T15" s="1970" t="s">
        <v>2075</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2168</v>
      </c>
      <c r="B17" s="2032"/>
      <c r="C17" s="2032"/>
      <c r="D17" s="2032"/>
      <c r="E17" s="2032"/>
      <c r="F17" s="2032"/>
      <c r="G17" s="2032"/>
      <c r="H17" s="2033"/>
      <c r="T17" s="2019" t="s">
        <v>2077</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2084</v>
      </c>
      <c r="B19" s="2003"/>
      <c r="C19" s="2003"/>
      <c r="D19" s="2003"/>
      <c r="E19" s="2003"/>
      <c r="F19" s="2003"/>
      <c r="G19" s="2003"/>
      <c r="H19" s="2001"/>
      <c r="I19" s="30"/>
      <c r="J19" s="99"/>
      <c r="K19" s="40"/>
      <c r="L19" s="38"/>
      <c r="M19" s="112" t="s">
        <v>333</v>
      </c>
      <c r="P19" s="27"/>
      <c r="Q19" s="27"/>
      <c r="R19" s="27"/>
      <c r="S19" s="31"/>
      <c r="T19" s="2002" t="s">
        <v>2078</v>
      </c>
      <c r="U19" s="2000"/>
      <c r="V19" s="2000"/>
      <c r="W19" s="2001"/>
      <c r="X19" s="2017" t="s">
        <v>2079</v>
      </c>
      <c r="Y19" s="2018"/>
      <c r="Z19" s="2015">
        <v>62002</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2085</v>
      </c>
      <c r="B21" s="2000"/>
      <c r="C21" s="2000"/>
      <c r="D21" s="2000"/>
      <c r="E21" s="2000"/>
      <c r="F21" s="2000"/>
      <c r="G21" s="2000"/>
      <c r="H21" s="2001"/>
      <c r="I21" s="2025" t="s">
        <v>699</v>
      </c>
      <c r="J21" s="1988"/>
      <c r="K21" s="1988"/>
      <c r="L21" s="1988"/>
      <c r="M21" s="1988"/>
      <c r="N21" s="1988"/>
      <c r="O21" s="1988"/>
      <c r="P21" s="1988"/>
      <c r="Q21" s="1988"/>
      <c r="R21" s="1988"/>
      <c r="S21" s="1989"/>
      <c r="T21" s="1967" t="s">
        <v>2080</v>
      </c>
      <c r="U21" s="1968"/>
      <c r="V21" s="1968"/>
      <c r="W21" s="1968"/>
      <c r="X21" s="1981" t="s">
        <v>2081</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2167</v>
      </c>
      <c r="B23" s="2023"/>
      <c r="C23" s="2023"/>
      <c r="D23" s="2023"/>
      <c r="E23" s="2023"/>
      <c r="F23" s="2023"/>
      <c r="G23" s="2023"/>
      <c r="H23" s="2024"/>
      <c r="T23" s="1962" t="s">
        <v>2082</v>
      </c>
      <c r="U23" s="1963"/>
      <c r="V23" s="1963"/>
      <c r="W23" s="1963"/>
      <c r="X23" s="1978">
        <v>43434</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62223</v>
      </c>
      <c r="B25" s="2000"/>
      <c r="C25" s="2000"/>
      <c r="D25" s="2000"/>
      <c r="E25" s="2000"/>
      <c r="F25" s="2000"/>
      <c r="G25" s="2000"/>
      <c r="H25" s="2001"/>
      <c r="I25" s="113"/>
      <c r="J25" s="2066"/>
      <c r="K25" s="2066"/>
      <c r="L25" s="2066"/>
      <c r="M25" s="2066"/>
      <c r="N25" s="2066"/>
      <c r="O25" s="2066"/>
      <c r="P25" s="2066"/>
      <c r="Q25" s="2066"/>
      <c r="R25" s="2066"/>
      <c r="S25" s="2067"/>
      <c r="T25" s="1959" t="s">
        <v>2083</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c r="B42" s="2049"/>
      <c r="C42" s="2050"/>
      <c r="D42" s="2063"/>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rintOptions horizontalCentered="1"/>
  <pageMargins left="0.75" right="0.75" top="1" bottom="0.5" header="0.5" footer="0.5"/>
  <pageSetup scale="67" orientation="landscape" r:id="rId3"/>
  <headerFooter>
    <oddFooter>&amp;C&amp;"Times New Roman,Regular"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zoomScale="110" zoomScaleNormal="110" workbookViewId="0">
      <selection activeCell="B3" sqref="B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rintOptions horizontalCentered="1"/>
  <pageMargins left="0.75" right="0.75" top="1" bottom="0.5" header="0.5" footer="0.5"/>
  <pageSetup scale="72" fitToHeight="0" orientation="portrait" r:id="rId4"/>
  <headerFooter>
    <oddHeader>&amp;C&amp;"Times New Roman,Regular"HARMONY-EMGE SCHOOL DISTRICT NO. 175</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2076</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rintOptions horizontalCentered="1"/>
  <pageMargins left="0.75" right="0.75" top="0.75" bottom="0.5" header="0.5" footer="0.5"/>
  <pageSetup scale="48" firstPageNumber="2" orientation="portrait" r:id="rId1"/>
  <headerFooter>
    <oddHeader>&amp;C&amp;"Times New Roman,Regular"HARMONY-EMGE SCHOOL DISTRICT NO. 175</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129192327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1.9042E-2</v>
      </c>
      <c r="E10" s="356" t="s">
        <v>1062</v>
      </c>
      <c r="F10" s="355">
        <v>3.4450000000000001E-3</v>
      </c>
      <c r="G10" s="356" t="s">
        <v>1062</v>
      </c>
      <c r="H10" s="355">
        <v>1.1999999999999999E-3</v>
      </c>
      <c r="I10" s="356" t="s">
        <v>1063</v>
      </c>
      <c r="J10" s="1754">
        <f>ROUND(D10+F10+H10,5)</f>
        <v>2.3689999999999999E-2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9056643</v>
      </c>
      <c r="E16" s="356"/>
      <c r="F16" s="1755">
        <f>SUM('Acct Summary 7-8'!C17,'Acct Summary 7-8'!D17,'Acct Summary 7-8'!F17)</f>
        <v>8923011</v>
      </c>
      <c r="G16" s="356"/>
      <c r="H16" s="1755">
        <f>SUM(D16-F16)</f>
        <v>133632</v>
      </c>
      <c r="I16" s="222"/>
      <c r="J16" s="1755">
        <f>SUM('Acct Summary 7-8'!C81,'Acct Summary 7-8'!D81,'Acct Summary 7-8'!F81,'Acct Summary 7-8'!I81)</f>
        <v>2812320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607</v>
      </c>
      <c r="D31" s="237" t="s">
        <v>1132</v>
      </c>
      <c r="E31" s="222"/>
      <c r="F31" s="222"/>
      <c r="G31" s="363"/>
      <c r="H31" s="1757">
        <f>IF(B31="X",(J7*0.069),IF(B32="X",(J7*0.138),"Enter x in a.or b."))</f>
        <v>8914270.563000001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7146802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orizontalCentered="1"/>
  <pageMargins left="0.75" right="0.75" top="1" bottom="0.5" header="0.5" footer="0.5"/>
  <pageSetup scale="91" firstPageNumber="3" orientation="portrait" r:id="rId1"/>
  <headerFooter>
    <oddHeader>&amp;C&amp;"Times New Roman,Regular"HARMONY-EMGE SCHOOL DISTRICT NO. 175</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18" sqref="F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Harmony-Emge SD 175</v>
      </c>
      <c r="E7" s="391"/>
      <c r="G7" s="252"/>
      <c r="H7" s="387"/>
      <c r="I7" s="387"/>
      <c r="J7" s="387"/>
      <c r="K7" s="387"/>
      <c r="L7" s="329"/>
      <c r="M7" s="329"/>
      <c r="N7" s="329"/>
      <c r="O7" s="329"/>
      <c r="P7" s="329"/>
    </row>
    <row r="8" spans="1:18" ht="12.75" x14ac:dyDescent="0.2">
      <c r="A8" s="329"/>
      <c r="B8" s="329"/>
      <c r="C8" s="389" t="s">
        <v>1187</v>
      </c>
      <c r="D8" s="392">
        <f>COVER!A13</f>
        <v>50082175002</v>
      </c>
      <c r="E8" s="393"/>
      <c r="G8" s="329"/>
      <c r="H8" s="329"/>
      <c r="I8" s="329"/>
      <c r="J8" s="329"/>
      <c r="K8" s="329"/>
      <c r="L8" s="329"/>
      <c r="M8" s="329"/>
      <c r="N8" s="329"/>
      <c r="O8" s="329"/>
      <c r="P8" s="329"/>
    </row>
    <row r="9" spans="1:18" ht="12.75" x14ac:dyDescent="0.2">
      <c r="A9" s="329"/>
      <c r="B9" s="329"/>
      <c r="C9" s="389" t="s">
        <v>737</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2812320</v>
      </c>
      <c r="I12" s="404"/>
      <c r="J12" s="404"/>
      <c r="K12" s="405">
        <f>TRUNC((H12/H13*100000),5)/100000</f>
        <v>0.31052565500000001</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9056643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8923011</v>
      </c>
      <c r="I17" s="404"/>
      <c r="J17" s="416"/>
      <c r="K17" s="405">
        <f>TRUNC((H17/H18*100000),5)/100000</f>
        <v>0.9852448639000001</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9056643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2815988</v>
      </c>
      <c r="I24" s="422"/>
      <c r="J24" s="422"/>
      <c r="K24" s="423">
        <f>TRUNC(((H24/H25*100000)/100000),2)</f>
        <v>113.61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24786.141670000001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2601481.2926400001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7146802</v>
      </c>
      <c r="I32" s="420"/>
      <c r="J32" s="420"/>
      <c r="K32" s="423">
        <f>TRUNC(100-((((H32/H33*100))*100)/100),2)</f>
        <v>19.82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8914270.563000001</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orizontalCentered="1"/>
  <pageMargins left="0.75" right="0.75" top="1" bottom="0.5" header="0.5" footer="0.5"/>
  <pageSetup scale="78" firstPageNumber="4" orientation="landscape" r:id="rId3"/>
  <headerFooter>
    <oddHeader>&amp;C&amp;"Times New Roman,Regular"HARMONY-EMGE SCHOOL DISTRICT NO. 175</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2" activePane="bottomLeft" state="frozen"/>
      <selection activeCell="AF38" sqref="AF38"/>
      <selection pane="bottomLeft" activeCell="N46" sqref="N4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1701324</v>
      </c>
      <c r="D4" s="466">
        <v>243041</v>
      </c>
      <c r="E4" s="466">
        <v>443684</v>
      </c>
      <c r="F4" s="466">
        <v>411628</v>
      </c>
      <c r="G4" s="466">
        <v>246145</v>
      </c>
      <c r="H4" s="466">
        <v>287622</v>
      </c>
      <c r="I4" s="466">
        <v>459995</v>
      </c>
      <c r="J4" s="467">
        <v>165127</v>
      </c>
      <c r="K4" s="466">
        <v>1110</v>
      </c>
      <c r="L4" s="466">
        <v>47821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1701324</v>
      </c>
      <c r="D13" s="1759">
        <f t="shared" ref="D13:L13" si="0">SUM(D4:D12)</f>
        <v>243041</v>
      </c>
      <c r="E13" s="1759">
        <f t="shared" si="0"/>
        <v>443684</v>
      </c>
      <c r="F13" s="1759">
        <f t="shared" si="0"/>
        <v>411628</v>
      </c>
      <c r="G13" s="1759">
        <f t="shared" si="0"/>
        <v>246145</v>
      </c>
      <c r="H13" s="1759">
        <f t="shared" si="0"/>
        <v>287622</v>
      </c>
      <c r="I13" s="1759">
        <f t="shared" si="0"/>
        <v>459995</v>
      </c>
      <c r="J13" s="1759">
        <f t="shared" si="0"/>
        <v>165127</v>
      </c>
      <c r="K13" s="1759">
        <f t="shared" si="0"/>
        <v>1110</v>
      </c>
      <c r="L13" s="1759">
        <f t="shared" si="0"/>
        <v>47821</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137311</v>
      </c>
      <c r="N16" s="484"/>
    </row>
    <row r="17" spans="1:14" s="485" customFormat="1" ht="12.75" customHeight="1" x14ac:dyDescent="0.2">
      <c r="A17" s="482" t="s">
        <v>1470</v>
      </c>
      <c r="B17" s="483">
        <v>230</v>
      </c>
      <c r="C17" s="477"/>
      <c r="D17" s="477"/>
      <c r="E17" s="477"/>
      <c r="F17" s="477"/>
      <c r="G17" s="477"/>
      <c r="H17" s="477"/>
      <c r="I17" s="477"/>
      <c r="J17" s="477"/>
      <c r="K17" s="477"/>
      <c r="L17" s="477"/>
      <c r="M17" s="467">
        <v>17979143</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1840355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443684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6703118</v>
      </c>
    </row>
    <row r="23" spans="1:14" ht="13.5" customHeight="1" thickBot="1" x14ac:dyDescent="0.25">
      <c r="A23" s="1758" t="s">
        <v>664</v>
      </c>
      <c r="B23" s="1763"/>
      <c r="C23" s="468"/>
      <c r="D23" s="468"/>
      <c r="E23" s="468"/>
      <c r="F23" s="468"/>
      <c r="G23" s="468"/>
      <c r="H23" s="468"/>
      <c r="I23" s="468"/>
      <c r="J23" s="468"/>
      <c r="K23" s="468"/>
      <c r="L23" s="468"/>
      <c r="M23" s="1710">
        <f>SUM(M15:M22)</f>
        <v>19956809</v>
      </c>
      <c r="N23" s="1710">
        <f>SUM(N21:N22)</f>
        <v>7146802</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2588</v>
      </c>
      <c r="D31" s="467"/>
      <c r="E31" s="467"/>
      <c r="F31" s="466">
        <v>1080</v>
      </c>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47821</v>
      </c>
      <c r="M33" s="468"/>
      <c r="N33" s="469"/>
    </row>
    <row r="34" spans="1:14" ht="13.5" customHeight="1" thickBot="1" x14ac:dyDescent="0.25">
      <c r="A34" s="1760" t="s">
        <v>675</v>
      </c>
      <c r="B34" s="1761"/>
      <c r="C34" s="1762">
        <f>SUM(C25:C33)</f>
        <v>2588</v>
      </c>
      <c r="D34" s="1762">
        <f t="shared" ref="D34:K34" si="1">SUM(D25:D33)</f>
        <v>0</v>
      </c>
      <c r="E34" s="1762">
        <f t="shared" si="1"/>
        <v>0</v>
      </c>
      <c r="F34" s="1762">
        <f t="shared" si="1"/>
        <v>1080</v>
      </c>
      <c r="G34" s="1762">
        <f t="shared" si="1"/>
        <v>0</v>
      </c>
      <c r="H34" s="1762">
        <f t="shared" si="1"/>
        <v>0</v>
      </c>
      <c r="I34" s="1762">
        <f t="shared" si="1"/>
        <v>0</v>
      </c>
      <c r="J34" s="1762">
        <f t="shared" si="1"/>
        <v>0</v>
      </c>
      <c r="K34" s="1762">
        <f t="shared" si="1"/>
        <v>0</v>
      </c>
      <c r="L34" s="1743">
        <f>SUM(L33)</f>
        <v>47821</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7146802</v>
      </c>
    </row>
    <row r="37" spans="1:14" ht="13.5" thickBot="1" x14ac:dyDescent="0.25">
      <c r="A37" s="1758" t="s">
        <v>674</v>
      </c>
      <c r="B37" s="1763"/>
      <c r="C37" s="477"/>
      <c r="D37" s="477"/>
      <c r="E37" s="477"/>
      <c r="F37" s="477"/>
      <c r="G37" s="477"/>
      <c r="H37" s="477"/>
      <c r="I37" s="477"/>
      <c r="J37" s="477"/>
      <c r="K37" s="477"/>
      <c r="L37" s="480"/>
      <c r="M37" s="468"/>
      <c r="N37" s="1710">
        <f>SUM(N36:N36)</f>
        <v>7146802</v>
      </c>
    </row>
    <row r="38" spans="1:14" s="329" customFormat="1" ht="13.5" customHeight="1" thickTop="1" x14ac:dyDescent="0.2">
      <c r="A38" s="496" t="s">
        <v>440</v>
      </c>
      <c r="B38" s="483">
        <v>714</v>
      </c>
      <c r="C38" s="466"/>
      <c r="D38" s="466"/>
      <c r="E38" s="466"/>
      <c r="F38" s="466"/>
      <c r="G38" s="466">
        <v>189882</v>
      </c>
      <c r="H38" s="466"/>
      <c r="I38" s="466"/>
      <c r="J38" s="467"/>
      <c r="K38" s="466"/>
      <c r="L38" s="481"/>
      <c r="M38" s="497"/>
      <c r="N38" s="497"/>
    </row>
    <row r="39" spans="1:14" s="329" customFormat="1" ht="13.5" customHeight="1" x14ac:dyDescent="0.2">
      <c r="A39" s="496" t="s">
        <v>360</v>
      </c>
      <c r="B39" s="483">
        <v>730</v>
      </c>
      <c r="C39" s="466">
        <v>1698736</v>
      </c>
      <c r="D39" s="466">
        <v>243041</v>
      </c>
      <c r="E39" s="466">
        <v>443684</v>
      </c>
      <c r="F39" s="466">
        <v>410548</v>
      </c>
      <c r="G39" s="466">
        <v>56263</v>
      </c>
      <c r="H39" s="466">
        <v>287622</v>
      </c>
      <c r="I39" s="466">
        <v>459995</v>
      </c>
      <c r="J39" s="467">
        <v>165127</v>
      </c>
      <c r="K39" s="466">
        <v>1110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19956809</v>
      </c>
      <c r="N40" s="497"/>
    </row>
    <row r="41" spans="1:14" ht="13.5" customHeight="1" thickBot="1" x14ac:dyDescent="0.25">
      <c r="A41" s="1758" t="s">
        <v>676</v>
      </c>
      <c r="B41" s="1728"/>
      <c r="C41" s="1710">
        <f>(SUM(C34,C37,C38,C39))</f>
        <v>1701324</v>
      </c>
      <c r="D41" s="1710">
        <f t="shared" ref="D41:L41" si="2">SUM(D34,D37,D38:D39)</f>
        <v>243041</v>
      </c>
      <c r="E41" s="1710">
        <f t="shared" si="2"/>
        <v>443684</v>
      </c>
      <c r="F41" s="1710">
        <f t="shared" si="2"/>
        <v>411628</v>
      </c>
      <c r="G41" s="1710">
        <f t="shared" si="2"/>
        <v>246145</v>
      </c>
      <c r="H41" s="1710">
        <f t="shared" si="2"/>
        <v>287622</v>
      </c>
      <c r="I41" s="1710">
        <f t="shared" si="2"/>
        <v>459995</v>
      </c>
      <c r="J41" s="1710">
        <f t="shared" si="2"/>
        <v>165127</v>
      </c>
      <c r="K41" s="1710">
        <f t="shared" si="2"/>
        <v>1110</v>
      </c>
      <c r="L41" s="1710">
        <f t="shared" si="2"/>
        <v>47821</v>
      </c>
      <c r="M41" s="1710">
        <f>SUM(M40)</f>
        <v>19956809</v>
      </c>
      <c r="N41" s="1710">
        <f>SUM(N37)</f>
        <v>7146802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orizontalCentered="1" gridLinesSet="0"/>
  <pageMargins left="0.75" right="0.75" top="1.75" bottom="0.5" header="0.5" footer="0.5"/>
  <pageSetup scale="56" firstPageNumber="13" orientation="landscape" useFirstPageNumber="1" r:id="rId1"/>
  <headerFooter>
    <oddHeader>&amp;C&amp;"Times New Roman,Regular"HARMONY-EMGE SCHOOL DISTRICT NO. 175
STATEMENT OF ASSETS AND LIABILITIES ARISING FROM CASH TRANSACTIONS - CASH - REGULATORY BASIS
ALL FUNDS AND ACCOUNT GROUPS
JUNE 30, 2018</oddHeader>
    <oddFooter>&amp;C&amp;"Times New Roman,Regular"See Notes to Financial Statements and Independent Auditor's Reports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80" workbookViewId="0">
      <pane ySplit="2" topLeftCell="A3" activePane="bottomLeft" state="frozenSplit"/>
      <selection activeCell="AF38" sqref="AF38"/>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3091753</v>
      </c>
      <c r="D4" s="1764">
        <f>'Revenues 9-14'!D109</f>
        <v>491501</v>
      </c>
      <c r="E4" s="1764">
        <f>'Revenues 9-14'!E109</f>
        <v>1275694</v>
      </c>
      <c r="F4" s="1764">
        <f>'Revenues 9-14'!F109</f>
        <v>391874</v>
      </c>
      <c r="G4" s="1764">
        <f>'Revenues 9-14'!G109</f>
        <v>481013</v>
      </c>
      <c r="H4" s="1764">
        <f>'Revenues 9-14'!H109</f>
        <v>0</v>
      </c>
      <c r="I4" s="1764">
        <f>'Revenues 9-14'!I109</f>
        <v>60810</v>
      </c>
      <c r="J4" s="1764">
        <f>'Revenues 9-14'!J109</f>
        <v>926274</v>
      </c>
      <c r="K4" s="1764">
        <f>'Revenues 9-14'!K109</f>
        <v>62126</v>
      </c>
      <c r="L4" s="347"/>
    </row>
    <row r="5" spans="1:13" ht="15.75" customHeight="1" x14ac:dyDescent="0.2">
      <c r="A5" s="1598" t="s">
        <v>1580</v>
      </c>
      <c r="B5" s="1599">
        <v>2000</v>
      </c>
      <c r="C5" s="1765">
        <f>'Revenues 9-14'!C114</f>
        <v>242532</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3270232</v>
      </c>
      <c r="D6" s="1765">
        <f>'Revenues 9-14'!D173</f>
        <v>191382</v>
      </c>
      <c r="E6" s="1765">
        <f>'Revenues 9-14'!E173</f>
        <v>0</v>
      </c>
      <c r="F6" s="1765">
        <f>'Revenues 9-14'!F173</f>
        <v>470867</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845692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7450209</v>
      </c>
      <c r="D8" s="1710">
        <f t="shared" ref="D8:K8" si="0">SUM(D4:D7)</f>
        <v>682883</v>
      </c>
      <c r="E8" s="1710">
        <f t="shared" si="0"/>
        <v>1275694</v>
      </c>
      <c r="F8" s="1710">
        <f t="shared" si="0"/>
        <v>862741</v>
      </c>
      <c r="G8" s="1710">
        <f t="shared" si="0"/>
        <v>481013</v>
      </c>
      <c r="H8" s="1710">
        <f t="shared" si="0"/>
        <v>0</v>
      </c>
      <c r="I8" s="1710">
        <f t="shared" si="0"/>
        <v>60810</v>
      </c>
      <c r="J8" s="1710">
        <f t="shared" si="0"/>
        <v>926274</v>
      </c>
      <c r="K8" s="1710">
        <f t="shared" si="0"/>
        <v>62126</v>
      </c>
      <c r="L8" s="347"/>
    </row>
    <row r="9" spans="1:13" ht="15.75" thickTop="1" x14ac:dyDescent="0.2">
      <c r="A9" s="514" t="s">
        <v>1752</v>
      </c>
      <c r="B9" s="515">
        <v>3998</v>
      </c>
      <c r="C9" s="481">
        <v>2852290</v>
      </c>
      <c r="D9" s="516"/>
      <c r="E9" s="481"/>
      <c r="F9" s="481"/>
      <c r="G9" s="517"/>
      <c r="H9" s="481"/>
      <c r="I9" s="509" t="s">
        <v>1231</v>
      </c>
      <c r="J9" s="478"/>
      <c r="K9" s="481"/>
      <c r="L9" s="347"/>
    </row>
    <row r="10" spans="1:13" s="519" customFormat="1" ht="13.5" thickBot="1" x14ac:dyDescent="0.25">
      <c r="A10" s="1758" t="s">
        <v>1235</v>
      </c>
      <c r="B10" s="1731"/>
      <c r="C10" s="1710">
        <f>SUM(C8:C9)</f>
        <v>10302499</v>
      </c>
      <c r="D10" s="1710">
        <f t="shared" ref="D10:K10" si="1">SUM(D8:D9)</f>
        <v>682883</v>
      </c>
      <c r="E10" s="1710">
        <f t="shared" si="1"/>
        <v>1275694</v>
      </c>
      <c r="F10" s="1710">
        <f t="shared" si="1"/>
        <v>862741</v>
      </c>
      <c r="G10" s="1710">
        <f t="shared" si="1"/>
        <v>481013</v>
      </c>
      <c r="H10" s="1710">
        <f t="shared" si="1"/>
        <v>0</v>
      </c>
      <c r="I10" s="1710">
        <f t="shared" si="1"/>
        <v>60810</v>
      </c>
      <c r="J10" s="1710">
        <f t="shared" si="1"/>
        <v>926274</v>
      </c>
      <c r="K10" s="1710">
        <f t="shared" si="1"/>
        <v>62126</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3944540</v>
      </c>
      <c r="D12" s="520" t="s">
        <v>1231</v>
      </c>
      <c r="E12" s="468" t="s">
        <v>1231</v>
      </c>
      <c r="F12" s="468" t="s">
        <v>1231</v>
      </c>
      <c r="G12" s="1764">
        <f>'Expenditures 15-22'!K229</f>
        <v>127660</v>
      </c>
      <c r="H12" s="521"/>
      <c r="I12" s="468" t="s">
        <v>1231</v>
      </c>
      <c r="J12" s="468" t="s">
        <v>1231</v>
      </c>
      <c r="K12" s="521" t="s">
        <v>1231</v>
      </c>
      <c r="L12" s="347"/>
    </row>
    <row r="13" spans="1:13" ht="15.75" customHeight="1" x14ac:dyDescent="0.2">
      <c r="A13" s="1598" t="s">
        <v>477</v>
      </c>
      <c r="B13" s="1600">
        <v>2000</v>
      </c>
      <c r="C13" s="1765">
        <f>'Expenditures 15-22'!K74</f>
        <v>1858987</v>
      </c>
      <c r="D13" s="1765">
        <f>'Expenditures 15-22'!K129</f>
        <v>597839</v>
      </c>
      <c r="E13" s="469" t="s">
        <v>1231</v>
      </c>
      <c r="F13" s="1765">
        <f>'Expenditures 15-22'!K184</f>
        <v>1599562</v>
      </c>
      <c r="G13" s="1765">
        <f>'Expenditures 15-22'!K279</f>
        <v>242346</v>
      </c>
      <c r="H13" s="1765">
        <f>'Expenditures 15-22'!K303</f>
        <v>211505</v>
      </c>
      <c r="I13" s="468" t="s">
        <v>1231</v>
      </c>
      <c r="J13" s="1765">
        <f>'Expenditures 15-22'!K330</f>
        <v>840938</v>
      </c>
      <c r="K13" s="1769">
        <f>'Expenditures 15-22'!K352</f>
        <v>93525</v>
      </c>
      <c r="L13" s="347"/>
    </row>
    <row r="14" spans="1:13" ht="15.75" customHeight="1" x14ac:dyDescent="0.2">
      <c r="A14" s="1598" t="s">
        <v>469</v>
      </c>
      <c r="B14" s="1600">
        <v>3000</v>
      </c>
      <c r="C14" s="1765">
        <f>'Expenditures 15-22'!K75</f>
        <v>200956</v>
      </c>
      <c r="D14" s="1765">
        <f>'Expenditures 15-22'!K130</f>
        <v>0</v>
      </c>
      <c r="E14" s="520" t="s">
        <v>1231</v>
      </c>
      <c r="F14" s="1765">
        <f>'Expenditures 15-22'!K185</f>
        <v>0</v>
      </c>
      <c r="G14" s="1765">
        <f>'Expenditures 15-22'!K280</f>
        <v>20279</v>
      </c>
      <c r="H14" s="512"/>
      <c r="I14" s="468" t="s">
        <v>1231</v>
      </c>
      <c r="J14" s="468" t="s">
        <v>1231</v>
      </c>
      <c r="K14" s="512" t="s">
        <v>1231</v>
      </c>
      <c r="L14" s="347"/>
    </row>
    <row r="15" spans="1:13" ht="15.75" customHeight="1" x14ac:dyDescent="0.2">
      <c r="A15" s="1598" t="s">
        <v>109</v>
      </c>
      <c r="B15" s="1600">
        <v>4000</v>
      </c>
      <c r="C15" s="1765">
        <f>'Expenditures 15-22'!K102</f>
        <v>721127</v>
      </c>
      <c r="D15" s="1765">
        <f>'Expenditures 15-22'!K139</f>
        <v>0</v>
      </c>
      <c r="E15" s="1765">
        <f>'Expenditures 15-22'!K160</f>
        <v>0</v>
      </c>
      <c r="F15" s="1765">
        <f>'Expenditures 15-22'!K196</f>
        <v>0</v>
      </c>
      <c r="G15" s="1765">
        <f>'Expenditures 15-22'!K285</f>
        <v>1047</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1653432</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6725610</v>
      </c>
      <c r="D17" s="1710">
        <f t="shared" si="2"/>
        <v>597839</v>
      </c>
      <c r="E17" s="1710">
        <f t="shared" si="2"/>
        <v>1653432</v>
      </c>
      <c r="F17" s="1710">
        <f t="shared" si="2"/>
        <v>1599562</v>
      </c>
      <c r="G17" s="1710">
        <f t="shared" si="2"/>
        <v>391332</v>
      </c>
      <c r="H17" s="1710">
        <f t="shared" si="2"/>
        <v>211505</v>
      </c>
      <c r="I17" s="468"/>
      <c r="J17" s="1710">
        <f>SUM(J12:J16)</f>
        <v>840938</v>
      </c>
      <c r="K17" s="1710">
        <f>SUM(K12:K16)</f>
        <v>93525</v>
      </c>
      <c r="L17" s="347"/>
    </row>
    <row r="18" spans="1:12" ht="15" customHeight="1" thickTop="1" x14ac:dyDescent="0.2">
      <c r="A18" s="1766" t="s">
        <v>1753</v>
      </c>
      <c r="B18" s="1767">
        <v>4180</v>
      </c>
      <c r="C18" s="1764">
        <f t="shared" ref="C18:H18" si="3">C9</f>
        <v>2852290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9577900</v>
      </c>
      <c r="D19" s="1710">
        <f t="shared" si="4"/>
        <v>597839</v>
      </c>
      <c r="E19" s="1710">
        <f t="shared" si="4"/>
        <v>1653432</v>
      </c>
      <c r="F19" s="1710">
        <f t="shared" si="4"/>
        <v>1599562</v>
      </c>
      <c r="G19" s="1710">
        <f t="shared" si="4"/>
        <v>391332</v>
      </c>
      <c r="H19" s="1710">
        <f t="shared" si="4"/>
        <v>211505</v>
      </c>
      <c r="I19" s="468"/>
      <c r="J19" s="1710">
        <f>SUM(J17:J18)</f>
        <v>840938</v>
      </c>
      <c r="K19" s="1710">
        <f>SUM(K17:K18)</f>
        <v>93525</v>
      </c>
      <c r="L19" s="347"/>
    </row>
    <row r="20" spans="1:12" ht="16.5" thickTop="1" thickBot="1" x14ac:dyDescent="0.25">
      <c r="A20" s="2144" t="s">
        <v>1754</v>
      </c>
      <c r="B20" s="2145"/>
      <c r="C20" s="1768">
        <f>C8-C17</f>
        <v>724599</v>
      </c>
      <c r="D20" s="1768">
        <f t="shared" ref="D20:K20" si="5">D8-D17</f>
        <v>85044</v>
      </c>
      <c r="E20" s="1768">
        <f t="shared" si="5"/>
        <v>-377738</v>
      </c>
      <c r="F20" s="1768">
        <f t="shared" si="5"/>
        <v>-736821</v>
      </c>
      <c r="G20" s="1768">
        <f t="shared" si="5"/>
        <v>89681</v>
      </c>
      <c r="H20" s="1768">
        <f t="shared" si="5"/>
        <v>-211505</v>
      </c>
      <c r="I20" s="1768">
        <f t="shared" si="5"/>
        <v>60810</v>
      </c>
      <c r="J20" s="1768">
        <f t="shared" si="5"/>
        <v>85336</v>
      </c>
      <c r="K20" s="1768">
        <f t="shared" si="5"/>
        <v>-31399</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v>1096814</v>
      </c>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10520</v>
      </c>
      <c r="F37" s="475"/>
      <c r="G37" s="475"/>
      <c r="H37" s="475"/>
      <c r="I37" s="477"/>
      <c r="J37" s="475"/>
      <c r="K37" s="475"/>
      <c r="L37" s="524"/>
    </row>
    <row r="38" spans="1:12" s="485" customFormat="1" x14ac:dyDescent="0.2">
      <c r="A38" s="1511" t="s">
        <v>462</v>
      </c>
      <c r="B38" s="525">
        <v>7500</v>
      </c>
      <c r="C38" s="477"/>
      <c r="D38" s="477"/>
      <c r="E38" s="1765">
        <f>SUM(C58:D61,H58:H61)</f>
        <v>635</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f>199215+181072</f>
        <v>380287</v>
      </c>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391442</v>
      </c>
      <c r="F44" s="1725">
        <f t="shared" si="6"/>
        <v>1096814</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v>10520</v>
      </c>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v>635</v>
      </c>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v>181072</v>
      </c>
      <c r="G75" s="532"/>
      <c r="H75" s="532"/>
      <c r="I75" s="530"/>
      <c r="J75" s="530"/>
      <c r="K75" s="532"/>
      <c r="L75" s="524"/>
    </row>
    <row r="76" spans="1:12" s="485" customFormat="1" ht="14.25" thickTop="1" thickBot="1" x14ac:dyDescent="0.25">
      <c r="A76" s="2134" t="s">
        <v>460</v>
      </c>
      <c r="B76" s="2135"/>
      <c r="C76" s="1725">
        <f t="shared" ref="C76:K76" si="7">SUM(C47:C75)</f>
        <v>0</v>
      </c>
      <c r="D76" s="1725">
        <f t="shared" si="7"/>
        <v>11155</v>
      </c>
      <c r="E76" s="1725">
        <f t="shared" si="7"/>
        <v>0</v>
      </c>
      <c r="F76" s="1725">
        <f t="shared" si="7"/>
        <v>181072</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-11155</v>
      </c>
      <c r="E77" s="1725">
        <f t="shared" si="8"/>
        <v>391442</v>
      </c>
      <c r="F77" s="1725">
        <f t="shared" si="8"/>
        <v>915742</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724599</v>
      </c>
      <c r="D78" s="1724">
        <f t="shared" si="9"/>
        <v>73889</v>
      </c>
      <c r="E78" s="1724">
        <f t="shared" si="9"/>
        <v>13704</v>
      </c>
      <c r="F78" s="1724">
        <f t="shared" si="9"/>
        <v>178921</v>
      </c>
      <c r="G78" s="1724">
        <f t="shared" si="9"/>
        <v>89681</v>
      </c>
      <c r="H78" s="1724">
        <f t="shared" si="9"/>
        <v>-211505</v>
      </c>
      <c r="I78" s="1724">
        <f t="shared" si="9"/>
        <v>60810</v>
      </c>
      <c r="J78" s="1724">
        <f t="shared" si="9"/>
        <v>85336</v>
      </c>
      <c r="K78" s="1724">
        <f t="shared" si="9"/>
        <v>-31399</v>
      </c>
      <c r="L78" s="533"/>
    </row>
    <row r="79" spans="1:12" ht="13.5" thickTop="1" x14ac:dyDescent="0.2">
      <c r="A79" s="1516" t="s">
        <v>2070</v>
      </c>
      <c r="B79" s="534"/>
      <c r="C79" s="478">
        <v>974137</v>
      </c>
      <c r="D79" s="535">
        <v>169152</v>
      </c>
      <c r="E79" s="535">
        <v>429980</v>
      </c>
      <c r="F79" s="535">
        <v>231627</v>
      </c>
      <c r="G79" s="535">
        <v>156464</v>
      </c>
      <c r="H79" s="535">
        <v>499127</v>
      </c>
      <c r="I79" s="535">
        <v>399185</v>
      </c>
      <c r="J79" s="535">
        <v>79791</v>
      </c>
      <c r="K79" s="535">
        <v>32509</v>
      </c>
      <c r="L79" s="347"/>
    </row>
    <row r="80" spans="1:12" x14ac:dyDescent="0.2">
      <c r="A80" s="2146" t="s">
        <v>1895</v>
      </c>
      <c r="B80" s="2147"/>
      <c r="C80" s="467"/>
      <c r="D80" s="467"/>
      <c r="E80" s="467"/>
      <c r="F80" s="467"/>
      <c r="G80" s="467"/>
      <c r="H80" s="467"/>
      <c r="I80" s="467"/>
      <c r="J80" s="467"/>
      <c r="K80" s="467"/>
      <c r="L80" s="347"/>
    </row>
    <row r="81" spans="1:12" ht="13.5" thickBot="1" x14ac:dyDescent="0.25">
      <c r="A81" s="2138" t="s">
        <v>2071</v>
      </c>
      <c r="B81" s="2139"/>
      <c r="C81" s="1710">
        <f>(SUM(C78:C80))</f>
        <v>1698736</v>
      </c>
      <c r="D81" s="1710">
        <f>SUM(D78:D80)</f>
        <v>243041</v>
      </c>
      <c r="E81" s="1710">
        <f t="shared" ref="E81:K81" si="10">SUM(E78:E80)</f>
        <v>443684</v>
      </c>
      <c r="F81" s="1710">
        <f t="shared" si="10"/>
        <v>410548</v>
      </c>
      <c r="G81" s="1710">
        <f t="shared" si="10"/>
        <v>246145</v>
      </c>
      <c r="H81" s="1710">
        <f t="shared" si="10"/>
        <v>287622</v>
      </c>
      <c r="I81" s="1710">
        <f t="shared" si="10"/>
        <v>459995</v>
      </c>
      <c r="J81" s="1710">
        <f t="shared" si="10"/>
        <v>165127</v>
      </c>
      <c r="K81" s="1710">
        <f t="shared" si="10"/>
        <v>1110</v>
      </c>
      <c r="L81" s="347"/>
    </row>
    <row r="82" spans="1:12" ht="0.75" customHeight="1" thickTop="1" thickBot="1" x14ac:dyDescent="0.25">
      <c r="A82" s="536" t="s">
        <v>361</v>
      </c>
      <c r="B82" s="537"/>
      <c r="C82" s="538">
        <f>(C81-C79)</f>
        <v>724599</v>
      </c>
      <c r="D82" s="538">
        <f t="shared" ref="D82:K82" si="11">(D81-D79)</f>
        <v>73889</v>
      </c>
      <c r="E82" s="538">
        <f t="shared" si="11"/>
        <v>13704</v>
      </c>
      <c r="F82" s="538">
        <f t="shared" si="11"/>
        <v>178921</v>
      </c>
      <c r="G82" s="538">
        <f t="shared" si="11"/>
        <v>89681</v>
      </c>
      <c r="H82" s="538">
        <f t="shared" si="11"/>
        <v>-211505</v>
      </c>
      <c r="I82" s="538">
        <f t="shared" si="11"/>
        <v>60810</v>
      </c>
      <c r="J82" s="538">
        <f t="shared" si="11"/>
        <v>85336</v>
      </c>
      <c r="K82" s="538">
        <f t="shared" si="11"/>
        <v>-31399</v>
      </c>
    </row>
    <row r="83" spans="1:12" ht="14.25" hidden="1" thickTop="1" thickBot="1" x14ac:dyDescent="0.25">
      <c r="A83" s="539" t="s">
        <v>362</v>
      </c>
      <c r="B83" s="464"/>
      <c r="C83" s="540">
        <f>C82/C81</f>
        <v>0.42655185973570936</v>
      </c>
      <c r="D83" s="540">
        <f t="shared" ref="D83:K83" si="12">D82/D81</f>
        <v>0.30401866351767809</v>
      </c>
      <c r="E83" s="540">
        <f t="shared" si="12"/>
        <v>3.0886847395894375E-2</v>
      </c>
      <c r="F83" s="540">
        <f t="shared" si="12"/>
        <v>0.43581018541071931</v>
      </c>
      <c r="G83" s="540">
        <f t="shared" si="12"/>
        <v>0.36434215604623293</v>
      </c>
      <c r="H83" s="540">
        <f t="shared" si="12"/>
        <v>-0.73535751785329351</v>
      </c>
      <c r="I83" s="540">
        <f t="shared" si="12"/>
        <v>0.13219708909879455</v>
      </c>
      <c r="J83" s="540">
        <f t="shared" si="12"/>
        <v>0.51679010700854489</v>
      </c>
      <c r="K83" s="540">
        <f t="shared" si="12"/>
        <v>-28.287387387387387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orizontalCentered="1"/>
  <pageMargins left="0.75" right="0.75" top="1.25" bottom="0.5" header="0.5" footer="0.5"/>
  <pageSetup scale="48" firstPageNumber="7" orientation="portrait" r:id="rId1"/>
  <headerFooter>
    <oddHeader>&amp;C&amp;"Times New Roman,Regular"HARMONY-EMGE SCHOOL DISTRICT NO. 175
STATEMENT OF RECEIPTS, DISBURSEMENTS, OTHER SOURCES (USES), AND CHANGES IN FUND BALANCES - CASH - REGULATORY BASIS
ALL FUNDS
FOR THE YEAR ENDED JUNE 30, 2018</oddHeader>
    <oddFooter>&amp;C&amp;"Times New Roman,Regular"See Notes to Financial Statements and Independent Auditor's Reports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F38" sqref="AF38"/>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1902</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2347296</v>
      </c>
      <c r="D5" s="481">
        <v>425677</v>
      </c>
      <c r="E5" s="466">
        <v>1275694</v>
      </c>
      <c r="F5" s="548">
        <v>145947</v>
      </c>
      <c r="G5" s="466">
        <v>232178</v>
      </c>
      <c r="H5" s="466"/>
      <c r="I5" s="466">
        <v>60810</v>
      </c>
      <c r="J5" s="467">
        <v>926274</v>
      </c>
      <c r="K5" s="466">
        <v>60810</v>
      </c>
    </row>
    <row r="6" spans="1:12" ht="15" x14ac:dyDescent="0.2">
      <c r="A6" s="463" t="s">
        <v>1761</v>
      </c>
      <c r="B6" s="470">
        <v>1130</v>
      </c>
      <c r="C6" s="466"/>
      <c r="D6" s="466">
        <v>60810</v>
      </c>
      <c r="E6" s="475"/>
      <c r="F6" s="475"/>
      <c r="G6" s="468"/>
      <c r="H6" s="468"/>
      <c r="I6" s="468"/>
      <c r="J6" s="468"/>
      <c r="K6" s="468"/>
    </row>
    <row r="7" spans="1:12" x14ac:dyDescent="0.2">
      <c r="A7" s="463" t="s">
        <v>112</v>
      </c>
      <c r="B7" s="549">
        <v>1140</v>
      </c>
      <c r="C7" s="466">
        <v>24326</v>
      </c>
      <c r="D7" s="466"/>
      <c r="E7" s="468"/>
      <c r="F7" s="467"/>
      <c r="G7" s="467"/>
      <c r="H7" s="467"/>
      <c r="I7" s="468"/>
      <c r="J7" s="468"/>
      <c r="K7" s="468"/>
    </row>
    <row r="8" spans="1:12" x14ac:dyDescent="0.2">
      <c r="A8" s="463" t="s">
        <v>433</v>
      </c>
      <c r="B8" s="470">
        <v>1150</v>
      </c>
      <c r="C8" s="475"/>
      <c r="D8" s="475"/>
      <c r="E8" s="477"/>
      <c r="F8" s="477"/>
      <c r="G8" s="481">
        <v>232178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2371622</v>
      </c>
      <c r="D12" s="1729">
        <f t="shared" si="0"/>
        <v>486487</v>
      </c>
      <c r="E12" s="1729">
        <f t="shared" si="0"/>
        <v>1275694</v>
      </c>
      <c r="F12" s="1729">
        <f t="shared" si="0"/>
        <v>145947</v>
      </c>
      <c r="G12" s="1729">
        <f t="shared" si="0"/>
        <v>464356</v>
      </c>
      <c r="H12" s="1729">
        <f t="shared" si="0"/>
        <v>0</v>
      </c>
      <c r="I12" s="1729">
        <f t="shared" si="0"/>
        <v>60810</v>
      </c>
      <c r="J12" s="1729">
        <f t="shared" si="0"/>
        <v>926274</v>
      </c>
      <c r="K12" s="1710">
        <f t="shared" si="0"/>
        <v>60810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148327</v>
      </c>
      <c r="D16" s="466"/>
      <c r="E16" s="466"/>
      <c r="F16" s="466"/>
      <c r="G16" s="466">
        <v>16000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148327</v>
      </c>
      <c r="D18" s="1732">
        <f t="shared" ref="D18:K18" si="1">SUM(D14:D17)</f>
        <v>0</v>
      </c>
      <c r="E18" s="1732">
        <f t="shared" si="1"/>
        <v>0</v>
      </c>
      <c r="F18" s="1732">
        <f t="shared" si="1"/>
        <v>0</v>
      </c>
      <c r="G18" s="1732">
        <f t="shared" si="1"/>
        <v>16000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121734</v>
      </c>
      <c r="G43" s="468"/>
      <c r="H43" s="468"/>
      <c r="I43" s="468"/>
      <c r="J43" s="468"/>
      <c r="K43" s="468"/>
    </row>
    <row r="44" spans="1:11" ht="12.75" customHeight="1" x14ac:dyDescent="0.2">
      <c r="A44" s="463" t="s">
        <v>402</v>
      </c>
      <c r="B44" s="470">
        <v>1413</v>
      </c>
      <c r="C44" s="468"/>
      <c r="D44" s="468"/>
      <c r="E44" s="468"/>
      <c r="F44" s="466">
        <v>8474</v>
      </c>
      <c r="G44" s="468"/>
      <c r="H44" s="468"/>
      <c r="I44" s="468"/>
      <c r="J44" s="468"/>
      <c r="K44" s="468"/>
    </row>
    <row r="45" spans="1:11" ht="12.75" customHeight="1" x14ac:dyDescent="0.2">
      <c r="A45" s="463" t="s">
        <v>258</v>
      </c>
      <c r="B45" s="470">
        <v>1415</v>
      </c>
      <c r="C45" s="468"/>
      <c r="D45" s="468"/>
      <c r="E45" s="468"/>
      <c r="F45" s="466">
        <v>18858</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v>51045</v>
      </c>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200111</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35534</v>
      </c>
      <c r="D65" s="466">
        <v>5014</v>
      </c>
      <c r="E65" s="466"/>
      <c r="F65" s="467">
        <v>7102</v>
      </c>
      <c r="G65" s="466">
        <v>657</v>
      </c>
      <c r="H65" s="466"/>
      <c r="I65" s="466"/>
      <c r="J65" s="467"/>
      <c r="K65" s="466">
        <v>1316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35534</v>
      </c>
      <c r="D67" s="1710">
        <f t="shared" ref="D67:K67" si="2">SUM(D65:D66)</f>
        <v>5014</v>
      </c>
      <c r="E67" s="1710">
        <f t="shared" si="2"/>
        <v>0</v>
      </c>
      <c r="F67" s="1710">
        <f t="shared" si="2"/>
        <v>7102</v>
      </c>
      <c r="G67" s="1710">
        <f t="shared" si="2"/>
        <v>657</v>
      </c>
      <c r="H67" s="1710">
        <f t="shared" si="2"/>
        <v>0</v>
      </c>
      <c r="I67" s="1710">
        <f t="shared" si="2"/>
        <v>0</v>
      </c>
      <c r="J67" s="1710">
        <f t="shared" si="2"/>
        <v>0</v>
      </c>
      <c r="K67" s="1710">
        <f t="shared" si="2"/>
        <v>1316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56960</v>
      </c>
      <c r="D69" s="468"/>
      <c r="E69" s="468"/>
      <c r="F69" s="468"/>
      <c r="G69" s="468"/>
      <c r="H69" s="468"/>
      <c r="I69" s="468"/>
      <c r="J69" s="468"/>
      <c r="K69" s="468"/>
    </row>
    <row r="70" spans="1:11" ht="12.75" customHeight="1" x14ac:dyDescent="0.2">
      <c r="A70" s="463" t="s">
        <v>1054</v>
      </c>
      <c r="B70" s="470">
        <v>1612</v>
      </c>
      <c r="C70" s="551">
        <v>10300</v>
      </c>
      <c r="D70" s="468"/>
      <c r="E70" s="468"/>
      <c r="F70" s="468"/>
      <c r="G70" s="468"/>
      <c r="H70" s="468"/>
      <c r="I70" s="468"/>
      <c r="J70" s="468"/>
      <c r="K70" s="468"/>
    </row>
    <row r="71" spans="1:11" ht="12.75" customHeight="1" x14ac:dyDescent="0.2">
      <c r="A71" s="463" t="s">
        <v>291</v>
      </c>
      <c r="B71" s="470">
        <v>1613</v>
      </c>
      <c r="C71" s="551">
        <v>5935</v>
      </c>
      <c r="D71" s="468"/>
      <c r="E71" s="468"/>
      <c r="F71" s="468"/>
      <c r="G71" s="468"/>
      <c r="H71" s="468"/>
      <c r="I71" s="468"/>
      <c r="J71" s="468"/>
      <c r="K71" s="468"/>
    </row>
    <row r="72" spans="1:11" ht="12.75" customHeight="1" x14ac:dyDescent="0.2">
      <c r="A72" s="463" t="s">
        <v>24</v>
      </c>
      <c r="B72" s="470">
        <v>1614</v>
      </c>
      <c r="C72" s="551">
        <v>14485</v>
      </c>
      <c r="D72" s="468"/>
      <c r="E72" s="468"/>
      <c r="F72" s="468"/>
      <c r="G72" s="468"/>
      <c r="H72" s="468"/>
      <c r="I72" s="468"/>
      <c r="J72" s="468"/>
      <c r="K72" s="468"/>
    </row>
    <row r="73" spans="1:11" ht="12.75" customHeight="1" x14ac:dyDescent="0.2">
      <c r="A73" s="463" t="s">
        <v>1055</v>
      </c>
      <c r="B73" s="470">
        <v>1620</v>
      </c>
      <c r="C73" s="551">
        <v>8355</v>
      </c>
      <c r="D73" s="468"/>
      <c r="E73" s="468"/>
      <c r="F73" s="468"/>
      <c r="G73" s="468"/>
      <c r="H73" s="468"/>
      <c r="I73" s="468"/>
      <c r="J73" s="468"/>
      <c r="K73" s="468"/>
    </row>
    <row r="74" spans="1:11" ht="12.75" customHeight="1" x14ac:dyDescent="0.2">
      <c r="A74" s="463" t="s">
        <v>25</v>
      </c>
      <c r="B74" s="470">
        <v>1690</v>
      </c>
      <c r="C74" s="551">
        <v>34300</v>
      </c>
      <c r="D74" s="468"/>
      <c r="E74" s="468"/>
      <c r="F74" s="468"/>
      <c r="G74" s="468"/>
      <c r="H74" s="468"/>
      <c r="I74" s="468"/>
      <c r="J74" s="468"/>
      <c r="K74" s="468"/>
    </row>
    <row r="75" spans="1:11" ht="12.75" customHeight="1" thickBot="1" x14ac:dyDescent="0.25">
      <c r="A75" s="1730" t="s">
        <v>569</v>
      </c>
      <c r="B75" s="1731"/>
      <c r="C75" s="1710">
        <f>SUM(C69:C74)</f>
        <v>130335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48664</v>
      </c>
      <c r="D81" s="466"/>
      <c r="E81" s="468"/>
      <c r="F81" s="468"/>
      <c r="G81" s="468"/>
      <c r="H81" s="468"/>
      <c r="I81" s="468"/>
      <c r="J81" s="468"/>
      <c r="K81" s="468"/>
    </row>
    <row r="82" spans="1:11" ht="12.75" customHeight="1" thickBot="1" x14ac:dyDescent="0.25">
      <c r="A82" s="1730" t="s">
        <v>259</v>
      </c>
      <c r="B82" s="1731"/>
      <c r="C82" s="1729">
        <f>SUM(C77:C81)</f>
        <v>48664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17748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17748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305730</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10942</v>
      </c>
      <c r="D106" s="489"/>
      <c r="E106" s="467"/>
      <c r="F106" s="467"/>
      <c r="G106" s="467"/>
      <c r="H106" s="467"/>
      <c r="I106" s="521"/>
      <c r="J106" s="467"/>
      <c r="K106" s="467"/>
    </row>
    <row r="107" spans="1:12" ht="12.75" customHeight="1" x14ac:dyDescent="0.2">
      <c r="A107" s="463" t="s">
        <v>80</v>
      </c>
      <c r="B107" s="470">
        <v>1999</v>
      </c>
      <c r="C107" s="551">
        <v>22851</v>
      </c>
      <c r="D107" s="466"/>
      <c r="E107" s="466"/>
      <c r="F107" s="466">
        <v>38714</v>
      </c>
      <c r="G107" s="466"/>
      <c r="H107" s="466"/>
      <c r="I107" s="466"/>
      <c r="J107" s="467"/>
      <c r="K107" s="466"/>
    </row>
    <row r="108" spans="1:12" ht="12.75" customHeight="1" thickBot="1" x14ac:dyDescent="0.25">
      <c r="A108" s="1730" t="s">
        <v>508</v>
      </c>
      <c r="B108" s="1734"/>
      <c r="C108" s="1729">
        <f>SUM(C95:C107)</f>
        <v>339523</v>
      </c>
      <c r="D108" s="1729">
        <f t="shared" ref="D108:K108" si="3">SUM(D95:D107)</f>
        <v>0</v>
      </c>
      <c r="E108" s="1729">
        <f t="shared" si="3"/>
        <v>0</v>
      </c>
      <c r="F108" s="1729">
        <f t="shared" si="3"/>
        <v>38714</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3091753</v>
      </c>
      <c r="D109" s="1737">
        <f t="shared" si="4"/>
        <v>491501</v>
      </c>
      <c r="E109" s="1737">
        <f t="shared" si="4"/>
        <v>1275694</v>
      </c>
      <c r="F109" s="1737">
        <f t="shared" si="4"/>
        <v>391874</v>
      </c>
      <c r="G109" s="1737">
        <f t="shared" si="4"/>
        <v>481013</v>
      </c>
      <c r="H109" s="1737">
        <f t="shared" si="4"/>
        <v>0</v>
      </c>
      <c r="I109" s="1737">
        <f t="shared" si="4"/>
        <v>60810</v>
      </c>
      <c r="J109" s="1737">
        <f t="shared" si="4"/>
        <v>926274</v>
      </c>
      <c r="K109" s="1724">
        <f t="shared" si="4"/>
        <v>62126</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242532</v>
      </c>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242532</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2014663</v>
      </c>
      <c r="D117" s="481">
        <v>191382</v>
      </c>
      <c r="E117" s="466"/>
      <c r="F117" s="481">
        <v>90000</v>
      </c>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2014663</v>
      </c>
      <c r="D121" s="1729">
        <f t="shared" si="5"/>
        <v>191382</v>
      </c>
      <c r="E121" s="1729">
        <f t="shared" si="5"/>
        <v>0</v>
      </c>
      <c r="F121" s="1729">
        <f t="shared" si="5"/>
        <v>90000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23415</v>
      </c>
      <c r="D124" s="561"/>
      <c r="E124" s="468"/>
      <c r="F124" s="548"/>
      <c r="G124" s="468"/>
      <c r="H124" s="468"/>
      <c r="I124" s="468"/>
      <c r="J124" s="468"/>
      <c r="K124" s="468"/>
    </row>
    <row r="125" spans="1:11" ht="12.75" customHeight="1" x14ac:dyDescent="0.2">
      <c r="A125" s="463" t="s">
        <v>1521</v>
      </c>
      <c r="B125" s="562">
        <v>3105</v>
      </c>
      <c r="C125" s="466">
        <v>55391</v>
      </c>
      <c r="D125" s="561"/>
      <c r="E125" s="468"/>
      <c r="F125" s="466"/>
      <c r="G125" s="468"/>
      <c r="H125" s="468"/>
      <c r="I125" s="468"/>
      <c r="J125" s="468"/>
      <c r="K125" s="468"/>
    </row>
    <row r="126" spans="1:11" ht="12.75" customHeight="1" x14ac:dyDescent="0.2">
      <c r="A126" s="463" t="s">
        <v>922</v>
      </c>
      <c r="B126" s="562">
        <v>3110</v>
      </c>
      <c r="C126" s="551">
        <v>78095</v>
      </c>
      <c r="D126" s="466"/>
      <c r="E126" s="468"/>
      <c r="F126" s="466"/>
      <c r="G126" s="468"/>
      <c r="H126" s="468"/>
      <c r="I126" s="468"/>
      <c r="J126" s="468"/>
      <c r="K126" s="468"/>
    </row>
    <row r="127" spans="1:11" ht="12.75" customHeight="1" x14ac:dyDescent="0.2">
      <c r="A127" s="463" t="s">
        <v>107</v>
      </c>
      <c r="B127" s="562">
        <v>3120</v>
      </c>
      <c r="C127" s="466">
        <v>27983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1047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185931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4252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238388</v>
      </c>
      <c r="G151" s="467"/>
      <c r="H151" s="468"/>
      <c r="I151" s="468"/>
      <c r="J151" s="468"/>
      <c r="K151" s="468"/>
    </row>
    <row r="152" spans="1:11" ht="12.75" customHeight="1" x14ac:dyDescent="0.2">
      <c r="A152" s="463" t="s">
        <v>1117</v>
      </c>
      <c r="B152" s="562">
        <v>3510</v>
      </c>
      <c r="C152" s="551"/>
      <c r="D152" s="466"/>
      <c r="E152" s="561"/>
      <c r="F152" s="466">
        <v>142479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380867</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1063886</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1255569</v>
      </c>
      <c r="D172" s="1744">
        <f t="shared" si="6"/>
        <v>0</v>
      </c>
      <c r="E172" s="1744">
        <f t="shared" si="6"/>
        <v>0</v>
      </c>
      <c r="F172" s="1744">
        <f t="shared" si="6"/>
        <v>380867</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3270232</v>
      </c>
      <c r="D173" s="1737">
        <f>SUM(D121,D172)</f>
        <v>191382</v>
      </c>
      <c r="E173" s="1737">
        <f>SUM(E121,E172)</f>
        <v>0</v>
      </c>
      <c r="F173" s="1737">
        <f t="shared" ref="F173:K173" si="7">SUM(F121,F172)</f>
        <v>470867</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1903</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217152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74527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28315</v>
      </c>
      <c r="D200" s="468"/>
      <c r="E200" s="561"/>
      <c r="F200" s="468"/>
      <c r="G200" s="585"/>
      <c r="H200" s="468"/>
      <c r="I200" s="468"/>
      <c r="J200" s="468"/>
      <c r="K200" s="468"/>
    </row>
    <row r="201" spans="1:11" ht="12.75" customHeight="1" thickBot="1" x14ac:dyDescent="0.25">
      <c r="A201" s="1730" t="s">
        <v>569</v>
      </c>
      <c r="B201" s="1731"/>
      <c r="C201" s="1710">
        <f>SUM(C193:C200)</f>
        <v>319994</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265614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265614</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3210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3210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186781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186781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28836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16204</v>
      </c>
      <c r="D270" s="576"/>
      <c r="E270" s="468"/>
      <c r="F270" s="576"/>
      <c r="G270" s="576"/>
      <c r="H270" s="468"/>
      <c r="I270" s="468"/>
      <c r="J270" s="468"/>
      <c r="K270" s="468"/>
    </row>
    <row r="271" spans="1:11" ht="12.75" customHeight="1" thickTop="1" thickBot="1" x14ac:dyDescent="0.25">
      <c r="A271" s="463" t="s">
        <v>395</v>
      </c>
      <c r="B271" s="470">
        <v>4992</v>
      </c>
      <c r="C271" s="575">
        <v>25053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845692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845692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7450209</v>
      </c>
      <c r="D275" s="1737">
        <f t="shared" si="12"/>
        <v>682883</v>
      </c>
      <c r="E275" s="1737">
        <f t="shared" si="12"/>
        <v>1275694</v>
      </c>
      <c r="F275" s="1737">
        <f t="shared" si="12"/>
        <v>862741</v>
      </c>
      <c r="G275" s="1737">
        <f t="shared" si="12"/>
        <v>481013</v>
      </c>
      <c r="H275" s="1737">
        <f t="shared" si="12"/>
        <v>0</v>
      </c>
      <c r="I275" s="1737">
        <f t="shared" si="12"/>
        <v>60810</v>
      </c>
      <c r="J275" s="1737">
        <f t="shared" si="12"/>
        <v>926274</v>
      </c>
      <c r="K275" s="1724">
        <f t="shared" si="12"/>
        <v>62126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orizontalCentered="1"/>
  <pageMargins left="0.75" right="0.75" top="1" bottom="0.5" header="0.5" footer="0.5"/>
  <pageSetup scale="60" firstPageNumber="9" orientation="landscape" r:id="rId1"/>
  <headerFooter>
    <oddHeader>&amp;C&amp;"Times New Roman,Regular"HARMONY-EMGE SCHOOL DISTRICT NO. 175
STATEMENT OF RECEIPTS - CASH - REGULATORY BASIS
ALL FUNDS
FOR THE YEAR ENDED JUNE 30, 2018</oddHeader>
    <oddFooter>&amp;C&amp;"Times New Roman,Regular"See Notes to Financial Statements and Independent Auditor's Reports
&amp;P</oddFooter>
  </headerFooter>
  <rowBreaks count="4" manualBreakCount="4">
    <brk id="56" max="16383" man="1"/>
    <brk id="109" max="16383" man="1"/>
    <brk id="164" max="16383" man="1"/>
    <brk id="21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2" activePane="bottomLeft" state="frozen"/>
      <selection activeCell="AF38" sqref="AF38"/>
      <selection pane="bottomLeft" activeCell="F63" sqref="F6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1764275</v>
      </c>
      <c r="D5" s="466">
        <v>498162</v>
      </c>
      <c r="E5" s="466"/>
      <c r="F5" s="466">
        <v>40305</v>
      </c>
      <c r="G5" s="466"/>
      <c r="H5" s="466"/>
      <c r="I5" s="467"/>
      <c r="J5" s="467"/>
      <c r="K5" s="1693">
        <f>SUM(C5:J5)</f>
        <v>2302742</v>
      </c>
      <c r="L5" s="466">
        <v>2554266</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165156</v>
      </c>
      <c r="D7" s="467">
        <v>38437</v>
      </c>
      <c r="E7" s="467">
        <v>1611</v>
      </c>
      <c r="F7" s="467">
        <v>10385</v>
      </c>
      <c r="G7" s="467">
        <v>20296</v>
      </c>
      <c r="H7" s="467"/>
      <c r="I7" s="467"/>
      <c r="J7" s="467"/>
      <c r="K7" s="1693">
        <f t="shared" ref="K7:K32" si="0">SUM(C7:J7)</f>
        <v>235885</v>
      </c>
      <c r="L7" s="466">
        <v>261225</v>
      </c>
    </row>
    <row r="8" spans="1:14" x14ac:dyDescent="0.2">
      <c r="A8" s="1526" t="s">
        <v>166</v>
      </c>
      <c r="B8" s="615">
        <v>1200</v>
      </c>
      <c r="C8" s="466">
        <v>852431</v>
      </c>
      <c r="D8" s="466">
        <v>168789</v>
      </c>
      <c r="E8" s="466"/>
      <c r="F8" s="466">
        <v>13754</v>
      </c>
      <c r="G8" s="466"/>
      <c r="H8" s="466"/>
      <c r="I8" s="467"/>
      <c r="J8" s="467"/>
      <c r="K8" s="1693">
        <f t="shared" si="0"/>
        <v>1034974</v>
      </c>
      <c r="L8" s="466">
        <v>929624</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175227</v>
      </c>
      <c r="D10" s="466">
        <v>21056</v>
      </c>
      <c r="E10" s="466">
        <v>17421</v>
      </c>
      <c r="F10" s="466">
        <v>73540</v>
      </c>
      <c r="G10" s="466">
        <v>1599</v>
      </c>
      <c r="H10" s="466"/>
      <c r="I10" s="467"/>
      <c r="J10" s="467"/>
      <c r="K10" s="1693">
        <f t="shared" si="0"/>
        <v>288843</v>
      </c>
      <c r="L10" s="466">
        <v>320896</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12340</v>
      </c>
      <c r="D14" s="466">
        <v>4175</v>
      </c>
      <c r="E14" s="466">
        <v>38450</v>
      </c>
      <c r="F14" s="466"/>
      <c r="G14" s="466"/>
      <c r="H14" s="466">
        <v>470</v>
      </c>
      <c r="I14" s="467"/>
      <c r="J14" s="467"/>
      <c r="K14" s="1693">
        <f t="shared" si="0"/>
        <v>55435</v>
      </c>
      <c r="L14" s="466">
        <v>67000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v>1650</v>
      </c>
      <c r="F18" s="466"/>
      <c r="G18" s="466"/>
      <c r="H18" s="466">
        <v>15796</v>
      </c>
      <c r="I18" s="467"/>
      <c r="J18" s="467"/>
      <c r="K18" s="1693">
        <f t="shared" si="0"/>
        <v>17446</v>
      </c>
      <c r="L18" s="466">
        <v>19650</v>
      </c>
    </row>
    <row r="19" spans="1:12" x14ac:dyDescent="0.2">
      <c r="A19" s="1526" t="s">
        <v>136</v>
      </c>
      <c r="B19" s="615">
        <v>1900</v>
      </c>
      <c r="C19" s="466"/>
      <c r="D19" s="466"/>
      <c r="E19" s="466"/>
      <c r="F19" s="466"/>
      <c r="G19" s="466"/>
      <c r="H19" s="466">
        <v>9215</v>
      </c>
      <c r="I19" s="467"/>
      <c r="J19" s="467"/>
      <c r="K19" s="1693">
        <f t="shared" si="0"/>
        <v>9215</v>
      </c>
      <c r="L19" s="466">
        <v>6600</v>
      </c>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2969429</v>
      </c>
      <c r="D33" s="1692">
        <f t="shared" ref="D33:L33" si="1">SUM(D5:D32)</f>
        <v>730619</v>
      </c>
      <c r="E33" s="1692">
        <f t="shared" si="1"/>
        <v>59132</v>
      </c>
      <c r="F33" s="1692">
        <f t="shared" si="1"/>
        <v>137984</v>
      </c>
      <c r="G33" s="1692">
        <f t="shared" si="1"/>
        <v>21895</v>
      </c>
      <c r="H33" s="1692">
        <f t="shared" si="1"/>
        <v>25481</v>
      </c>
      <c r="I33" s="1692">
        <f t="shared" si="1"/>
        <v>0</v>
      </c>
      <c r="J33" s="1692">
        <f t="shared" si="1"/>
        <v>0</v>
      </c>
      <c r="K33" s="1692">
        <f t="shared" si="1"/>
        <v>3944540</v>
      </c>
      <c r="L33" s="1692">
        <f t="shared" si="1"/>
        <v>4159261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66651</v>
      </c>
      <c r="D36" s="481">
        <v>28212</v>
      </c>
      <c r="E36" s="481"/>
      <c r="F36" s="481"/>
      <c r="G36" s="481"/>
      <c r="H36" s="481"/>
      <c r="I36" s="467"/>
      <c r="J36" s="467"/>
      <c r="K36" s="1693">
        <f t="shared" ref="K36:K41" si="2">SUM(C36:J36)</f>
        <v>94863</v>
      </c>
      <c r="L36" s="466">
        <v>130018</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37155</v>
      </c>
      <c r="D38" s="466">
        <v>186</v>
      </c>
      <c r="E38" s="466">
        <v>45638</v>
      </c>
      <c r="F38" s="466">
        <v>1314</v>
      </c>
      <c r="G38" s="466"/>
      <c r="H38" s="466"/>
      <c r="I38" s="467"/>
      <c r="J38" s="467"/>
      <c r="K38" s="1693">
        <f t="shared" si="2"/>
        <v>84293</v>
      </c>
      <c r="L38" s="466">
        <v>96650</v>
      </c>
    </row>
    <row r="39" spans="1:14" x14ac:dyDescent="0.2">
      <c r="A39" s="1526" t="s">
        <v>208</v>
      </c>
      <c r="B39" s="615">
        <v>2140</v>
      </c>
      <c r="C39" s="466"/>
      <c r="D39" s="466"/>
      <c r="E39" s="466">
        <v>46935</v>
      </c>
      <c r="F39" s="466"/>
      <c r="G39" s="466"/>
      <c r="H39" s="466"/>
      <c r="I39" s="467"/>
      <c r="J39" s="467"/>
      <c r="K39" s="1693">
        <f t="shared" si="2"/>
        <v>46935</v>
      </c>
      <c r="L39" s="466">
        <v>44000</v>
      </c>
    </row>
    <row r="40" spans="1:14" x14ac:dyDescent="0.2">
      <c r="A40" s="1526" t="s">
        <v>209</v>
      </c>
      <c r="B40" s="615">
        <v>2150</v>
      </c>
      <c r="C40" s="466">
        <v>99033</v>
      </c>
      <c r="D40" s="466">
        <v>12463</v>
      </c>
      <c r="E40" s="466"/>
      <c r="F40" s="466"/>
      <c r="G40" s="466"/>
      <c r="H40" s="466"/>
      <c r="I40" s="467"/>
      <c r="J40" s="467"/>
      <c r="K40" s="1693">
        <f t="shared" si="2"/>
        <v>111496</v>
      </c>
      <c r="L40" s="466">
        <v>100179</v>
      </c>
    </row>
    <row r="41" spans="1:14" x14ac:dyDescent="0.2">
      <c r="A41" s="1526" t="s">
        <v>1768</v>
      </c>
      <c r="B41" s="615">
        <v>2190</v>
      </c>
      <c r="C41" s="466">
        <v>57657</v>
      </c>
      <c r="D41" s="466"/>
      <c r="E41" s="466">
        <v>17555</v>
      </c>
      <c r="F41" s="466">
        <v>342</v>
      </c>
      <c r="G41" s="466"/>
      <c r="H41" s="466"/>
      <c r="I41" s="467"/>
      <c r="J41" s="467"/>
      <c r="K41" s="1693">
        <f t="shared" si="2"/>
        <v>75554</v>
      </c>
      <c r="L41" s="466">
        <v>78850</v>
      </c>
    </row>
    <row r="42" spans="1:14" ht="12.75" customHeight="1" thickBot="1" x14ac:dyDescent="0.25">
      <c r="A42" s="1690" t="s">
        <v>581</v>
      </c>
      <c r="B42" s="1691" t="s">
        <v>740</v>
      </c>
      <c r="C42" s="1692">
        <f>SUM(C36:C41)</f>
        <v>260496</v>
      </c>
      <c r="D42" s="1692">
        <f t="shared" ref="D42:L42" si="3">SUM(D36:D41)</f>
        <v>40861</v>
      </c>
      <c r="E42" s="1692">
        <f t="shared" si="3"/>
        <v>110128</v>
      </c>
      <c r="F42" s="1692">
        <f t="shared" si="3"/>
        <v>1656</v>
      </c>
      <c r="G42" s="1692">
        <f t="shared" si="3"/>
        <v>0</v>
      </c>
      <c r="H42" s="1692">
        <f t="shared" si="3"/>
        <v>0</v>
      </c>
      <c r="I42" s="1692">
        <f t="shared" si="3"/>
        <v>0</v>
      </c>
      <c r="J42" s="1692">
        <f t="shared" si="3"/>
        <v>0</v>
      </c>
      <c r="K42" s="1692">
        <f t="shared" si="3"/>
        <v>413141</v>
      </c>
      <c r="L42" s="1692">
        <f t="shared" si="3"/>
        <v>449697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1810</v>
      </c>
      <c r="D44" s="481"/>
      <c r="E44" s="481">
        <v>35735</v>
      </c>
      <c r="F44" s="481">
        <v>428</v>
      </c>
      <c r="G44" s="481"/>
      <c r="H44" s="481"/>
      <c r="I44" s="467"/>
      <c r="J44" s="467"/>
      <c r="K44" s="1694">
        <f>SUM(C44:J44)</f>
        <v>37973</v>
      </c>
      <c r="L44" s="481">
        <v>57143</v>
      </c>
    </row>
    <row r="45" spans="1:14" x14ac:dyDescent="0.2">
      <c r="A45" s="1526" t="s">
        <v>869</v>
      </c>
      <c r="B45" s="615">
        <v>2220</v>
      </c>
      <c r="C45" s="466">
        <v>45368</v>
      </c>
      <c r="D45" s="466"/>
      <c r="E45" s="466">
        <v>63080</v>
      </c>
      <c r="F45" s="466">
        <v>37991</v>
      </c>
      <c r="G45" s="466">
        <v>3206</v>
      </c>
      <c r="H45" s="466"/>
      <c r="I45" s="467"/>
      <c r="J45" s="467"/>
      <c r="K45" s="1694">
        <f>SUM(C45:J45)</f>
        <v>149645</v>
      </c>
      <c r="L45" s="466">
        <v>184690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47178</v>
      </c>
      <c r="D47" s="1692">
        <f t="shared" ref="D47:K47" si="4">SUM(D44:D46)</f>
        <v>0</v>
      </c>
      <c r="E47" s="1692">
        <f t="shared" si="4"/>
        <v>98815</v>
      </c>
      <c r="F47" s="1692">
        <f t="shared" si="4"/>
        <v>38419</v>
      </c>
      <c r="G47" s="1692">
        <f t="shared" si="4"/>
        <v>3206</v>
      </c>
      <c r="H47" s="1692">
        <f t="shared" si="4"/>
        <v>0</v>
      </c>
      <c r="I47" s="1692">
        <f t="shared" si="4"/>
        <v>0</v>
      </c>
      <c r="J47" s="1692">
        <f t="shared" si="4"/>
        <v>0</v>
      </c>
      <c r="K47" s="1692">
        <f t="shared" si="4"/>
        <v>187618</v>
      </c>
      <c r="L47" s="1692">
        <f>SUM(L44:L46)</f>
        <v>241833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22794</v>
      </c>
      <c r="F49" s="481">
        <v>2013</v>
      </c>
      <c r="G49" s="481">
        <v>560</v>
      </c>
      <c r="H49" s="481">
        <v>6471</v>
      </c>
      <c r="I49" s="467"/>
      <c r="J49" s="467"/>
      <c r="K49" s="1694">
        <f>SUM(C49:J49)</f>
        <v>31838</v>
      </c>
      <c r="L49" s="481">
        <v>33900</v>
      </c>
    </row>
    <row r="50" spans="1:14" x14ac:dyDescent="0.2">
      <c r="A50" s="1526" t="s">
        <v>872</v>
      </c>
      <c r="B50" s="615">
        <v>2320</v>
      </c>
      <c r="C50" s="466">
        <v>138336</v>
      </c>
      <c r="D50" s="466">
        <v>51503</v>
      </c>
      <c r="E50" s="466">
        <v>758</v>
      </c>
      <c r="F50" s="466">
        <v>1772</v>
      </c>
      <c r="G50" s="466"/>
      <c r="H50" s="466">
        <v>3142</v>
      </c>
      <c r="I50" s="467"/>
      <c r="J50" s="467"/>
      <c r="K50" s="1694">
        <f>SUM(C50:J50)</f>
        <v>195511</v>
      </c>
      <c r="L50" s="466">
        <v>196654</v>
      </c>
    </row>
    <row r="51" spans="1:14" x14ac:dyDescent="0.2">
      <c r="A51" s="1526" t="s">
        <v>44</v>
      </c>
      <c r="B51" s="615">
        <v>2330</v>
      </c>
      <c r="C51" s="466">
        <v>14252</v>
      </c>
      <c r="D51" s="466">
        <v>1537</v>
      </c>
      <c r="E51" s="466"/>
      <c r="F51" s="466"/>
      <c r="G51" s="466">
        <v>81</v>
      </c>
      <c r="H51" s="466"/>
      <c r="I51" s="467"/>
      <c r="J51" s="467"/>
      <c r="K51" s="1694">
        <f>SUM(C51:J51)</f>
        <v>15870</v>
      </c>
      <c r="L51" s="466">
        <v>17624</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152588</v>
      </c>
      <c r="D53" s="1692">
        <f t="shared" ref="D53:L53" si="5">SUM(D49:D52)</f>
        <v>53040</v>
      </c>
      <c r="E53" s="1692">
        <f t="shared" si="5"/>
        <v>23552</v>
      </c>
      <c r="F53" s="1692">
        <f t="shared" si="5"/>
        <v>3785</v>
      </c>
      <c r="G53" s="1692">
        <f t="shared" si="5"/>
        <v>641</v>
      </c>
      <c r="H53" s="1692">
        <f t="shared" si="5"/>
        <v>9613</v>
      </c>
      <c r="I53" s="1692">
        <f t="shared" si="5"/>
        <v>0</v>
      </c>
      <c r="J53" s="1692">
        <f t="shared" si="5"/>
        <v>0</v>
      </c>
      <c r="K53" s="1692">
        <f t="shared" si="5"/>
        <v>243219</v>
      </c>
      <c r="L53" s="1692">
        <f t="shared" si="5"/>
        <v>248178</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303913</v>
      </c>
      <c r="D55" s="481">
        <v>124348</v>
      </c>
      <c r="E55" s="481">
        <v>1806</v>
      </c>
      <c r="F55" s="481">
        <v>3863</v>
      </c>
      <c r="G55" s="481"/>
      <c r="H55" s="481">
        <v>2115</v>
      </c>
      <c r="I55" s="467"/>
      <c r="J55" s="467"/>
      <c r="K55" s="1694">
        <f>SUM(C55:J55)</f>
        <v>436045</v>
      </c>
      <c r="L55" s="481">
        <v>437249</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303913</v>
      </c>
      <c r="D57" s="1696">
        <f t="shared" ref="D57:K57" si="6">SUM(D55:D56)</f>
        <v>124348</v>
      </c>
      <c r="E57" s="1696">
        <f t="shared" si="6"/>
        <v>1806</v>
      </c>
      <c r="F57" s="1696">
        <f t="shared" si="6"/>
        <v>3863</v>
      </c>
      <c r="G57" s="1696">
        <f t="shared" si="6"/>
        <v>0</v>
      </c>
      <c r="H57" s="1696">
        <f t="shared" si="6"/>
        <v>2115</v>
      </c>
      <c r="I57" s="1696">
        <f t="shared" si="6"/>
        <v>0</v>
      </c>
      <c r="J57" s="1696">
        <f t="shared" si="6"/>
        <v>0</v>
      </c>
      <c r="K57" s="1696">
        <f t="shared" si="6"/>
        <v>436045</v>
      </c>
      <c r="L57" s="1692">
        <f>SUM(L55:L56)</f>
        <v>437249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49073</v>
      </c>
      <c r="D60" s="466">
        <v>2229</v>
      </c>
      <c r="E60" s="466">
        <v>409</v>
      </c>
      <c r="F60" s="466">
        <v>854</v>
      </c>
      <c r="G60" s="466"/>
      <c r="H60" s="466"/>
      <c r="I60" s="467"/>
      <c r="J60" s="467"/>
      <c r="K60" s="1694">
        <f t="shared" si="7"/>
        <v>52565</v>
      </c>
      <c r="L60" s="466">
        <v>55667</v>
      </c>
      <c r="M60" s="610"/>
      <c r="N60" s="610"/>
    </row>
    <row r="61" spans="1:14" s="343" customFormat="1" x14ac:dyDescent="0.2">
      <c r="A61" s="1526" t="s">
        <v>206</v>
      </c>
      <c r="B61" s="615">
        <v>2540</v>
      </c>
      <c r="C61" s="466"/>
      <c r="D61" s="466"/>
      <c r="E61" s="466">
        <v>1747</v>
      </c>
      <c r="F61" s="466">
        <v>19749</v>
      </c>
      <c r="G61" s="466"/>
      <c r="H61" s="466"/>
      <c r="I61" s="467"/>
      <c r="J61" s="467"/>
      <c r="K61" s="1694">
        <f t="shared" si="7"/>
        <v>21496</v>
      </c>
      <c r="L61" s="466">
        <v>24776</v>
      </c>
      <c r="M61" s="610"/>
      <c r="N61" s="610"/>
    </row>
    <row r="62" spans="1:14" s="343" customFormat="1" x14ac:dyDescent="0.2">
      <c r="A62" s="1526" t="s">
        <v>1010</v>
      </c>
      <c r="B62" s="615">
        <v>2550</v>
      </c>
      <c r="C62" s="466"/>
      <c r="D62" s="466"/>
      <c r="E62" s="466">
        <v>82049</v>
      </c>
      <c r="F62" s="466"/>
      <c r="G62" s="466"/>
      <c r="H62" s="466"/>
      <c r="I62" s="467"/>
      <c r="J62" s="467"/>
      <c r="K62" s="1694">
        <f t="shared" si="7"/>
        <v>82049</v>
      </c>
      <c r="L62" s="466">
        <v>96103</v>
      </c>
      <c r="M62" s="610"/>
      <c r="N62" s="610"/>
    </row>
    <row r="63" spans="1:14" s="610" customFormat="1" x14ac:dyDescent="0.2">
      <c r="A63" s="1526" t="s">
        <v>102</v>
      </c>
      <c r="B63" s="615">
        <v>2560</v>
      </c>
      <c r="C63" s="466">
        <v>152784</v>
      </c>
      <c r="D63" s="466">
        <v>4493</v>
      </c>
      <c r="E63" s="466">
        <v>16398</v>
      </c>
      <c r="F63" s="466">
        <v>246812</v>
      </c>
      <c r="G63" s="466">
        <v>2367</v>
      </c>
      <c r="H63" s="466"/>
      <c r="I63" s="467"/>
      <c r="J63" s="467"/>
      <c r="K63" s="1694">
        <f t="shared" si="7"/>
        <v>422854</v>
      </c>
      <c r="L63" s="466">
        <v>364937</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201857</v>
      </c>
      <c r="D65" s="1692">
        <f t="shared" ref="D65:L65" si="8">SUM(D59:D64)</f>
        <v>6722</v>
      </c>
      <c r="E65" s="1692">
        <f t="shared" si="8"/>
        <v>100603</v>
      </c>
      <c r="F65" s="1692">
        <f t="shared" si="8"/>
        <v>267415</v>
      </c>
      <c r="G65" s="1692">
        <f t="shared" si="8"/>
        <v>2367</v>
      </c>
      <c r="H65" s="1692">
        <f t="shared" si="8"/>
        <v>0</v>
      </c>
      <c r="I65" s="1692">
        <f t="shared" si="8"/>
        <v>0</v>
      </c>
      <c r="J65" s="1692">
        <f t="shared" si="8"/>
        <v>0</v>
      </c>
      <c r="K65" s="1692">
        <f t="shared" si="8"/>
        <v>578964</v>
      </c>
      <c r="L65" s="1692">
        <f t="shared" si="8"/>
        <v>541483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966032</v>
      </c>
      <c r="D74" s="1699">
        <f t="shared" ref="D74:K74" si="10">SUM(D42,D47,D53,D57,D65,D72,D73)</f>
        <v>224971</v>
      </c>
      <c r="E74" s="1699">
        <f t="shared" si="10"/>
        <v>334904</v>
      </c>
      <c r="F74" s="1699">
        <f t="shared" si="10"/>
        <v>315138</v>
      </c>
      <c r="G74" s="1699">
        <f t="shared" si="10"/>
        <v>6214</v>
      </c>
      <c r="H74" s="1699">
        <f t="shared" si="10"/>
        <v>11728</v>
      </c>
      <c r="I74" s="1699">
        <f t="shared" si="10"/>
        <v>0</v>
      </c>
      <c r="J74" s="1699">
        <f t="shared" si="10"/>
        <v>0</v>
      </c>
      <c r="K74" s="1699">
        <f t="shared" si="10"/>
        <v>1858987</v>
      </c>
      <c r="L74" s="1699">
        <f>SUM(L42,L47,L53,L57,L65,L72,L73)</f>
        <v>1918440</v>
      </c>
    </row>
    <row r="75" spans="1:14" s="259" customFormat="1" ht="15.75" customHeight="1" thickTop="1" thickBot="1" x14ac:dyDescent="0.25">
      <c r="A75" s="1632" t="s">
        <v>49</v>
      </c>
      <c r="B75" s="1633" t="s">
        <v>596</v>
      </c>
      <c r="C75" s="573">
        <v>181517</v>
      </c>
      <c r="D75" s="573">
        <v>932</v>
      </c>
      <c r="E75" s="573">
        <v>8145</v>
      </c>
      <c r="F75" s="573">
        <v>6313</v>
      </c>
      <c r="G75" s="573">
        <v>4049</v>
      </c>
      <c r="H75" s="573"/>
      <c r="I75" s="531"/>
      <c r="J75" s="531"/>
      <c r="K75" s="1692">
        <f>SUM(C75:J75)</f>
        <v>200956</v>
      </c>
      <c r="L75" s="576">
        <v>269184</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243532</v>
      </c>
      <c r="F78" s="617"/>
      <c r="G78" s="617"/>
      <c r="H78" s="635"/>
      <c r="I78" s="477"/>
      <c r="J78" s="477"/>
      <c r="K78" s="1693">
        <f t="shared" ref="K78:K83" si="11">SUM(C78:J78)</f>
        <v>243532</v>
      </c>
      <c r="L78" s="481">
        <v>320204</v>
      </c>
    </row>
    <row r="79" spans="1:14" x14ac:dyDescent="0.2">
      <c r="A79" s="1526" t="s">
        <v>322</v>
      </c>
      <c r="B79" s="615">
        <v>4120</v>
      </c>
      <c r="C79" s="617"/>
      <c r="D79" s="617"/>
      <c r="E79" s="466"/>
      <c r="F79" s="617"/>
      <c r="G79" s="617"/>
      <c r="H79" s="466">
        <v>16979</v>
      </c>
      <c r="I79" s="477"/>
      <c r="J79" s="477"/>
      <c r="K79" s="1693">
        <f t="shared" si="11"/>
        <v>16979</v>
      </c>
      <c r="L79" s="466">
        <v>19000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v>209290</v>
      </c>
      <c r="I83" s="477"/>
      <c r="J83" s="477"/>
      <c r="K83" s="1693">
        <f t="shared" si="11"/>
        <v>209290</v>
      </c>
      <c r="L83" s="466">
        <v>209290</v>
      </c>
    </row>
    <row r="84" spans="1:12" ht="13.5" thickBot="1" x14ac:dyDescent="0.25">
      <c r="A84" s="1690" t="s">
        <v>1565</v>
      </c>
      <c r="B84" s="1700">
        <v>4100</v>
      </c>
      <c r="C84" s="617"/>
      <c r="D84" s="617"/>
      <c r="E84" s="1692">
        <f>SUM(E78:E83)</f>
        <v>243532</v>
      </c>
      <c r="F84" s="617"/>
      <c r="G84" s="617"/>
      <c r="H84" s="1692">
        <f>SUM(H78:H83)</f>
        <v>226269</v>
      </c>
      <c r="I84" s="477"/>
      <c r="J84" s="477"/>
      <c r="K84" s="1692">
        <f>SUM(K78:K83)</f>
        <v>469801</v>
      </c>
      <c r="L84" s="1692">
        <f>SUM(L78:L83)</f>
        <v>548494</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251326</v>
      </c>
      <c r="I86" s="477"/>
      <c r="J86" s="477"/>
      <c r="K86" s="1699">
        <f t="shared" ref="K86:K98" si="12">H86</f>
        <v>251326</v>
      </c>
      <c r="L86" s="530">
        <v>227000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251326</v>
      </c>
      <c r="I92" s="477"/>
      <c r="J92" s="477"/>
      <c r="K92" s="1699">
        <f t="shared" si="12"/>
        <v>251326</v>
      </c>
      <c r="L92" s="1692">
        <f>SUM(L85:L91)</f>
        <v>227000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243532</v>
      </c>
      <c r="F102" s="617"/>
      <c r="G102" s="617"/>
      <c r="H102" s="1699">
        <f>SUM(H84,H92,H100,H101)</f>
        <v>477595</v>
      </c>
      <c r="I102" s="477"/>
      <c r="J102" s="477"/>
      <c r="K102" s="1699">
        <f>SUM(K84,K92,K100,K101)</f>
        <v>721127</v>
      </c>
      <c r="L102" s="1699">
        <f>SUM(L84,L92,L100,L101)</f>
        <v>775494</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4116978</v>
      </c>
      <c r="D114" s="1692">
        <f t="shared" ref="D114:K114" si="13">SUM(D33,D74,D75,D102,D112,D113)</f>
        <v>956522</v>
      </c>
      <c r="E114" s="1692">
        <f t="shared" si="13"/>
        <v>645713</v>
      </c>
      <c r="F114" s="1692">
        <f t="shared" si="13"/>
        <v>459435</v>
      </c>
      <c r="G114" s="1692">
        <f t="shared" si="13"/>
        <v>32158</v>
      </c>
      <c r="H114" s="1692">
        <f>SUM(H33,H74,H75,H102,H112,H113)</f>
        <v>514804</v>
      </c>
      <c r="I114" s="1692">
        <f t="shared" si="13"/>
        <v>0</v>
      </c>
      <c r="J114" s="1692">
        <f t="shared" si="13"/>
        <v>0</v>
      </c>
      <c r="K114" s="1692">
        <f t="shared" si="13"/>
        <v>6725610</v>
      </c>
      <c r="L114" s="1692">
        <f>SUM(L33,L74,L75,L102,L112,L113)</f>
        <v>7122379</v>
      </c>
    </row>
    <row r="115" spans="1:14" ht="13.5" thickTop="1" x14ac:dyDescent="0.2">
      <c r="A115" s="2199" t="s">
        <v>1053</v>
      </c>
      <c r="B115" s="2200"/>
      <c r="C115" s="619"/>
      <c r="D115" s="619"/>
      <c r="E115" s="619"/>
      <c r="F115" s="619"/>
      <c r="G115" s="619"/>
      <c r="H115" s="619"/>
      <c r="I115" s="619"/>
      <c r="J115" s="619"/>
      <c r="K115" s="1706">
        <f>'Revenues 9-14'!C275-'Expenditures 15-22'!K114</f>
        <v>724599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223974</v>
      </c>
      <c r="D124" s="466">
        <v>67361</v>
      </c>
      <c r="E124" s="466">
        <v>146497</v>
      </c>
      <c r="F124" s="466">
        <v>160007</v>
      </c>
      <c r="G124" s="466"/>
      <c r="H124" s="466"/>
      <c r="I124" s="467"/>
      <c r="J124" s="467"/>
      <c r="K124" s="1692">
        <f>SUM(C124:J124)</f>
        <v>597839</v>
      </c>
      <c r="L124" s="466">
        <v>602595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223974</v>
      </c>
      <c r="D127" s="1692">
        <f t="shared" ref="D127:L127" si="14">SUM(D122:D126)</f>
        <v>67361</v>
      </c>
      <c r="E127" s="1692">
        <f t="shared" si="14"/>
        <v>146497</v>
      </c>
      <c r="F127" s="1692">
        <f t="shared" si="14"/>
        <v>160007</v>
      </c>
      <c r="G127" s="1692">
        <f t="shared" si="14"/>
        <v>0</v>
      </c>
      <c r="H127" s="1692">
        <f t="shared" si="14"/>
        <v>0</v>
      </c>
      <c r="I127" s="1692">
        <f t="shared" si="14"/>
        <v>0</v>
      </c>
      <c r="J127" s="1692">
        <f t="shared" si="14"/>
        <v>0</v>
      </c>
      <c r="K127" s="1692">
        <f t="shared" si="14"/>
        <v>597839</v>
      </c>
      <c r="L127" s="1692">
        <f t="shared" si="14"/>
        <v>602595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223974</v>
      </c>
      <c r="D129" s="1699">
        <f t="shared" ref="D129:L129" si="15">SUM(D120,D127,D128)</f>
        <v>67361</v>
      </c>
      <c r="E129" s="1699">
        <f t="shared" si="15"/>
        <v>146497</v>
      </c>
      <c r="F129" s="1699">
        <f t="shared" si="15"/>
        <v>160007</v>
      </c>
      <c r="G129" s="1699">
        <f t="shared" si="15"/>
        <v>0</v>
      </c>
      <c r="H129" s="1699">
        <f t="shared" si="15"/>
        <v>0</v>
      </c>
      <c r="I129" s="1699">
        <f t="shared" si="15"/>
        <v>0</v>
      </c>
      <c r="J129" s="1699">
        <f t="shared" si="15"/>
        <v>0</v>
      </c>
      <c r="K129" s="1699">
        <f t="shared" si="15"/>
        <v>597839</v>
      </c>
      <c r="L129" s="1699">
        <f t="shared" si="15"/>
        <v>602595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223974</v>
      </c>
      <c r="D151" s="1692">
        <f t="shared" ref="D151:K151" si="16">SUM(D129,D130,D139,D149,D150)</f>
        <v>67361</v>
      </c>
      <c r="E151" s="1692">
        <f t="shared" si="16"/>
        <v>146497</v>
      </c>
      <c r="F151" s="1692">
        <f t="shared" si="16"/>
        <v>160007</v>
      </c>
      <c r="G151" s="1692">
        <f t="shared" si="16"/>
        <v>0</v>
      </c>
      <c r="H151" s="1692">
        <f t="shared" si="16"/>
        <v>0</v>
      </c>
      <c r="I151" s="1692">
        <f t="shared" si="16"/>
        <v>0</v>
      </c>
      <c r="J151" s="1692">
        <f t="shared" si="16"/>
        <v>0</v>
      </c>
      <c r="K151" s="1692">
        <f t="shared" si="16"/>
        <v>597839</v>
      </c>
      <c r="L151" s="1692">
        <f>SUM(L129,L130,L139,L149,L150)</f>
        <v>602595</v>
      </c>
    </row>
    <row r="152" spans="1:14" ht="12.75" customHeight="1" thickTop="1" x14ac:dyDescent="0.2">
      <c r="A152" s="2192" t="s">
        <v>1240</v>
      </c>
      <c r="B152" s="2193"/>
      <c r="C152" s="619"/>
      <c r="D152" s="619"/>
      <c r="E152" s="619"/>
      <c r="F152" s="619"/>
      <c r="G152" s="619"/>
      <c r="H152" s="619"/>
      <c r="I152" s="619"/>
      <c r="J152" s="617"/>
      <c r="K152" s="1706">
        <f>'Revenues 9-14'!D275-'Expenditures 15-22'!K151</f>
        <v>85044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1956</v>
      </c>
      <c r="C158" s="617"/>
      <c r="D158" s="617"/>
      <c r="E158" s="617"/>
      <c r="F158" s="617"/>
      <c r="G158" s="617"/>
      <c r="H158" s="467"/>
      <c r="I158" s="617"/>
      <c r="J158" s="617"/>
      <c r="K158" s="1693">
        <f>H158</f>
        <v>0</v>
      </c>
      <c r="L158" s="467"/>
      <c r="M158" s="620"/>
      <c r="N158" s="620"/>
    </row>
    <row r="159" spans="1:14" s="621" customFormat="1" ht="12" x14ac:dyDescent="0.2">
      <c r="A159" s="1849" t="s">
        <v>1957</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294348</v>
      </c>
      <c r="I169" s="617"/>
      <c r="J169" s="617"/>
      <c r="K169" s="1693">
        <f>SUM(C169:H169)</f>
        <v>294348</v>
      </c>
      <c r="L169" s="657">
        <v>99417</v>
      </c>
    </row>
    <row r="170" spans="1:14" ht="33.75" customHeight="1" x14ac:dyDescent="0.2">
      <c r="A170" s="670" t="s">
        <v>1769</v>
      </c>
      <c r="B170" s="672" t="s">
        <v>31</v>
      </c>
      <c r="C170" s="617"/>
      <c r="D170" s="617"/>
      <c r="E170" s="617"/>
      <c r="F170" s="617"/>
      <c r="G170" s="617"/>
      <c r="H170" s="569">
        <v>1351592</v>
      </c>
      <c r="I170" s="617"/>
      <c r="J170" s="617"/>
      <c r="K170" s="1693">
        <f>SUM(C170:J170)</f>
        <v>1351592</v>
      </c>
      <c r="L170" s="569">
        <v>1157565</v>
      </c>
    </row>
    <row r="171" spans="1:14" ht="15.75" customHeight="1" x14ac:dyDescent="0.2">
      <c r="A171" s="622" t="s">
        <v>790</v>
      </c>
      <c r="B171" s="673" t="s">
        <v>86</v>
      </c>
      <c r="C171" s="617"/>
      <c r="D171" s="617"/>
      <c r="E171" s="466"/>
      <c r="F171" s="617"/>
      <c r="G171" s="617"/>
      <c r="H171" s="569">
        <v>7492</v>
      </c>
      <c r="I171" s="477"/>
      <c r="J171" s="617"/>
      <c r="K171" s="1693">
        <f>SUM(C171:J171)</f>
        <v>7492</v>
      </c>
      <c r="L171" s="569"/>
    </row>
    <row r="172" spans="1:14" ht="12.75" customHeight="1" thickBot="1" x14ac:dyDescent="0.25">
      <c r="A172" s="1690" t="s">
        <v>659</v>
      </c>
      <c r="B172" s="1691" t="s">
        <v>513</v>
      </c>
      <c r="C172" s="617"/>
      <c r="D172" s="617"/>
      <c r="E172" s="1699">
        <f>SUM(E168,E169,E170,E171)</f>
        <v>0</v>
      </c>
      <c r="F172" s="617"/>
      <c r="G172" s="617"/>
      <c r="H172" s="1699">
        <f>SUM(H168,H169,H170,H171)</f>
        <v>1653432</v>
      </c>
      <c r="I172" s="639"/>
      <c r="J172" s="617"/>
      <c r="K172" s="1699">
        <f>SUM(K168,K169,K170,K171)</f>
        <v>1653432</v>
      </c>
      <c r="L172" s="1699">
        <f>SUM(L168,L169,L170,L171)</f>
        <v>1256982</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1653432</v>
      </c>
      <c r="I174" s="639"/>
      <c r="J174" s="617"/>
      <c r="K174" s="1699">
        <f>SUM(K160,K172,K173)</f>
        <v>1653432</v>
      </c>
      <c r="L174" s="1699">
        <f>SUM(L160,L172,L173)</f>
        <v>1256982</v>
      </c>
    </row>
    <row r="175" spans="1:14" ht="13.5" thickTop="1" x14ac:dyDescent="0.2">
      <c r="A175" s="2199" t="s">
        <v>1053</v>
      </c>
      <c r="B175" s="2200"/>
      <c r="C175" s="617"/>
      <c r="D175" s="617"/>
      <c r="E175" s="617"/>
      <c r="F175" s="617"/>
      <c r="G175" s="617"/>
      <c r="H175" s="619"/>
      <c r="I175" s="617"/>
      <c r="J175" s="617"/>
      <c r="K175" s="1706">
        <f>'Revenues 9-14'!E275-'Expenditures 15-22'!K174</f>
        <v>-377738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404570</v>
      </c>
      <c r="D182" s="466">
        <v>10064</v>
      </c>
      <c r="E182" s="466">
        <v>31808</v>
      </c>
      <c r="F182" s="466">
        <v>56306</v>
      </c>
      <c r="G182" s="466">
        <v>1096814</v>
      </c>
      <c r="H182" s="466"/>
      <c r="I182" s="467"/>
      <c r="J182" s="467"/>
      <c r="K182" s="1693">
        <f>SUM(C182:J182)</f>
        <v>1599562</v>
      </c>
      <c r="L182" s="466">
        <v>489431</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404570</v>
      </c>
      <c r="D184" s="1699">
        <f t="shared" ref="D184:J184" si="17">SUM(D180,D182,D183)</f>
        <v>10064</v>
      </c>
      <c r="E184" s="1699">
        <f t="shared" si="17"/>
        <v>31808</v>
      </c>
      <c r="F184" s="1699">
        <f t="shared" si="17"/>
        <v>56306</v>
      </c>
      <c r="G184" s="1699">
        <f t="shared" si="17"/>
        <v>1096814</v>
      </c>
      <c r="H184" s="1699">
        <f t="shared" si="17"/>
        <v>0</v>
      </c>
      <c r="I184" s="1699">
        <f t="shared" si="17"/>
        <v>0</v>
      </c>
      <c r="J184" s="1699">
        <f t="shared" si="17"/>
        <v>0</v>
      </c>
      <c r="K184" s="1699">
        <f>SUM(K180,K182,K183)</f>
        <v>1599562</v>
      </c>
      <c r="L184" s="1699">
        <f>SUM(L180, L182:L183)</f>
        <v>489431</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v>181072</v>
      </c>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181072</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404570</v>
      </c>
      <c r="D210" s="1692">
        <f>SUM(D184,D185)</f>
        <v>10064</v>
      </c>
      <c r="E210" s="1692">
        <f>SUM(E184,E185,E196)</f>
        <v>31808</v>
      </c>
      <c r="F210" s="1692">
        <f>SUM(F184,F185)</f>
        <v>56306</v>
      </c>
      <c r="G210" s="1692">
        <f>SUM(G184,G185)</f>
        <v>1096814</v>
      </c>
      <c r="H210" s="1692">
        <f>SUM(H184,H185,H196,H208,H209)</f>
        <v>0</v>
      </c>
      <c r="I210" s="1692">
        <f>SUM(I184,I185)</f>
        <v>0</v>
      </c>
      <c r="J210" s="1692">
        <f>SUM(J184,J185)</f>
        <v>0</v>
      </c>
      <c r="K210" s="1693">
        <f>SUM(K184,K185,K196,K208,K209)</f>
        <v>1599562</v>
      </c>
      <c r="L210" s="1692">
        <f>SUM(L184,L185,L196,L208,L209)</f>
        <v>670503</v>
      </c>
    </row>
    <row r="211" spans="1:14" ht="13.5" thickTop="1" x14ac:dyDescent="0.2">
      <c r="A211" s="2199" t="s">
        <v>1053</v>
      </c>
      <c r="B211" s="2200"/>
      <c r="C211" s="619"/>
      <c r="D211" s="619"/>
      <c r="E211" s="619"/>
      <c r="F211" s="619"/>
      <c r="G211" s="619"/>
      <c r="H211" s="619"/>
      <c r="I211" s="617"/>
      <c r="J211" s="617"/>
      <c r="K211" s="1706">
        <f>'Revenues 9-14'!F275-'Expenditures 15-22'!K210</f>
        <v>-736821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44486</v>
      </c>
      <c r="E215" s="617"/>
      <c r="F215" s="617"/>
      <c r="G215" s="617"/>
      <c r="H215" s="617"/>
      <c r="I215" s="617"/>
      <c r="J215" s="617"/>
      <c r="K215" s="1693">
        <f>D215</f>
        <v>44486</v>
      </c>
      <c r="L215" s="466">
        <v>54100</v>
      </c>
    </row>
    <row r="216" spans="1:14" x14ac:dyDescent="0.2">
      <c r="A216" s="1526" t="s">
        <v>165</v>
      </c>
      <c r="B216" s="615" t="s">
        <v>1024</v>
      </c>
      <c r="C216" s="617"/>
      <c r="D216" s="467">
        <v>8316</v>
      </c>
      <c r="E216" s="617"/>
      <c r="F216" s="617"/>
      <c r="G216" s="617"/>
      <c r="H216" s="617"/>
      <c r="I216" s="617"/>
      <c r="J216" s="617"/>
      <c r="K216" s="1693">
        <f t="shared" ref="K216:K228" si="19">D216</f>
        <v>8316</v>
      </c>
      <c r="L216" s="466">
        <v>11357</v>
      </c>
    </row>
    <row r="217" spans="1:14" x14ac:dyDescent="0.2">
      <c r="A217" s="1526" t="s">
        <v>166</v>
      </c>
      <c r="B217" s="615">
        <v>1200</v>
      </c>
      <c r="C217" s="617"/>
      <c r="D217" s="466">
        <v>54374</v>
      </c>
      <c r="E217" s="617"/>
      <c r="F217" s="617"/>
      <c r="G217" s="617"/>
      <c r="H217" s="617"/>
      <c r="I217" s="617"/>
      <c r="J217" s="617"/>
      <c r="K217" s="1693">
        <f t="shared" si="19"/>
        <v>54374</v>
      </c>
      <c r="L217" s="466">
        <v>51307</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18678</v>
      </c>
      <c r="E219" s="617"/>
      <c r="F219" s="617"/>
      <c r="G219" s="617"/>
      <c r="H219" s="617"/>
      <c r="I219" s="617"/>
      <c r="J219" s="617"/>
      <c r="K219" s="1693">
        <f t="shared" si="19"/>
        <v>18678</v>
      </c>
      <c r="L219" s="466">
        <v>18845</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1806</v>
      </c>
      <c r="E223" s="617"/>
      <c r="F223" s="617"/>
      <c r="G223" s="617"/>
      <c r="H223" s="617"/>
      <c r="I223" s="617"/>
      <c r="J223" s="617"/>
      <c r="K223" s="1693">
        <f t="shared" si="19"/>
        <v>1806</v>
      </c>
      <c r="L223" s="466">
        <v>1899</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127660</v>
      </c>
      <c r="E229" s="617"/>
      <c r="F229" s="617"/>
      <c r="G229" s="617"/>
      <c r="H229" s="617"/>
      <c r="I229" s="617"/>
      <c r="J229" s="617"/>
      <c r="K229" s="1692">
        <f>SUM(K215:K228)</f>
        <v>127660</v>
      </c>
      <c r="L229" s="1692">
        <f>SUM(L215:L228)</f>
        <v>137508</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1221</v>
      </c>
      <c r="E232" s="617"/>
      <c r="F232" s="617"/>
      <c r="G232" s="617"/>
      <c r="H232" s="617"/>
      <c r="I232" s="617"/>
      <c r="J232" s="617"/>
      <c r="K232" s="1693">
        <f t="shared" ref="K232:K237" si="20">D232</f>
        <v>1221</v>
      </c>
      <c r="L232" s="466">
        <v>1200</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8393</v>
      </c>
      <c r="E234" s="617"/>
      <c r="F234" s="617"/>
      <c r="G234" s="617"/>
      <c r="H234" s="617"/>
      <c r="I234" s="617"/>
      <c r="J234" s="617"/>
      <c r="K234" s="1693">
        <f t="shared" si="20"/>
        <v>8393</v>
      </c>
      <c r="L234" s="466">
        <v>8000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1436</v>
      </c>
      <c r="E236" s="617"/>
      <c r="F236" s="617"/>
      <c r="G236" s="617"/>
      <c r="H236" s="617"/>
      <c r="I236" s="617"/>
      <c r="J236" s="617"/>
      <c r="K236" s="1693">
        <f t="shared" si="20"/>
        <v>1436</v>
      </c>
      <c r="L236" s="466">
        <v>1450</v>
      </c>
    </row>
    <row r="237" spans="1:12" x14ac:dyDescent="0.2">
      <c r="A237" s="1526" t="s">
        <v>167</v>
      </c>
      <c r="B237" s="615">
        <v>2190</v>
      </c>
      <c r="C237" s="617"/>
      <c r="D237" s="466">
        <v>11596</v>
      </c>
      <c r="E237" s="617"/>
      <c r="F237" s="617"/>
      <c r="G237" s="617"/>
      <c r="H237" s="617"/>
      <c r="I237" s="617"/>
      <c r="J237" s="617"/>
      <c r="K237" s="1693">
        <f t="shared" si="20"/>
        <v>11596</v>
      </c>
      <c r="L237" s="466">
        <v>15700</v>
      </c>
    </row>
    <row r="238" spans="1:12" ht="12.75" customHeight="1" thickBot="1" x14ac:dyDescent="0.25">
      <c r="A238" s="1690" t="s">
        <v>581</v>
      </c>
      <c r="B238" s="1697" t="s">
        <v>740</v>
      </c>
      <c r="C238" s="617"/>
      <c r="D238" s="1692">
        <f>SUM(D232:D237)</f>
        <v>22646</v>
      </c>
      <c r="E238" s="617"/>
      <c r="F238" s="617"/>
      <c r="G238" s="617"/>
      <c r="H238" s="617"/>
      <c r="I238" s="617"/>
      <c r="J238" s="617"/>
      <c r="K238" s="1692">
        <f>SUM(K232:K237)</f>
        <v>22646</v>
      </c>
      <c r="L238" s="1692">
        <f>SUM(L232:L237)</f>
        <v>26350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331</v>
      </c>
      <c r="E240" s="617"/>
      <c r="F240" s="617"/>
      <c r="G240" s="617"/>
      <c r="H240" s="617"/>
      <c r="I240" s="617"/>
      <c r="J240" s="617"/>
      <c r="K240" s="1694">
        <f>D240</f>
        <v>331</v>
      </c>
      <c r="L240" s="481">
        <v>373</v>
      </c>
    </row>
    <row r="241" spans="1:12" x14ac:dyDescent="0.2">
      <c r="A241" s="1526" t="s">
        <v>869</v>
      </c>
      <c r="B241" s="615">
        <v>2220</v>
      </c>
      <c r="C241" s="617"/>
      <c r="D241" s="466">
        <v>8071</v>
      </c>
      <c r="E241" s="617"/>
      <c r="F241" s="617"/>
      <c r="G241" s="617"/>
      <c r="H241" s="617"/>
      <c r="I241" s="617"/>
      <c r="J241" s="617"/>
      <c r="K241" s="1694">
        <f>D241</f>
        <v>8071</v>
      </c>
      <c r="L241" s="466">
        <v>9800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8402</v>
      </c>
      <c r="E243" s="617"/>
      <c r="F243" s="617"/>
      <c r="G243" s="617"/>
      <c r="H243" s="617"/>
      <c r="I243" s="617"/>
      <c r="J243" s="617"/>
      <c r="K243" s="1692">
        <f>SUM(K240:K242)</f>
        <v>8402</v>
      </c>
      <c r="L243" s="1692">
        <f>SUM(L240:L242)</f>
        <v>10173</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10082</v>
      </c>
      <c r="E246" s="617"/>
      <c r="F246" s="617"/>
      <c r="G246" s="617"/>
      <c r="H246" s="617"/>
      <c r="I246" s="617"/>
      <c r="J246" s="617"/>
      <c r="K246" s="1694">
        <f t="shared" ref="K246:K256" si="21">D246</f>
        <v>10082</v>
      </c>
      <c r="L246" s="466">
        <v>9850</v>
      </c>
    </row>
    <row r="247" spans="1:12" x14ac:dyDescent="0.2">
      <c r="A247" s="1526" t="s">
        <v>873</v>
      </c>
      <c r="B247" s="615">
        <v>2330</v>
      </c>
      <c r="C247" s="617"/>
      <c r="D247" s="466">
        <v>2637</v>
      </c>
      <c r="E247" s="617"/>
      <c r="F247" s="617"/>
      <c r="G247" s="617"/>
      <c r="H247" s="617"/>
      <c r="I247" s="617"/>
      <c r="J247" s="617"/>
      <c r="K247" s="1694">
        <f t="shared" si="21"/>
        <v>2637</v>
      </c>
      <c r="L247" s="466">
        <v>2096</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1905</v>
      </c>
      <c r="B249" s="684" t="s">
        <v>300</v>
      </c>
      <c r="C249" s="617"/>
      <c r="D249" s="474"/>
      <c r="E249" s="617"/>
      <c r="F249" s="617"/>
      <c r="G249" s="617"/>
      <c r="H249" s="617"/>
      <c r="I249" s="617"/>
      <c r="J249" s="617"/>
      <c r="K249" s="1694">
        <f t="shared" si="21"/>
        <v>0</v>
      </c>
      <c r="L249" s="466"/>
    </row>
    <row r="250" spans="1:12" x14ac:dyDescent="0.2">
      <c r="A250" s="1527" t="s">
        <v>1906</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12719</v>
      </c>
      <c r="E257" s="617"/>
      <c r="F257" s="617"/>
      <c r="G257" s="617"/>
      <c r="H257" s="617"/>
      <c r="I257" s="617"/>
      <c r="J257" s="617"/>
      <c r="K257" s="1692">
        <f>SUM(K245:K256)</f>
        <v>12719</v>
      </c>
      <c r="L257" s="1692">
        <f>SUM(L245:L256)</f>
        <v>11946</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26537</v>
      </c>
      <c r="E259" s="617"/>
      <c r="F259" s="617"/>
      <c r="G259" s="617"/>
      <c r="H259" s="617"/>
      <c r="I259" s="617"/>
      <c r="J259" s="617"/>
      <c r="K259" s="1694">
        <f>D259</f>
        <v>26537</v>
      </c>
      <c r="L259" s="481">
        <v>28920</v>
      </c>
    </row>
    <row r="260" spans="1:14" s="598" customFormat="1" x14ac:dyDescent="0.2">
      <c r="A260" s="1544" t="s">
        <v>1904</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26537</v>
      </c>
      <c r="E261" s="617"/>
      <c r="F261" s="617"/>
      <c r="G261" s="617"/>
      <c r="H261" s="617"/>
      <c r="I261" s="617"/>
      <c r="J261" s="617"/>
      <c r="K261" s="1692">
        <f>SUM(K259:K260)</f>
        <v>26537</v>
      </c>
      <c r="L261" s="1692">
        <f>SUM(L259:L260)</f>
        <v>28920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10323</v>
      </c>
      <c r="E264" s="617"/>
      <c r="F264" s="617"/>
      <c r="G264" s="617"/>
      <c r="H264" s="617"/>
      <c r="I264" s="617"/>
      <c r="J264" s="617"/>
      <c r="K264" s="1694">
        <f t="shared" ref="K264:K269" si="22">D264</f>
        <v>10323</v>
      </c>
      <c r="L264" s="466">
        <v>10753</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49523</v>
      </c>
      <c r="E266" s="617"/>
      <c r="F266" s="617"/>
      <c r="G266" s="617"/>
      <c r="H266" s="617"/>
      <c r="I266" s="617"/>
      <c r="J266" s="617"/>
      <c r="K266" s="1694">
        <f t="shared" si="22"/>
        <v>49523</v>
      </c>
      <c r="L266" s="466">
        <v>48857</v>
      </c>
    </row>
    <row r="267" spans="1:14" x14ac:dyDescent="0.2">
      <c r="A267" s="1526" t="s">
        <v>1010</v>
      </c>
      <c r="B267" s="615">
        <v>2550</v>
      </c>
      <c r="C267" s="617"/>
      <c r="D267" s="466">
        <v>72883</v>
      </c>
      <c r="E267" s="617"/>
      <c r="F267" s="617"/>
      <c r="G267" s="617"/>
      <c r="H267" s="617"/>
      <c r="I267" s="617"/>
      <c r="J267" s="617"/>
      <c r="K267" s="1694">
        <f t="shared" si="22"/>
        <v>72883</v>
      </c>
      <c r="L267" s="466">
        <v>71757</v>
      </c>
    </row>
    <row r="268" spans="1:14" x14ac:dyDescent="0.2">
      <c r="A268" s="1526" t="s">
        <v>102</v>
      </c>
      <c r="B268" s="615">
        <v>2560</v>
      </c>
      <c r="C268" s="617"/>
      <c r="D268" s="466">
        <v>39313</v>
      </c>
      <c r="E268" s="617"/>
      <c r="F268" s="617"/>
      <c r="G268" s="617"/>
      <c r="H268" s="617"/>
      <c r="I268" s="617"/>
      <c r="J268" s="617"/>
      <c r="K268" s="1694">
        <f t="shared" si="22"/>
        <v>39313</v>
      </c>
      <c r="L268" s="466">
        <v>29629</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172042</v>
      </c>
      <c r="E270" s="617"/>
      <c r="F270" s="617"/>
      <c r="G270" s="617"/>
      <c r="H270" s="617"/>
      <c r="I270" s="617"/>
      <c r="J270" s="617"/>
      <c r="K270" s="1692">
        <f>SUM(K263:K269)</f>
        <v>172042</v>
      </c>
      <c r="L270" s="1692">
        <f>SUM(L263:L269)</f>
        <v>160996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242346</v>
      </c>
      <c r="E279" s="617"/>
      <c r="F279" s="617"/>
      <c r="G279" s="617"/>
      <c r="H279" s="617"/>
      <c r="I279" s="617"/>
      <c r="J279" s="617"/>
      <c r="K279" s="1699">
        <f>SUM(K238,K243,K257,K261,K270,K277,K278)</f>
        <v>242346</v>
      </c>
      <c r="L279" s="1699">
        <f>SUM(L238,L243,L257,L261,L270,L277,L278)</f>
        <v>238385</v>
      </c>
    </row>
    <row r="280" spans="1:12" ht="15.75" customHeight="1" thickTop="1" thickBot="1" x14ac:dyDescent="0.25">
      <c r="A280" s="1646" t="s">
        <v>930</v>
      </c>
      <c r="B280" s="1635">
        <v>3000</v>
      </c>
      <c r="C280" s="617"/>
      <c r="D280" s="576">
        <v>20279</v>
      </c>
      <c r="E280" s="617"/>
      <c r="F280" s="617"/>
      <c r="G280" s="617"/>
      <c r="H280" s="617"/>
      <c r="I280" s="617"/>
      <c r="J280" s="617"/>
      <c r="K280" s="1701">
        <f>D280</f>
        <v>20279</v>
      </c>
      <c r="L280" s="576">
        <v>29723</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c r="E282" s="617"/>
      <c r="F282" s="617"/>
      <c r="G282" s="617"/>
      <c r="H282" s="617"/>
      <c r="I282" s="617"/>
      <c r="J282" s="617"/>
      <c r="K282" s="1693">
        <f>D282</f>
        <v>0</v>
      </c>
      <c r="L282" s="467"/>
    </row>
    <row r="283" spans="1:12" x14ac:dyDescent="0.2">
      <c r="A283" s="1526" t="s">
        <v>322</v>
      </c>
      <c r="B283" s="615">
        <v>4120</v>
      </c>
      <c r="C283" s="617"/>
      <c r="D283" s="466">
        <v>1047</v>
      </c>
      <c r="E283" s="617"/>
      <c r="F283" s="617"/>
      <c r="G283" s="617"/>
      <c r="H283" s="617"/>
      <c r="I283" s="617"/>
      <c r="J283" s="617"/>
      <c r="K283" s="1693">
        <f>D283</f>
        <v>1047</v>
      </c>
      <c r="L283" s="466">
        <v>1850</v>
      </c>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1047</v>
      </c>
      <c r="E285" s="617"/>
      <c r="F285" s="617"/>
      <c r="G285" s="617"/>
      <c r="H285" s="617"/>
      <c r="I285" s="617"/>
      <c r="J285" s="617"/>
      <c r="K285" s="1692">
        <f>SUM(K282:K284)</f>
        <v>1047</v>
      </c>
      <c r="L285" s="1692">
        <f>SUM(L282:L284)</f>
        <v>1850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391332</v>
      </c>
      <c r="E295" s="617"/>
      <c r="F295" s="617"/>
      <c r="G295" s="617"/>
      <c r="H295" s="1692">
        <f>H293</f>
        <v>0</v>
      </c>
      <c r="I295" s="617"/>
      <c r="J295" s="617"/>
      <c r="K295" s="1692">
        <f>SUM(K229,K279,K280,K285,K293,K294)</f>
        <v>391332</v>
      </c>
      <c r="L295" s="1692">
        <f>SUM(L229,L279,L280,L285,L293,L294)</f>
        <v>407466</v>
      </c>
    </row>
    <row r="296" spans="1:14" ht="13.5" thickTop="1" x14ac:dyDescent="0.2">
      <c r="A296" s="2199" t="s">
        <v>1053</v>
      </c>
      <c r="B296" s="2200"/>
      <c r="C296" s="617"/>
      <c r="D296" s="619"/>
      <c r="E296" s="617"/>
      <c r="F296" s="617"/>
      <c r="G296" s="617"/>
      <c r="H296" s="688"/>
      <c r="I296" s="617"/>
      <c r="J296" s="617"/>
      <c r="K296" s="1706">
        <f>'Revenues 9-14'!G275-'Expenditures 15-22'!K295</f>
        <v>89681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211505</v>
      </c>
      <c r="H301" s="466"/>
      <c r="I301" s="467"/>
      <c r="J301" s="467"/>
      <c r="K301" s="1693">
        <f>SUM(C301:J301)</f>
        <v>211505</v>
      </c>
      <c r="L301" s="467">
        <v>350000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211505</v>
      </c>
      <c r="H303" s="1699">
        <f t="shared" si="23"/>
        <v>0</v>
      </c>
      <c r="I303" s="1699">
        <f t="shared" si="23"/>
        <v>0</v>
      </c>
      <c r="J303" s="1699">
        <f t="shared" si="23"/>
        <v>0</v>
      </c>
      <c r="K303" s="1699">
        <f t="shared" si="23"/>
        <v>211505</v>
      </c>
      <c r="L303" s="1699">
        <f t="shared" si="23"/>
        <v>350000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211505</v>
      </c>
      <c r="H312" s="1692">
        <f>SUM(H303,H310)</f>
        <v>0</v>
      </c>
      <c r="I312" s="1692">
        <f>SUM(I303)</f>
        <v>0</v>
      </c>
      <c r="J312" s="1692">
        <f>SUM(J303)</f>
        <v>0</v>
      </c>
      <c r="K312" s="1692">
        <f>SUM(K303,K310,K311)</f>
        <v>211505</v>
      </c>
      <c r="L312" s="1692">
        <f>SUM(L303,L310,L311)</f>
        <v>350000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-211505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1905</v>
      </c>
      <c r="B320" s="699" t="s">
        <v>300</v>
      </c>
      <c r="C320" s="467"/>
      <c r="D320" s="467"/>
      <c r="E320" s="467">
        <v>68956</v>
      </c>
      <c r="F320" s="467"/>
      <c r="G320" s="467"/>
      <c r="H320" s="467"/>
      <c r="I320" s="467"/>
      <c r="J320" s="467"/>
      <c r="K320" s="1693">
        <f t="shared" ref="K320:K327" si="24">SUM(C320:J320)</f>
        <v>68956</v>
      </c>
      <c r="L320" s="467">
        <v>77538</v>
      </c>
      <c r="M320" s="666"/>
      <c r="N320" s="666"/>
    </row>
    <row r="321" spans="1:14" s="675" customFormat="1" x14ac:dyDescent="0.2">
      <c r="A321" s="1541" t="s">
        <v>318</v>
      </c>
      <c r="B321" s="698" t="s">
        <v>301</v>
      </c>
      <c r="C321" s="467"/>
      <c r="D321" s="467"/>
      <c r="E321" s="467">
        <v>32649</v>
      </c>
      <c r="F321" s="467"/>
      <c r="G321" s="467"/>
      <c r="H321" s="467"/>
      <c r="I321" s="467"/>
      <c r="J321" s="467"/>
      <c r="K321" s="1693">
        <f t="shared" si="24"/>
        <v>32649</v>
      </c>
      <c r="L321" s="467">
        <v>30000</v>
      </c>
      <c r="M321" s="666"/>
      <c r="N321" s="666"/>
    </row>
    <row r="322" spans="1:14" s="675" customFormat="1" x14ac:dyDescent="0.2">
      <c r="A322" s="1541" t="s">
        <v>256</v>
      </c>
      <c r="B322" s="698" t="s">
        <v>302</v>
      </c>
      <c r="C322" s="467"/>
      <c r="D322" s="467"/>
      <c r="E322" s="467">
        <v>89228</v>
      </c>
      <c r="F322" s="467"/>
      <c r="G322" s="467"/>
      <c r="H322" s="467"/>
      <c r="I322" s="467"/>
      <c r="J322" s="467"/>
      <c r="K322" s="1693">
        <f t="shared" si="24"/>
        <v>89228</v>
      </c>
      <c r="L322" s="467">
        <v>90000</v>
      </c>
      <c r="M322" s="666"/>
      <c r="N322" s="666"/>
    </row>
    <row r="323" spans="1:14" s="675" customFormat="1" x14ac:dyDescent="0.2">
      <c r="A323" s="1541" t="s">
        <v>726</v>
      </c>
      <c r="B323" s="698" t="s">
        <v>303</v>
      </c>
      <c r="C323" s="467"/>
      <c r="D323" s="467"/>
      <c r="E323" s="467">
        <v>93805</v>
      </c>
      <c r="F323" s="467"/>
      <c r="G323" s="467"/>
      <c r="H323" s="467"/>
      <c r="I323" s="467"/>
      <c r="J323" s="467"/>
      <c r="K323" s="1693">
        <f t="shared" si="24"/>
        <v>93805</v>
      </c>
      <c r="L323" s="467">
        <v>90000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556300</v>
      </c>
      <c r="D325" s="467"/>
      <c r="E325" s="467"/>
      <c r="F325" s="467"/>
      <c r="G325" s="467"/>
      <c r="H325" s="467"/>
      <c r="I325" s="467"/>
      <c r="J325" s="467"/>
      <c r="K325" s="1693">
        <f t="shared" si="24"/>
        <v>556300</v>
      </c>
      <c r="L325" s="467">
        <v>556300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556300</v>
      </c>
      <c r="D330" s="1692">
        <f t="shared" ref="D330:J330" si="25">SUM(D319:D329)</f>
        <v>0</v>
      </c>
      <c r="E330" s="1692">
        <f t="shared" si="25"/>
        <v>284638</v>
      </c>
      <c r="F330" s="1692">
        <f t="shared" si="25"/>
        <v>0</v>
      </c>
      <c r="G330" s="1692">
        <f t="shared" si="25"/>
        <v>0</v>
      </c>
      <c r="H330" s="1692">
        <f t="shared" si="25"/>
        <v>0</v>
      </c>
      <c r="I330" s="1692">
        <f t="shared" si="25"/>
        <v>0</v>
      </c>
      <c r="J330" s="1692">
        <f t="shared" si="25"/>
        <v>0</v>
      </c>
      <c r="K330" s="1692">
        <f>SUM(K319:K329)</f>
        <v>840938</v>
      </c>
      <c r="L330" s="1692">
        <f>SUM(L319:L329)</f>
        <v>843838</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1956</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556300</v>
      </c>
      <c r="D342" s="1692">
        <f>SUM(D330)</f>
        <v>0</v>
      </c>
      <c r="E342" s="1692">
        <f>SUM(E330)</f>
        <v>284638</v>
      </c>
      <c r="F342" s="1692">
        <f>SUM(F330)</f>
        <v>0</v>
      </c>
      <c r="G342" s="1692">
        <f>SUM(G330)</f>
        <v>0</v>
      </c>
      <c r="H342" s="1692">
        <f>SUM(H330,H334,H340)</f>
        <v>0</v>
      </c>
      <c r="I342" s="1692">
        <f>SUM(I330)</f>
        <v>0</v>
      </c>
      <c r="J342" s="1692">
        <f>SUM(J330)</f>
        <v>0</v>
      </c>
      <c r="K342" s="1692">
        <f>SUM(K330,K334,K340)</f>
        <v>840938</v>
      </c>
      <c r="L342" s="1699">
        <f>SUM(L330,L340,L341)</f>
        <v>843838</v>
      </c>
    </row>
    <row r="343" spans="1:14" ht="12.75" customHeight="1" thickTop="1" x14ac:dyDescent="0.2">
      <c r="A343" s="2185" t="s">
        <v>1053</v>
      </c>
      <c r="B343" s="2186"/>
      <c r="C343" s="617"/>
      <c r="D343" s="617"/>
      <c r="E343" s="617"/>
      <c r="F343" s="617"/>
      <c r="G343" s="617"/>
      <c r="H343" s="617"/>
      <c r="I343" s="617"/>
      <c r="J343" s="617"/>
      <c r="K343" s="1706">
        <f>'Revenues 9-14'!J275-'Expenditures 15-22'!K342</f>
        <v>85336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54899</v>
      </c>
      <c r="F348" s="466"/>
      <c r="G348" s="466">
        <v>38626</v>
      </c>
      <c r="H348" s="466"/>
      <c r="I348" s="467"/>
      <c r="J348" s="467"/>
      <c r="K348" s="1693">
        <f>SUM(C348:J348)</f>
        <v>93525</v>
      </c>
      <c r="L348" s="466">
        <v>93900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54899</v>
      </c>
      <c r="F350" s="1692">
        <f t="shared" si="26"/>
        <v>0</v>
      </c>
      <c r="G350" s="1692">
        <f t="shared" si="26"/>
        <v>38626</v>
      </c>
      <c r="H350" s="1692">
        <f t="shared" si="26"/>
        <v>0</v>
      </c>
      <c r="I350" s="1692">
        <f t="shared" si="26"/>
        <v>0</v>
      </c>
      <c r="J350" s="1692">
        <f t="shared" si="26"/>
        <v>0</v>
      </c>
      <c r="K350" s="1692">
        <f t="shared" si="26"/>
        <v>93525</v>
      </c>
      <c r="L350" s="1692">
        <f t="shared" si="26"/>
        <v>93900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54899</v>
      </c>
      <c r="F352" s="1692">
        <f t="shared" si="27"/>
        <v>0</v>
      </c>
      <c r="G352" s="1692">
        <f t="shared" si="27"/>
        <v>38626</v>
      </c>
      <c r="H352" s="1692">
        <f t="shared" si="27"/>
        <v>0</v>
      </c>
      <c r="I352" s="1692">
        <f t="shared" si="27"/>
        <v>0</v>
      </c>
      <c r="J352" s="1692">
        <f t="shared" si="27"/>
        <v>0</v>
      </c>
      <c r="K352" s="1692">
        <f t="shared" si="27"/>
        <v>93525</v>
      </c>
      <c r="L352" s="1692">
        <f t="shared" si="27"/>
        <v>93900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c r="I354" s="702"/>
      <c r="J354" s="617"/>
      <c r="K354" s="1721">
        <f>H354</f>
        <v>0</v>
      </c>
      <c r="L354" s="471"/>
    </row>
    <row r="355" spans="1:14" ht="12.75" customHeight="1" x14ac:dyDescent="0.2">
      <c r="A355" s="1535" t="s">
        <v>1963</v>
      </c>
      <c r="B355" s="691" t="s">
        <v>1956</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54899</v>
      </c>
      <c r="F367" s="1692">
        <f t="shared" si="28"/>
        <v>0</v>
      </c>
      <c r="G367" s="1692">
        <f t="shared" si="28"/>
        <v>38626</v>
      </c>
      <c r="H367" s="1692">
        <f t="shared" si="28"/>
        <v>0</v>
      </c>
      <c r="I367" s="1692">
        <f t="shared" si="28"/>
        <v>0</v>
      </c>
      <c r="J367" s="1692">
        <f t="shared" si="28"/>
        <v>0</v>
      </c>
      <c r="K367" s="1692">
        <f t="shared" si="28"/>
        <v>93525</v>
      </c>
      <c r="L367" s="1692">
        <f t="shared" si="28"/>
        <v>93900</v>
      </c>
    </row>
    <row r="368" spans="1:14" ht="13.5" thickTop="1" x14ac:dyDescent="0.2">
      <c r="A368" s="2199" t="s">
        <v>1053</v>
      </c>
      <c r="B368" s="2200"/>
      <c r="C368" s="655"/>
      <c r="D368" s="655"/>
      <c r="E368" s="627"/>
      <c r="F368" s="627"/>
      <c r="G368" s="627"/>
      <c r="H368" s="627"/>
      <c r="I368" s="627"/>
      <c r="J368" s="624"/>
      <c r="K368" s="1693">
        <f>'Revenues 9-14'!K275-'Expenditures 15-22'!K367</f>
        <v>-31399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orizontalCentered="1" gridLinesSet="0"/>
  <pageMargins left="0.75" right="0.75" top="1.1499999999999999" bottom="0.5" header="0.5" footer="0.5"/>
  <pageSetup scale="60" firstPageNumber="15" fitToHeight="0" orientation="landscape" r:id="rId1"/>
  <headerFooter>
    <oddHeader>&amp;C&amp;"Times New Roman,Regular"HARMONY-EMGE SCHOOL DISTRICT NO. 175
STATEMENT OF DISBURSEMENTS - CASH - REGULATORY BASIS
(ACTUAL AND BUDGET)
ALL FUNDS
FOR THE YEAR ENDED JUNE 30, 2018</oddHeader>
    <oddFooter>&amp;C&amp;"Times New Roman,Regular"See Notes to Financial Statements and Independent Auditor's Reports
&amp;P</oddFooter>
  </headerFooter>
  <rowBreaks count="6" manualBreakCount="6">
    <brk id="53" max="16383" man="1"/>
    <brk id="107" max="16383" man="1"/>
    <brk id="160" max="16383" man="1"/>
    <brk id="208" max="16383" man="1"/>
    <brk id="261" max="16383" man="1"/>
    <brk id="316"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C1" colorId="8" zoomScale="110" zoomScaleNormal="110" workbookViewId="0">
      <selection activeCell="E14" sqref="E1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1902</v>
      </c>
      <c r="B2" s="1550" t="s">
        <v>2034</v>
      </c>
      <c r="C2" s="715" t="s">
        <v>1907</v>
      </c>
      <c r="D2" s="715" t="s">
        <v>1908</v>
      </c>
      <c r="E2" s="715" t="s">
        <v>1909</v>
      </c>
      <c r="F2" s="715" t="s">
        <v>1910</v>
      </c>
    </row>
    <row r="3" spans="1:6" ht="12" customHeight="1" x14ac:dyDescent="0.2">
      <c r="A3" s="2202"/>
      <c r="B3" s="1547"/>
      <c r="C3" s="1548"/>
      <c r="D3" s="1549" t="s">
        <v>274</v>
      </c>
      <c r="E3" s="1548"/>
      <c r="F3" s="1549" t="s">
        <v>275</v>
      </c>
    </row>
    <row r="4" spans="1:6" ht="13.7" customHeight="1" x14ac:dyDescent="0.2">
      <c r="A4" s="716" t="s">
        <v>1217</v>
      </c>
      <c r="B4" s="1771">
        <f>'Revenues 9-14'!C5</f>
        <v>2347296</v>
      </c>
      <c r="C4" s="1546"/>
      <c r="D4" s="1774">
        <f>B4-C4</f>
        <v>2347296</v>
      </c>
      <c r="E4" s="1546">
        <v>2460080</v>
      </c>
      <c r="F4" s="1774">
        <f>E4-C4</f>
        <v>2460080</v>
      </c>
    </row>
    <row r="5" spans="1:6" ht="13.7" customHeight="1" x14ac:dyDescent="0.2">
      <c r="A5" s="716" t="s">
        <v>925</v>
      </c>
      <c r="B5" s="1772">
        <f>'Revenues 9-14'!D5</f>
        <v>425677</v>
      </c>
      <c r="C5" s="585"/>
      <c r="D5" s="1775">
        <f t="shared" ref="D5:D18" si="0">B5-C5</f>
        <v>425677</v>
      </c>
      <c r="E5" s="585">
        <v>445068</v>
      </c>
      <c r="F5" s="1775">
        <f>E5-C5</f>
        <v>445068</v>
      </c>
    </row>
    <row r="6" spans="1:6" ht="13.7" customHeight="1" x14ac:dyDescent="0.2">
      <c r="A6" s="716" t="s">
        <v>431</v>
      </c>
      <c r="B6" s="1772">
        <f>'Revenues 9-14'!E5</f>
        <v>1275694</v>
      </c>
      <c r="C6" s="585"/>
      <c r="D6" s="1775">
        <f t="shared" si="0"/>
        <v>1275694</v>
      </c>
      <c r="E6" s="585">
        <v>1272544</v>
      </c>
      <c r="F6" s="1775">
        <f t="shared" ref="F6:F18" si="1">E6-C6</f>
        <v>1272544</v>
      </c>
    </row>
    <row r="7" spans="1:6" ht="13.7" customHeight="1" x14ac:dyDescent="0.2">
      <c r="A7" s="716" t="s">
        <v>157</v>
      </c>
      <c r="B7" s="1772">
        <f>'Revenues 9-14'!F5</f>
        <v>145947</v>
      </c>
      <c r="C7" s="585"/>
      <c r="D7" s="1775">
        <f t="shared" si="0"/>
        <v>145947</v>
      </c>
      <c r="E7" s="585">
        <v>155031</v>
      </c>
      <c r="F7" s="1775">
        <f t="shared" si="1"/>
        <v>155031</v>
      </c>
    </row>
    <row r="8" spans="1:6" ht="13.7" customHeight="1" x14ac:dyDescent="0.2">
      <c r="A8" s="716" t="s">
        <v>1241</v>
      </c>
      <c r="B8" s="1772">
        <f>'Revenues 9-14'!G5</f>
        <v>232178</v>
      </c>
      <c r="C8" s="585"/>
      <c r="D8" s="1775">
        <f t="shared" si="0"/>
        <v>232178</v>
      </c>
      <c r="E8" s="585">
        <v>205028</v>
      </c>
      <c r="F8" s="1775">
        <f t="shared" si="1"/>
        <v>205028</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60810</v>
      </c>
      <c r="C10" s="585"/>
      <c r="D10" s="1775">
        <f t="shared" si="0"/>
        <v>60810</v>
      </c>
      <c r="E10" s="585">
        <v>64596</v>
      </c>
      <c r="F10" s="1775">
        <f t="shared" si="1"/>
        <v>64596</v>
      </c>
    </row>
    <row r="11" spans="1:6" x14ac:dyDescent="0.2">
      <c r="A11" s="716" t="s">
        <v>429</v>
      </c>
      <c r="B11" s="1772">
        <f>'Revenues 9-14'!J5</f>
        <v>926274</v>
      </c>
      <c r="C11" s="585"/>
      <c r="D11" s="1775">
        <f t="shared" si="0"/>
        <v>926274</v>
      </c>
      <c r="E11" s="585">
        <v>925017</v>
      </c>
      <c r="F11" s="1775">
        <f t="shared" si="1"/>
        <v>925017</v>
      </c>
    </row>
    <row r="12" spans="1:6" ht="13.7" customHeight="1" x14ac:dyDescent="0.2">
      <c r="A12" s="716" t="s">
        <v>159</v>
      </c>
      <c r="B12" s="1772">
        <f>'Revenues 9-14'!K5</f>
        <v>60810</v>
      </c>
      <c r="C12" s="585"/>
      <c r="D12" s="1775">
        <f t="shared" si="0"/>
        <v>60810</v>
      </c>
      <c r="E12" s="585">
        <v>64596</v>
      </c>
      <c r="F12" s="1775">
        <f t="shared" si="1"/>
        <v>64596</v>
      </c>
    </row>
    <row r="13" spans="1:6" ht="13.7" customHeight="1" x14ac:dyDescent="0.2">
      <c r="A13" s="716" t="s">
        <v>993</v>
      </c>
      <c r="B13" s="1772">
        <f>SUM('Revenues 9-14'!C6:D6)</f>
        <v>60810</v>
      </c>
      <c r="C13" s="585"/>
      <c r="D13" s="1775">
        <f t="shared" si="0"/>
        <v>60810</v>
      </c>
      <c r="E13" s="585">
        <v>64596</v>
      </c>
      <c r="F13" s="1775">
        <f t="shared" si="1"/>
        <v>64596</v>
      </c>
    </row>
    <row r="14" spans="1:6" ht="13.7" customHeight="1" x14ac:dyDescent="0.2">
      <c r="A14" s="716" t="s">
        <v>430</v>
      </c>
      <c r="B14" s="1772">
        <f>SUM('Revenues 9-14'!C7:D7,'Revenues 9-14'!F7:H7)</f>
        <v>24326</v>
      </c>
      <c r="C14" s="585"/>
      <c r="D14" s="1775">
        <f t="shared" si="0"/>
        <v>24326</v>
      </c>
      <c r="E14" s="585">
        <v>25838</v>
      </c>
      <c r="F14" s="1775">
        <f t="shared" si="1"/>
        <v>25838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232178</v>
      </c>
      <c r="C16" s="585"/>
      <c r="D16" s="1775">
        <f t="shared" si="0"/>
        <v>232178</v>
      </c>
      <c r="E16" s="585">
        <v>205028</v>
      </c>
      <c r="F16" s="1775">
        <f t="shared" si="1"/>
        <v>205028</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5792000</v>
      </c>
      <c r="C19" s="1773">
        <f>SUM(C4:C18)</f>
        <v>0</v>
      </c>
      <c r="D19" s="1773">
        <f>SUM(D4:D18)</f>
        <v>5792000</v>
      </c>
      <c r="E19" s="1773">
        <f>SUM(E4:E18)</f>
        <v>5887422</v>
      </c>
      <c r="F19" s="1773">
        <f>SUM(F4:F18)</f>
        <v>5887422</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orizontalCentered="1" gridLinesSet="0"/>
  <pageMargins left="0.75" right="0.75" top="1.5" bottom="0.5" header="0.5" footer="0.5"/>
  <pageSetup scale="94" firstPageNumber="59" orientation="landscape" useFirstPageNumber="1" r:id="rId1"/>
  <headerFooter>
    <oddHeader>&amp;C&amp;"Times New Roman,Regular"HARMONY-EMGE SCHOOL DISTRICT NO. 175
SCHEDULE OF AD VALOREM TAX RECEIPTS
FOR THE YEAR ENDED JUNE 30, 2018</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B22" colorId="8" zoomScale="110" zoomScaleNormal="110" workbookViewId="0">
      <selection activeCell="J38" sqref="J3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1902</v>
      </c>
      <c r="B2" s="2217"/>
      <c r="C2" s="1909" t="s">
        <v>2035</v>
      </c>
      <c r="D2" s="724" t="s">
        <v>2042</v>
      </c>
      <c r="E2" s="724" t="s">
        <v>2043</v>
      </c>
      <c r="F2" s="1909" t="s">
        <v>2036</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2037</v>
      </c>
      <c r="F30" s="1910" t="s">
        <v>2038</v>
      </c>
      <c r="G30" s="1910" t="s">
        <v>2041</v>
      </c>
      <c r="H30" s="1910" t="s">
        <v>2039</v>
      </c>
      <c r="I30" s="1910" t="s">
        <v>2040</v>
      </c>
      <c r="J30" s="1911" t="s">
        <v>2</v>
      </c>
      <c r="K30" s="732"/>
    </row>
    <row r="31" spans="1:11" ht="12" customHeight="1" x14ac:dyDescent="0.2">
      <c r="A31" s="733" t="s">
        <v>2087</v>
      </c>
      <c r="B31" s="734">
        <v>39947</v>
      </c>
      <c r="C31" s="735">
        <v>1500000</v>
      </c>
      <c r="D31" s="736">
        <v>4</v>
      </c>
      <c r="E31" s="735">
        <v>1295000</v>
      </c>
      <c r="F31" s="735"/>
      <c r="G31" s="735"/>
      <c r="H31" s="735">
        <v>715000</v>
      </c>
      <c r="I31" s="1778">
        <f>((E31+F31)-H31)+G31</f>
        <v>580000</v>
      </c>
      <c r="J31" s="735">
        <v>136316</v>
      </c>
      <c r="K31" s="737"/>
    </row>
    <row r="32" spans="1:11" ht="12" customHeight="1" x14ac:dyDescent="0.2">
      <c r="A32" s="733" t="s">
        <v>2088</v>
      </c>
      <c r="B32" s="734">
        <v>40129</v>
      </c>
      <c r="C32" s="735">
        <v>2583825</v>
      </c>
      <c r="D32" s="736">
        <v>3</v>
      </c>
      <c r="E32" s="735">
        <v>2583825</v>
      </c>
      <c r="F32" s="735"/>
      <c r="G32" s="735">
        <f>1217534+199215</f>
        <v>1416749</v>
      </c>
      <c r="H32" s="735">
        <v>15000</v>
      </c>
      <c r="I32" s="1778">
        <f>((E32+F32)-H32)+G32</f>
        <v>3985574</v>
      </c>
      <c r="J32" s="735">
        <v>3985574</v>
      </c>
      <c r="K32" s="737"/>
    </row>
    <row r="33" spans="1:11" ht="12" customHeight="1" x14ac:dyDescent="0.2">
      <c r="A33" s="733" t="s">
        <v>2089</v>
      </c>
      <c r="B33" s="734">
        <v>41429</v>
      </c>
      <c r="C33" s="735">
        <v>1055000</v>
      </c>
      <c r="D33" s="736">
        <v>4</v>
      </c>
      <c r="E33" s="735">
        <v>940000</v>
      </c>
      <c r="F33" s="735"/>
      <c r="G33" s="735"/>
      <c r="H33" s="735">
        <v>60000</v>
      </c>
      <c r="I33" s="1778">
        <f t="shared" ref="I33:I48" si="1">((E33+F33)-H33)+G33</f>
        <v>880000</v>
      </c>
      <c r="J33" s="735">
        <v>880000</v>
      </c>
      <c r="K33" s="737"/>
    </row>
    <row r="34" spans="1:11" ht="12" customHeight="1" x14ac:dyDescent="0.2">
      <c r="A34" s="733" t="s">
        <v>2090</v>
      </c>
      <c r="B34" s="734">
        <v>42429</v>
      </c>
      <c r="C34" s="735">
        <v>900000</v>
      </c>
      <c r="D34" s="736">
        <v>1</v>
      </c>
      <c r="E34" s="735">
        <v>550000</v>
      </c>
      <c r="F34" s="735"/>
      <c r="G34" s="735"/>
      <c r="H34" s="735">
        <v>370000</v>
      </c>
      <c r="I34" s="1778">
        <f t="shared" si="1"/>
        <v>180000</v>
      </c>
      <c r="J34" s="735">
        <v>180000</v>
      </c>
      <c r="K34" s="738"/>
    </row>
    <row r="35" spans="1:11" ht="12" customHeight="1" x14ac:dyDescent="0.2">
      <c r="A35" s="733" t="s">
        <v>2091</v>
      </c>
      <c r="B35" s="734">
        <v>42429</v>
      </c>
      <c r="C35" s="739">
        <v>600000</v>
      </c>
      <c r="D35" s="736">
        <v>1</v>
      </c>
      <c r="E35" s="739">
        <v>600000</v>
      </c>
      <c r="F35" s="739"/>
      <c r="G35" s="739"/>
      <c r="H35" s="739"/>
      <c r="I35" s="1778">
        <f t="shared" si="1"/>
        <v>600000</v>
      </c>
      <c r="J35" s="739">
        <v>600000</v>
      </c>
      <c r="K35" s="738"/>
    </row>
    <row r="36" spans="1:11" ht="12" customHeight="1" x14ac:dyDescent="0.2">
      <c r="A36" s="733" t="s">
        <v>2092</v>
      </c>
      <c r="B36" s="734">
        <v>42968</v>
      </c>
      <c r="C36" s="735">
        <v>1096814</v>
      </c>
      <c r="D36" s="736">
        <v>7</v>
      </c>
      <c r="E36" s="735"/>
      <c r="F36" s="735">
        <v>1096814</v>
      </c>
      <c r="G36" s="735"/>
      <c r="H36" s="735">
        <v>181072</v>
      </c>
      <c r="I36" s="1778">
        <f t="shared" si="1"/>
        <v>915742</v>
      </c>
      <c r="J36" s="735">
        <v>915742</v>
      </c>
      <c r="K36" s="740"/>
    </row>
    <row r="37" spans="1:11" ht="12" customHeight="1" x14ac:dyDescent="0.2">
      <c r="A37" s="733" t="s">
        <v>2094</v>
      </c>
      <c r="B37" s="734">
        <v>41653</v>
      </c>
      <c r="C37" s="467">
        <v>48489</v>
      </c>
      <c r="D37" s="741">
        <v>7</v>
      </c>
      <c r="E37" s="467">
        <v>16006</v>
      </c>
      <c r="F37" s="467"/>
      <c r="G37" s="467"/>
      <c r="H37" s="467">
        <v>10520</v>
      </c>
      <c r="I37" s="1778">
        <f t="shared" si="1"/>
        <v>5486</v>
      </c>
      <c r="J37" s="467">
        <v>5486</v>
      </c>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7784128</v>
      </c>
      <c r="D49" s="746"/>
      <c r="E49" s="1778">
        <f t="shared" ref="E49:J49" si="2">SUM(E31:E48)</f>
        <v>5984831</v>
      </c>
      <c r="F49" s="1778">
        <f t="shared" si="2"/>
        <v>1096814</v>
      </c>
      <c r="G49" s="1778">
        <f t="shared" si="2"/>
        <v>1416749</v>
      </c>
      <c r="H49" s="1778">
        <f t="shared" si="2"/>
        <v>1351592</v>
      </c>
      <c r="I49" s="1778">
        <f t="shared" si="2"/>
        <v>7146802</v>
      </c>
      <c r="J49" s="1778">
        <f t="shared" si="2"/>
        <v>6703118</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t="s">
        <v>2093</v>
      </c>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gridLinesSet="0"/>
  <pageMargins left="0.75" right="0.75" top="1" bottom="0.5" header="0.5" footer="0.5"/>
  <pageSetup scale="64" firstPageNumber="24" fitToHeight="0" orientation="landscape" r:id="rId1"/>
  <headerFooter>
    <oddHeader>&amp;C&amp;"Times New Roman,Regular"HARMONY-EMGE SCHOOL DISTRICT NO. 175
SCHEDULE OF SHORT-TERM AND LONG-TERM DEBT
FOR THE YEAR ENDED JUNE 30, 2018</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1916</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24326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9" t="s">
        <v>1917</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24326</v>
      </c>
      <c r="I12" s="1780">
        <f>SUM(I5:I11)</f>
        <v>0</v>
      </c>
      <c r="J12" s="1780">
        <f>SUM(J5:J11)</f>
        <v>0</v>
      </c>
      <c r="K12" s="1780">
        <f>SUM(K5:K11)</f>
        <v>0</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24326</v>
      </c>
      <c r="I14" s="772"/>
      <c r="J14" s="774"/>
      <c r="K14" s="766"/>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1913</v>
      </c>
      <c r="B19" s="2267"/>
      <c r="C19" s="2267"/>
      <c r="D19" s="2267"/>
      <c r="E19" s="2268"/>
      <c r="F19" s="790" t="s">
        <v>990</v>
      </c>
      <c r="G19" s="783"/>
      <c r="H19" s="783"/>
      <c r="I19" s="783"/>
      <c r="J19" s="766"/>
      <c r="K19" s="796"/>
    </row>
    <row r="20" spans="1:11" x14ac:dyDescent="0.2">
      <c r="A20" s="2246" t="s">
        <v>1918</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1919</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24326</v>
      </c>
      <c r="I23" s="1780">
        <f>SUM(I14:I16,I21,I22)</f>
        <v>0</v>
      </c>
      <c r="J23" s="1780">
        <f>SUM(J14:J16,J21,J22)</f>
        <v>0</v>
      </c>
      <c r="K23" s="1780">
        <f>SUM(K14:K16,K21,K22)</f>
        <v>0</v>
      </c>
    </row>
    <row r="24" spans="1:11" ht="14.25" thickTop="1" thickBot="1" x14ac:dyDescent="0.25">
      <c r="A24" s="2253" t="s">
        <v>2023</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2033</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orizontalCentered="1"/>
  <pageMargins left="0.75" right="0.75" top="1.1000000000000001" bottom="0.5" header="0.5" footer="0.5"/>
  <pageSetup scale="74" firstPageNumber="25" orientation="landscape" r:id="rId1"/>
  <headerFooter>
    <oddHeader>&amp;C&amp;"Times New Roman,Regular"HARMONY-EMGE SCHOOL DISTRICT NO. 175
SCHEDULE OF RESTRICTED LOCAL TAX LEVIES AND SELECTED REVENUE SOURCES
SCHEDULE OF TORT IMMUNITY EXPENDITURES
FOR THE YEAR ENDED JUNE 30, 2018</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22" sqref="J2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2032</v>
      </c>
      <c r="B1" s="2272"/>
      <c r="C1" s="2273"/>
      <c r="D1" s="827"/>
      <c r="E1" s="828"/>
      <c r="F1" s="828"/>
      <c r="G1" s="829"/>
      <c r="H1" s="830"/>
      <c r="I1" s="831"/>
      <c r="J1" s="2269"/>
      <c r="K1" s="2270"/>
      <c r="L1" s="2270"/>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137311</v>
      </c>
      <c r="D5" s="842"/>
      <c r="E5" s="842"/>
      <c r="F5" s="1782">
        <f>(C5+D5)-E5</f>
        <v>137311</v>
      </c>
      <c r="G5" s="838"/>
      <c r="H5" s="843"/>
      <c r="I5" s="843"/>
      <c r="J5" s="843"/>
      <c r="K5" s="794"/>
      <c r="L5" s="1791">
        <f>F5-K5</f>
        <v>137311</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17729012</v>
      </c>
      <c r="D8" s="845">
        <v>250131</v>
      </c>
      <c r="E8" s="845"/>
      <c r="F8" s="1782">
        <f>(C8+D8)-E8</f>
        <v>17979143</v>
      </c>
      <c r="G8" s="844">
        <v>50</v>
      </c>
      <c r="H8" s="766">
        <v>6259929</v>
      </c>
      <c r="I8" s="766">
        <v>429320</v>
      </c>
      <c r="J8" s="766"/>
      <c r="K8" s="1791">
        <f>(H8+I8)-J8</f>
        <v>6689249</v>
      </c>
      <c r="L8" s="1791">
        <f>F8-K8</f>
        <v>11289894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1962476</v>
      </c>
      <c r="D12" s="845"/>
      <c r="E12" s="845">
        <v>122121</v>
      </c>
      <c r="F12" s="1782">
        <f>(C12+D12)-E12</f>
        <v>1840355</v>
      </c>
      <c r="G12" s="844">
        <v>10</v>
      </c>
      <c r="H12" s="766">
        <v>1944812</v>
      </c>
      <c r="I12" s="766">
        <v>12321</v>
      </c>
      <c r="J12" s="766">
        <v>122121</v>
      </c>
      <c r="K12" s="1791">
        <f>(H12+I12)-J12</f>
        <v>1835012</v>
      </c>
      <c r="L12" s="1791">
        <f>F12-K12</f>
        <v>5343</v>
      </c>
    </row>
    <row r="13" spans="1:14" ht="14.25" thickTop="1" thickBot="1" x14ac:dyDescent="0.25">
      <c r="A13" s="849" t="s">
        <v>1184</v>
      </c>
      <c r="B13" s="841">
        <v>252</v>
      </c>
      <c r="C13" s="845">
        <v>268090</v>
      </c>
      <c r="D13" s="845">
        <v>51346</v>
      </c>
      <c r="E13" s="845"/>
      <c r="F13" s="1782">
        <f>(C13+D13)-E13</f>
        <v>319436</v>
      </c>
      <c r="G13" s="844">
        <v>5</v>
      </c>
      <c r="H13" s="766">
        <v>217676</v>
      </c>
      <c r="I13" s="766">
        <v>31876</v>
      </c>
      <c r="J13" s="766"/>
      <c r="K13" s="1791">
        <f>(H13+I13)-J13</f>
        <v>249552</v>
      </c>
      <c r="L13" s="1791">
        <f>F13-K13</f>
        <v>69884</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20096889</v>
      </c>
      <c r="D16" s="1782">
        <f>SUM(D3,D5:D6,D8:D10,D12:D15)</f>
        <v>301477</v>
      </c>
      <c r="E16" s="1782">
        <f>SUM(E3,E5:E6,E8:E10,E12:E15)</f>
        <v>122121</v>
      </c>
      <c r="F16" s="1782">
        <f>SUM(F3,F5:F6,F8:F10,F12:F15)</f>
        <v>20276245</v>
      </c>
      <c r="G16" s="844"/>
      <c r="H16" s="1782">
        <f>SUM(H3,H6,H8:H10,H12:H14,)</f>
        <v>8422417</v>
      </c>
      <c r="I16" s="1782">
        <f>SUM(I3,I6,I8:I10,I12:I14,)</f>
        <v>473517</v>
      </c>
      <c r="J16" s="1782">
        <f>SUM(J3,J6,J8:J10,J12:J14,)</f>
        <v>122121</v>
      </c>
      <c r="K16" s="1782">
        <f>(H16+I16)-J16</f>
        <v>8773813</v>
      </c>
      <c r="L16" s="1782">
        <f>F16-K16</f>
        <v>11502432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473517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orizontalCentered="1"/>
  <pageMargins left="0.75" right="0.75" top="1.75" bottom="0.5" header="0.5" footer="0.5"/>
  <pageSetup scale="74" firstPageNumber="26" orientation="landscape" r:id="rId1"/>
  <headerFooter>
    <oddHeader>&amp;C&amp;"Times New Roman,Regular"HARMONY-EMGE SCHOOL DISTRICT NO. 175
SCHEDULE OF CAPITAL OUTLAY AND DEPRECIATION
FOR THE YEAR ENDED JUNE 30, 2018</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6" activePane="bottomLeft" state="frozen"/>
      <selection activeCell="AF38" sqref="AF38"/>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6725610</v>
      </c>
      <c r="G8" s="866"/>
    </row>
    <row r="9" spans="1:7" x14ac:dyDescent="0.2">
      <c r="A9" s="870" t="s">
        <v>480</v>
      </c>
      <c r="B9" s="871" t="s">
        <v>1986</v>
      </c>
      <c r="C9" s="872"/>
      <c r="D9" s="870" t="s">
        <v>522</v>
      </c>
      <c r="E9" s="869"/>
      <c r="F9" s="1935">
        <f>'Expenditures 15-22'!K151</f>
        <v>597839</v>
      </c>
      <c r="G9" s="873"/>
    </row>
    <row r="10" spans="1:7" x14ac:dyDescent="0.2">
      <c r="A10" s="870" t="s">
        <v>520</v>
      </c>
      <c r="B10" s="871" t="s">
        <v>1987</v>
      </c>
      <c r="C10" s="872"/>
      <c r="D10" s="870" t="s">
        <v>522</v>
      </c>
      <c r="E10" s="869"/>
      <c r="F10" s="1935">
        <f>'Expenditures 15-22'!K174</f>
        <v>1653432</v>
      </c>
      <c r="G10" s="873"/>
    </row>
    <row r="11" spans="1:7" x14ac:dyDescent="0.2">
      <c r="A11" s="870" t="s">
        <v>481</v>
      </c>
      <c r="B11" s="871" t="s">
        <v>1988</v>
      </c>
      <c r="C11" s="872"/>
      <c r="D11" s="870" t="s">
        <v>522</v>
      </c>
      <c r="E11" s="869"/>
      <c r="F11" s="1935">
        <f>'Expenditures 15-22'!K210</f>
        <v>1599562</v>
      </c>
      <c r="G11" s="873"/>
    </row>
    <row r="12" spans="1:7" x14ac:dyDescent="0.2">
      <c r="A12" s="870" t="s">
        <v>482</v>
      </c>
      <c r="B12" s="871" t="s">
        <v>1989</v>
      </c>
      <c r="C12" s="872"/>
      <c r="D12" s="870" t="s">
        <v>522</v>
      </c>
      <c r="E12" s="869"/>
      <c r="F12" s="1935">
        <f>'Expenditures 15-22'!K295</f>
        <v>391332</v>
      </c>
      <c r="G12" s="873"/>
    </row>
    <row r="13" spans="1:7" x14ac:dyDescent="0.2">
      <c r="A13" s="870" t="s">
        <v>108</v>
      </c>
      <c r="B13" s="871" t="s">
        <v>1990</v>
      </c>
      <c r="C13" s="872"/>
      <c r="D13" s="870" t="s">
        <v>522</v>
      </c>
      <c r="E13" s="869"/>
      <c r="F13" s="1935">
        <f>'Expenditures 15-22'!K342</f>
        <v>840938</v>
      </c>
      <c r="G13" s="874"/>
    </row>
    <row r="14" spans="1:7" ht="12" customHeight="1" thickBot="1" x14ac:dyDescent="0.25">
      <c r="A14" s="1792"/>
      <c r="B14" s="1793"/>
      <c r="C14" s="1794"/>
      <c r="D14" s="1795" t="s">
        <v>522</v>
      </c>
      <c r="E14" s="1796" t="s">
        <v>1015</v>
      </c>
      <c r="F14" s="1797">
        <f>SUM(F8:F13)</f>
        <v>11808713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121734</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51045</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215589</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196907</v>
      </c>
      <c r="G52" s="866"/>
    </row>
    <row r="53" spans="1:7" x14ac:dyDescent="0.2">
      <c r="A53" s="870" t="s">
        <v>479</v>
      </c>
      <c r="B53" s="870" t="s">
        <v>1551</v>
      </c>
      <c r="C53" s="890">
        <f>'Expenditures 15-22'!B102</f>
        <v>4000</v>
      </c>
      <c r="D53" s="889" t="str">
        <f>'Expenditures 15-22'!A102</f>
        <v>Total Payments to Other Govt Units</v>
      </c>
      <c r="E53" s="869"/>
      <c r="F53" s="1939">
        <f>'Expenditures 15-22'!K102</f>
        <v>721127</v>
      </c>
      <c r="G53" s="866"/>
    </row>
    <row r="54" spans="1:7" x14ac:dyDescent="0.2">
      <c r="A54" s="870" t="s">
        <v>479</v>
      </c>
      <c r="B54" s="870" t="s">
        <v>1552</v>
      </c>
      <c r="C54" s="890" t="s">
        <v>1039</v>
      </c>
      <c r="D54" s="886" t="s">
        <v>1157</v>
      </c>
      <c r="E54" s="869"/>
      <c r="F54" s="1939">
        <f>'Expenditures 15-22'!G114</f>
        <v>32158</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9">
        <f>'Expenditures 15-22'!K139</f>
        <v>0</v>
      </c>
      <c r="G57" s="866"/>
    </row>
    <row r="58" spans="1:7" x14ac:dyDescent="0.2">
      <c r="A58" s="870" t="s">
        <v>480</v>
      </c>
      <c r="B58" s="870" t="s">
        <v>1992</v>
      </c>
      <c r="C58" s="887" t="s">
        <v>1039</v>
      </c>
      <c r="D58" s="886" t="s">
        <v>1157</v>
      </c>
      <c r="E58" s="869"/>
      <c r="F58" s="1941">
        <f>'Expenditures 15-22'!G151</f>
        <v>0</v>
      </c>
      <c r="G58" s="866"/>
    </row>
    <row r="59" spans="1:7" x14ac:dyDescent="0.2">
      <c r="A59" s="894" t="s">
        <v>480</v>
      </c>
      <c r="B59" s="857" t="s">
        <v>1993</v>
      </c>
      <c r="C59" s="895" t="s">
        <v>1039</v>
      </c>
      <c r="D59" s="857" t="s">
        <v>309</v>
      </c>
      <c r="F59" s="1942">
        <f>'Expenditures 15-22'!I151</f>
        <v>0</v>
      </c>
      <c r="G59" s="866"/>
    </row>
    <row r="60" spans="1:7" x14ac:dyDescent="0.2">
      <c r="A60" s="894" t="s">
        <v>520</v>
      </c>
      <c r="B60" s="857" t="s">
        <v>1994</v>
      </c>
      <c r="C60" s="895">
        <v>4000</v>
      </c>
      <c r="D60" s="857" t="s">
        <v>330</v>
      </c>
      <c r="F60" s="1940">
        <f>'Expenditures 15-22'!K160</f>
        <v>0</v>
      </c>
      <c r="G60" s="866"/>
    </row>
    <row r="61" spans="1:7" x14ac:dyDescent="0.2">
      <c r="A61" s="896" t="s">
        <v>520</v>
      </c>
      <c r="B61" s="896" t="s">
        <v>1995</v>
      </c>
      <c r="C61" s="897" t="str">
        <f>'Expenditures 15-22'!B170</f>
        <v>5300</v>
      </c>
      <c r="D61" s="898" t="s">
        <v>329</v>
      </c>
      <c r="E61" s="880"/>
      <c r="F61" s="1939">
        <f>'Expenditures 15-22'!K170</f>
        <v>1351592</v>
      </c>
      <c r="G61" s="866"/>
    </row>
    <row r="62" spans="1:7" x14ac:dyDescent="0.2">
      <c r="A62" s="870" t="s">
        <v>481</v>
      </c>
      <c r="B62" s="870" t="s">
        <v>1996</v>
      </c>
      <c r="C62" s="887">
        <f>'Expenditures 15-22'!B185</f>
        <v>3000</v>
      </c>
      <c r="D62" s="877" t="s">
        <v>469</v>
      </c>
      <c r="E62" s="869"/>
      <c r="F62" s="1939">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1998</v>
      </c>
      <c r="C64" s="897" t="str">
        <f>'Expenditures 15-22'!B206</f>
        <v>5300</v>
      </c>
      <c r="D64" s="893" t="s">
        <v>329</v>
      </c>
      <c r="E64" s="869"/>
      <c r="F64" s="1939">
        <f>'Expenditures 15-22'!K206</f>
        <v>0</v>
      </c>
      <c r="G64" s="866"/>
    </row>
    <row r="65" spans="1:8" x14ac:dyDescent="0.2">
      <c r="A65" s="870" t="s">
        <v>481</v>
      </c>
      <c r="B65" s="870" t="s">
        <v>1999</v>
      </c>
      <c r="C65" s="887" t="s">
        <v>1039</v>
      </c>
      <c r="D65" s="886" t="s">
        <v>1157</v>
      </c>
      <c r="E65" s="869"/>
      <c r="F65" s="1939">
        <f>'Expenditures 15-22'!G210</f>
        <v>1096814</v>
      </c>
      <c r="G65" s="866"/>
    </row>
    <row r="66" spans="1:8" x14ac:dyDescent="0.2">
      <c r="A66" s="870" t="s">
        <v>481</v>
      </c>
      <c r="B66" s="870" t="s">
        <v>2000</v>
      </c>
      <c r="C66" s="887" t="s">
        <v>1039</v>
      </c>
      <c r="D66" s="886" t="s">
        <v>309</v>
      </c>
      <c r="E66" s="869"/>
      <c r="F66" s="1939">
        <f>'Expenditures 15-22'!I210</f>
        <v>0</v>
      </c>
      <c r="G66" s="866"/>
    </row>
    <row r="67" spans="1:8" x14ac:dyDescent="0.2">
      <c r="A67" s="870" t="s">
        <v>482</v>
      </c>
      <c r="B67" s="870" t="s">
        <v>2001</v>
      </c>
      <c r="C67" s="887" t="str">
        <f>'Expenditures 15-22'!B216</f>
        <v>1125</v>
      </c>
      <c r="D67" s="893" t="str">
        <f>'Expenditures 15-22'!A216</f>
        <v>Pre-K Programs</v>
      </c>
      <c r="E67" s="869"/>
      <c r="F67" s="1939">
        <f>'Expenditures 15-22'!K216</f>
        <v>8316</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2003</v>
      </c>
      <c r="C70" s="887">
        <f>'Expenditures 15-22'!B221</f>
        <v>1300</v>
      </c>
      <c r="D70" s="888" t="str">
        <f>'Expenditures 15-22'!A221</f>
        <v>Adult/Continuing Education Programs</v>
      </c>
      <c r="E70" s="869"/>
      <c r="F70" s="1939">
        <f>'Expenditures 15-22'!K221</f>
        <v>0</v>
      </c>
      <c r="G70" s="866"/>
    </row>
    <row r="71" spans="1:8" x14ac:dyDescent="0.2">
      <c r="A71" s="870" t="s">
        <v>482</v>
      </c>
      <c r="B71" s="870" t="s">
        <v>2004</v>
      </c>
      <c r="C71" s="887">
        <f>'Expenditures 15-22'!B224</f>
        <v>1600</v>
      </c>
      <c r="D71" s="888" t="str">
        <f>'Expenditures 15-22'!A224</f>
        <v>Summer School Programs</v>
      </c>
      <c r="E71" s="869"/>
      <c r="F71" s="1939">
        <f>'Expenditures 15-22'!K224</f>
        <v>0</v>
      </c>
      <c r="G71" s="866"/>
    </row>
    <row r="72" spans="1:8" x14ac:dyDescent="0.2">
      <c r="A72" s="870" t="s">
        <v>482</v>
      </c>
      <c r="B72" s="870" t="s">
        <v>2005</v>
      </c>
      <c r="C72" s="887">
        <f>'Expenditures 15-22'!B280</f>
        <v>3000</v>
      </c>
      <c r="D72" s="877" t="s">
        <v>469</v>
      </c>
      <c r="E72" s="869"/>
      <c r="F72" s="1939">
        <f>'Expenditures 15-22'!K280</f>
        <v>20279</v>
      </c>
      <c r="G72" s="866"/>
    </row>
    <row r="73" spans="1:8" x14ac:dyDescent="0.2">
      <c r="A73" s="870" t="s">
        <v>482</v>
      </c>
      <c r="B73" s="870" t="s">
        <v>2006</v>
      </c>
      <c r="C73" s="887" t="str">
        <f>'Expenditures 15-22'!B285</f>
        <v>4000</v>
      </c>
      <c r="D73" s="888" t="str">
        <f>'Expenditures 15-22'!A285</f>
        <v>Total Payments to Other Govt Units</v>
      </c>
      <c r="E73" s="869"/>
      <c r="F73" s="1939">
        <f>'Expenditures 15-22'!K285</f>
        <v>1047</v>
      </c>
      <c r="G73" s="866"/>
    </row>
    <row r="74" spans="1:8" x14ac:dyDescent="0.2">
      <c r="A74" s="870" t="s">
        <v>456</v>
      </c>
      <c r="B74" s="870" t="s">
        <v>2007</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3816608</v>
      </c>
      <c r="G76" s="866"/>
    </row>
    <row r="77" spans="1:8" s="894" customFormat="1" ht="12" customHeight="1" thickTop="1" thickBot="1" x14ac:dyDescent="0.25">
      <c r="A77" s="1801"/>
      <c r="B77" s="1798"/>
      <c r="C77" s="1794"/>
      <c r="D77" s="1799" t="s">
        <v>2009</v>
      </c>
      <c r="E77" s="1796"/>
      <c r="F77" s="1802">
        <f>(F14-F76)</f>
        <v>7992105</v>
      </c>
      <c r="G77" s="870"/>
    </row>
    <row r="78" spans="1:8" s="894" customFormat="1" ht="12" customHeight="1" thickTop="1" x14ac:dyDescent="0.2">
      <c r="A78" s="1803"/>
      <c r="B78" s="1798"/>
      <c r="C78" s="1794"/>
      <c r="D78" s="1799" t="s">
        <v>2056</v>
      </c>
      <c r="E78" s="1796"/>
      <c r="F78" s="899">
        <v>761.99</v>
      </c>
      <c r="G78" s="900"/>
      <c r="H78" s="870"/>
    </row>
    <row r="79" spans="1:8" s="894" customFormat="1" ht="12" customHeight="1" thickBot="1" x14ac:dyDescent="0.25">
      <c r="A79" s="1804"/>
      <c r="B79" s="1798"/>
      <c r="C79" s="1794"/>
      <c r="D79" s="1799" t="s">
        <v>2010</v>
      </c>
      <c r="E79" s="1796" t="s">
        <v>1015</v>
      </c>
      <c r="F79" s="1805">
        <f>IF(F78&gt;0,F77/F78," Complete Line 78")</f>
        <v>10488.464415543511</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8474</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18858</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130335</v>
      </c>
      <c r="G94" s="913"/>
    </row>
    <row r="95" spans="1:7" x14ac:dyDescent="0.2">
      <c r="A95" s="909" t="s">
        <v>142</v>
      </c>
      <c r="B95" s="909" t="s">
        <v>177</v>
      </c>
      <c r="C95" s="911">
        <v>1700</v>
      </c>
      <c r="D95" s="919" t="str">
        <f>'Revenues 9-14'!A82</f>
        <v>Total District/School Activity Income</v>
      </c>
      <c r="E95" s="907"/>
      <c r="F95" s="1811">
        <f>SUM('Revenues 9-14'!C82,'Revenues 9-14'!D82)</f>
        <v>48664</v>
      </c>
      <c r="G95" s="913"/>
    </row>
    <row r="96" spans="1:7" x14ac:dyDescent="0.2">
      <c r="A96" s="909" t="s">
        <v>479</v>
      </c>
      <c r="B96" s="909" t="s">
        <v>178</v>
      </c>
      <c r="C96" s="911">
        <f>'Revenues 9-14'!B84</f>
        <v>1811</v>
      </c>
      <c r="D96" s="912" t="str">
        <f>'Revenues 9-14'!A84</f>
        <v>Rentals - Regular Textbooks</v>
      </c>
      <c r="E96" s="907"/>
      <c r="F96" s="1811">
        <f>'Revenues 9-14'!C84</f>
        <v>17748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10942</v>
      </c>
      <c r="G104" s="913"/>
    </row>
    <row r="105" spans="1:7" x14ac:dyDescent="0.2">
      <c r="A105" s="909" t="s">
        <v>524</v>
      </c>
      <c r="B105" s="909" t="s">
        <v>842</v>
      </c>
      <c r="C105" s="914">
        <v>3100</v>
      </c>
      <c r="D105" s="920" t="str">
        <f>'Revenues 9-14'!A131</f>
        <v>Total Special Education</v>
      </c>
      <c r="E105" s="907"/>
      <c r="F105" s="1811">
        <f>SUM('Revenues 9-14'!C131:D131,'Revenues 9-14'!F131)</f>
        <v>185931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4252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380867</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319994</v>
      </c>
      <c r="G129" s="931"/>
    </row>
    <row r="130" spans="1:7" x14ac:dyDescent="0.2">
      <c r="A130" s="928" t="s">
        <v>689</v>
      </c>
      <c r="B130" s="928" t="s">
        <v>804</v>
      </c>
      <c r="C130" s="933">
        <v>4300</v>
      </c>
      <c r="D130" s="934" t="str">
        <f>'Revenues 9-14'!A211</f>
        <v>Total Title I</v>
      </c>
      <c r="E130" s="907"/>
      <c r="F130" s="1811">
        <f>SUM('Revenues 9-14'!C211,'Revenues 9-14'!D211,'Revenues 9-14'!F211,'Revenues 9-14'!G211)</f>
        <v>265614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3210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28836</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16204</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25053</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2055</v>
      </c>
      <c r="C175" s="1946">
        <v>3100</v>
      </c>
      <c r="D175" s="1947" t="s">
        <v>2058</v>
      </c>
      <c r="E175" s="907"/>
      <c r="F175" s="1931"/>
      <c r="G175" s="928"/>
    </row>
    <row r="176" spans="1:7" x14ac:dyDescent="0.2">
      <c r="A176" s="1944" t="s">
        <v>685</v>
      </c>
      <c r="B176" s="1945" t="s">
        <v>2055</v>
      </c>
      <c r="C176" s="1946">
        <v>3300</v>
      </c>
      <c r="D176" s="1947" t="s">
        <v>2059</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1466482</v>
      </c>
    </row>
    <row r="179" spans="1:7" ht="12" customHeight="1" x14ac:dyDescent="0.2">
      <c r="A179" s="1792"/>
      <c r="B179" s="1806"/>
      <c r="C179" s="1807"/>
      <c r="D179" s="1808" t="s">
        <v>2012</v>
      </c>
      <c r="E179" s="1809"/>
      <c r="F179" s="1811">
        <f>'PCTC-OEPP 27-28'!F77-F178</f>
        <v>6525623</v>
      </c>
    </row>
    <row r="180" spans="1:7" ht="12" customHeight="1" x14ac:dyDescent="0.2">
      <c r="A180" s="1792"/>
      <c r="B180" s="1806"/>
      <c r="C180" s="1807"/>
      <c r="D180" s="1808" t="s">
        <v>1921</v>
      </c>
      <c r="E180" s="1809"/>
      <c r="F180" s="1811">
        <f>'Cap Outlay Deprec 26'!I18</f>
        <v>473517</v>
      </c>
    </row>
    <row r="181" spans="1:7" ht="12" customHeight="1" x14ac:dyDescent="0.2">
      <c r="A181" s="1792"/>
      <c r="B181" s="1806"/>
      <c r="C181" s="1807"/>
      <c r="D181" s="1808" t="s">
        <v>2013</v>
      </c>
      <c r="E181" s="1809"/>
      <c r="F181" s="1811">
        <f>F179+F180</f>
        <v>6999140</v>
      </c>
    </row>
    <row r="182" spans="1:7" ht="12" customHeight="1" x14ac:dyDescent="0.2">
      <c r="A182" s="1792"/>
      <c r="B182" s="1812"/>
      <c r="C182" s="1807"/>
      <c r="D182" s="1808" t="str">
        <f>D78</f>
        <v>9 Month ADA from District Average Daily Attendance/Prior General State Aid Inquiry 2017-2018</v>
      </c>
      <c r="E182" s="1809"/>
      <c r="F182" s="1813">
        <f>'PCTC-OEPP 27-28'!F78</f>
        <v>761.99</v>
      </c>
      <c r="G182" s="931"/>
    </row>
    <row r="183" spans="1:7" ht="12" customHeight="1" thickBot="1" x14ac:dyDescent="0.25">
      <c r="A183" s="1792"/>
      <c r="B183" s="1812"/>
      <c r="C183" s="1807"/>
      <c r="D183" s="1808" t="s">
        <v>2014</v>
      </c>
      <c r="E183" s="1809" t="s">
        <v>1626</v>
      </c>
      <c r="F183" s="1814">
        <f>F181/F182</f>
        <v>9185.3436396803099</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8" customFormat="1" ht="12.2" customHeight="1" x14ac:dyDescent="0.2">
      <c r="A186" s="1948" t="s">
        <v>2062</v>
      </c>
      <c r="B186" s="1949"/>
      <c r="C186" s="1950"/>
      <c r="D186" s="1949"/>
      <c r="E186" s="1950"/>
      <c r="F186" s="1949"/>
      <c r="G186" s="1949"/>
    </row>
    <row r="187" spans="1:7" s="1948" customFormat="1" ht="12.2" customHeight="1" x14ac:dyDescent="0.2">
      <c r="A187" s="1951" t="s">
        <v>2063</v>
      </c>
      <c r="C187" s="1950"/>
      <c r="D187" s="1949"/>
      <c r="E187" s="1950"/>
      <c r="F187" s="1949"/>
      <c r="G187" s="1949"/>
    </row>
    <row r="188" spans="1:7" ht="12" customHeight="1" x14ac:dyDescent="0.2">
      <c r="C188" s="950"/>
      <c r="D188" s="931"/>
      <c r="E188" s="950"/>
      <c r="F188" s="931"/>
      <c r="G188" s="931"/>
    </row>
    <row r="189" spans="1:7" x14ac:dyDescent="0.2">
      <c r="A189" s="1952" t="s">
        <v>2061</v>
      </c>
      <c r="B189" s="1953"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orizontalCentered="1"/>
  <pageMargins left="0.75" right="0.75" top="1" bottom="0.5" header="0.5" footer="0.5"/>
  <pageSetup scale="65" firstPageNumber="27" orientation="portrait" r:id="rId2"/>
  <headerFooter>
    <oddHeader>&amp;C&amp;"Times New Roman,Regular"HARMONY-EMGE SCHOOL DISTRICT NO. 175
ESTIMATED OPERATING EXPENSE PER PUPIL/PER CAPITA TUITION CHARGE COMPUTATIONS
FOR THE YEAR ENDED JUNE 30, 2018</oddHeader>
    <oddFooter>&amp;C&amp;"Times New Roman,Regular"See Independent Auditor's Reports
&amp;P</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workbookViewId="0">
      <pane ySplit="16" topLeftCell="A17" activePane="bottomLeft" state="frozen"/>
      <selection activeCell="AF38" sqref="AF38"/>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1922</v>
      </c>
      <c r="B4" s="2289"/>
      <c r="C4" s="2289"/>
      <c r="D4" s="2289"/>
      <c r="E4" s="2289"/>
      <c r="F4" s="2289"/>
      <c r="G4" s="2290"/>
    </row>
    <row r="5" spans="1:7" x14ac:dyDescent="0.25">
      <c r="A5" s="2291"/>
      <c r="B5" s="2292"/>
      <c r="C5" s="2292"/>
      <c r="D5" s="2292"/>
      <c r="E5" s="2292"/>
      <c r="F5" s="2292"/>
      <c r="G5" s="2293"/>
    </row>
    <row r="6" spans="1:7" ht="18.75" x14ac:dyDescent="0.25">
      <c r="A6" s="1556" t="s">
        <v>1923</v>
      </c>
      <c r="B6" s="1557"/>
      <c r="C6" s="1557"/>
      <c r="D6" s="1557"/>
      <c r="E6" s="1557"/>
      <c r="F6" s="1557"/>
      <c r="G6" s="1558"/>
    </row>
    <row r="7" spans="1:7" ht="30.75" customHeight="1" x14ac:dyDescent="0.25">
      <c r="A7" s="2294" t="s">
        <v>2072</v>
      </c>
      <c r="B7" s="2295"/>
      <c r="C7" s="2295"/>
      <c r="D7" s="2295"/>
      <c r="E7" s="2295"/>
      <c r="F7" s="2295"/>
      <c r="G7" s="2296"/>
    </row>
    <row r="8" spans="1:7" ht="15.75" customHeight="1" x14ac:dyDescent="0.25">
      <c r="A8" s="2297" t="s">
        <v>2021</v>
      </c>
      <c r="B8" s="2298"/>
      <c r="C8" s="2298"/>
      <c r="D8" s="2298"/>
      <c r="E8" s="2298"/>
      <c r="F8" s="2298"/>
      <c r="G8" s="2299"/>
    </row>
    <row r="9" spans="1:7" ht="35.25" customHeight="1" x14ac:dyDescent="0.25">
      <c r="A9" s="2294" t="s">
        <v>2020</v>
      </c>
      <c r="B9" s="2295"/>
      <c r="C9" s="2295"/>
      <c r="D9" s="2295"/>
      <c r="E9" s="2295"/>
      <c r="F9" s="2295"/>
      <c r="G9" s="2296"/>
    </row>
    <row r="10" spans="1:7" ht="15" customHeight="1" x14ac:dyDescent="0.25">
      <c r="A10" s="1559" t="s">
        <v>1924</v>
      </c>
      <c r="B10" s="1560"/>
      <c r="C10" s="1560"/>
      <c r="D10" s="1560"/>
      <c r="E10" s="1560"/>
      <c r="F10" s="1560"/>
      <c r="G10" s="1561"/>
    </row>
    <row r="11" spans="1:7" ht="17.25" customHeight="1" x14ac:dyDescent="0.25">
      <c r="A11" s="2294" t="s">
        <v>1938</v>
      </c>
      <c r="B11" s="2295"/>
      <c r="C11" s="2295"/>
      <c r="D11" s="2295"/>
      <c r="E11" s="2295"/>
      <c r="F11" s="2295"/>
      <c r="G11" s="2296"/>
    </row>
    <row r="12" spans="1:7" ht="15" customHeight="1" x14ac:dyDescent="0.25">
      <c r="A12" s="1559" t="s">
        <v>1929</v>
      </c>
      <c r="B12" s="1560"/>
      <c r="C12" s="1560"/>
      <c r="D12" s="1560"/>
      <c r="E12" s="1560"/>
      <c r="F12" s="1560"/>
      <c r="G12" s="1561"/>
    </row>
    <row r="13" spans="1:7" ht="32.25" customHeight="1" x14ac:dyDescent="0.25">
      <c r="A13" s="2285" t="s">
        <v>1930</v>
      </c>
      <c r="B13" s="2286"/>
      <c r="C13" s="2286"/>
      <c r="D13" s="2286"/>
      <c r="E13" s="2286"/>
      <c r="F13" s="2286"/>
      <c r="G13" s="2287"/>
    </row>
    <row r="14" spans="1:7" x14ac:dyDescent="0.25">
      <c r="A14" s="1683" t="s">
        <v>1939</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1940</v>
      </c>
      <c r="B16" s="1671" t="s">
        <v>1928</v>
      </c>
      <c r="C16" s="1672" t="s">
        <v>1926</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2153</v>
      </c>
      <c r="B17" s="1958" t="s">
        <v>2154</v>
      </c>
      <c r="C17" s="1957" t="s">
        <v>2100</v>
      </c>
      <c r="D17" s="1867">
        <v>1</v>
      </c>
      <c r="E17" s="1562">
        <f>IF(D17&lt;=25000,D17,IF(D17&gt;25000,25000,0))</f>
        <v>1</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6">
        <f>IF(F17=0,0,D17-F17)</f>
        <v>0</v>
      </c>
      <c r="H17" s="1669"/>
    </row>
    <row r="18" spans="1:8" x14ac:dyDescent="0.25">
      <c r="A18" s="1675"/>
      <c r="B18" s="1868"/>
      <c r="C18" s="1678"/>
      <c r="D18" s="1867"/>
      <c r="E18" s="1562">
        <f t="shared" ref="E18:E140" si="1">IF(D18&lt;=25000,D18,IF(D18&gt;25000,25000,0))</f>
        <v>0</v>
      </c>
      <c r="F18" s="1815">
        <f t="shared" ref="F18:F140" si="2">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3">IF(F18=0,0,D18-F18)</f>
        <v>0</v>
      </c>
    </row>
    <row r="19" spans="1:8" x14ac:dyDescent="0.25">
      <c r="A19" s="1675"/>
      <c r="B19" s="1869"/>
      <c r="C19" s="1678"/>
      <c r="D19" s="1867"/>
      <c r="E19" s="1562">
        <f t="shared" si="1"/>
        <v>0</v>
      </c>
      <c r="F19" s="1815">
        <f t="shared" si="2"/>
        <v>0</v>
      </c>
      <c r="G19" s="1816">
        <f t="shared" si="3"/>
        <v>0</v>
      </c>
    </row>
    <row r="20" spans="1:8" x14ac:dyDescent="0.25">
      <c r="A20" s="1675"/>
      <c r="B20" s="1868"/>
      <c r="C20" s="1678"/>
      <c r="D20" s="1867"/>
      <c r="E20" s="1562">
        <f t="shared" si="1"/>
        <v>0</v>
      </c>
      <c r="F20" s="1815">
        <f t="shared" si="2"/>
        <v>0</v>
      </c>
      <c r="G20" s="1816">
        <f t="shared" si="3"/>
        <v>0</v>
      </c>
    </row>
    <row r="21" spans="1:8" x14ac:dyDescent="0.25">
      <c r="A21" s="1675"/>
      <c r="B21" s="1868"/>
      <c r="C21" s="1678"/>
      <c r="D21" s="1867"/>
      <c r="E21" s="1562">
        <f t="shared" si="1"/>
        <v>0</v>
      </c>
      <c r="F21" s="1815">
        <f t="shared" si="2"/>
        <v>0</v>
      </c>
      <c r="G21" s="1816">
        <f t="shared" si="3"/>
        <v>0</v>
      </c>
    </row>
    <row r="22" spans="1:8" x14ac:dyDescent="0.25">
      <c r="A22" s="1675"/>
      <c r="B22" s="1868"/>
      <c r="C22" s="1678"/>
      <c r="D22" s="1867"/>
      <c r="E22" s="1562">
        <f t="shared" si="1"/>
        <v>0</v>
      </c>
      <c r="F22" s="1815">
        <f t="shared" si="2"/>
        <v>0</v>
      </c>
      <c r="G22" s="1816">
        <f t="shared" si="3"/>
        <v>0</v>
      </c>
    </row>
    <row r="23" spans="1:8" x14ac:dyDescent="0.25">
      <c r="A23" s="1675"/>
      <c r="B23" s="1868"/>
      <c r="C23" s="1678"/>
      <c r="D23" s="1867"/>
      <c r="E23" s="1562">
        <f t="shared" si="1"/>
        <v>0</v>
      </c>
      <c r="F23" s="1815">
        <f t="shared" si="2"/>
        <v>0</v>
      </c>
      <c r="G23" s="1816">
        <f t="shared" si="3"/>
        <v>0</v>
      </c>
    </row>
    <row r="24" spans="1:8" x14ac:dyDescent="0.25">
      <c r="A24" s="1675"/>
      <c r="B24" s="1869"/>
      <c r="C24" s="1678"/>
      <c r="D24" s="1867"/>
      <c r="E24" s="1562">
        <f t="shared" si="1"/>
        <v>0</v>
      </c>
      <c r="F24" s="1815">
        <f t="shared" si="2"/>
        <v>0</v>
      </c>
      <c r="G24" s="1816">
        <f t="shared" si="3"/>
        <v>0</v>
      </c>
    </row>
    <row r="25" spans="1:8" x14ac:dyDescent="0.25">
      <c r="A25" s="1675"/>
      <c r="B25" s="1868"/>
      <c r="C25" s="1678"/>
      <c r="D25" s="1867"/>
      <c r="E25" s="1562">
        <f t="shared" si="1"/>
        <v>0</v>
      </c>
      <c r="F25" s="1815">
        <f t="shared" si="2"/>
        <v>0</v>
      </c>
      <c r="G25" s="1816">
        <f t="shared" si="3"/>
        <v>0</v>
      </c>
    </row>
    <row r="26" spans="1:8" x14ac:dyDescent="0.25">
      <c r="A26" s="1675"/>
      <c r="B26" s="1869"/>
      <c r="C26" s="1676"/>
      <c r="D26" s="1867"/>
      <c r="E26" s="1562">
        <f t="shared" si="1"/>
        <v>0</v>
      </c>
      <c r="F26" s="1815">
        <f t="shared" si="2"/>
        <v>0</v>
      </c>
      <c r="G26" s="1816">
        <f t="shared" si="3"/>
        <v>0</v>
      </c>
    </row>
    <row r="27" spans="1:8" x14ac:dyDescent="0.25">
      <c r="A27" s="1675"/>
      <c r="B27" s="1869"/>
      <c r="C27" s="1676"/>
      <c r="D27" s="1867"/>
      <c r="E27" s="1562">
        <f t="shared" si="1"/>
        <v>0</v>
      </c>
      <c r="F27" s="1815">
        <f t="shared" si="2"/>
        <v>0</v>
      </c>
      <c r="G27" s="1816">
        <f t="shared" si="3"/>
        <v>0</v>
      </c>
    </row>
    <row r="28" spans="1:8" x14ac:dyDescent="0.25">
      <c r="A28" s="1675"/>
      <c r="B28" s="1869"/>
      <c r="C28" s="1676"/>
      <c r="D28" s="1867"/>
      <c r="E28" s="1562">
        <f t="shared" si="1"/>
        <v>0</v>
      </c>
      <c r="F28" s="1815">
        <f t="shared" si="2"/>
        <v>0</v>
      </c>
      <c r="G28" s="1816">
        <f t="shared" si="3"/>
        <v>0</v>
      </c>
    </row>
    <row r="29" spans="1:8" x14ac:dyDescent="0.25">
      <c r="A29" s="1675"/>
      <c r="B29" s="1869"/>
      <c r="C29" s="1676"/>
      <c r="D29" s="1867"/>
      <c r="E29" s="1562">
        <f t="shared" si="1"/>
        <v>0</v>
      </c>
      <c r="F29" s="1815">
        <f t="shared" si="2"/>
        <v>0</v>
      </c>
      <c r="G29" s="1816">
        <f t="shared" si="3"/>
        <v>0</v>
      </c>
    </row>
    <row r="30" spans="1:8" x14ac:dyDescent="0.25">
      <c r="A30" s="1675"/>
      <c r="B30" s="1869"/>
      <c r="C30" s="1676"/>
      <c r="D30" s="1867"/>
      <c r="E30" s="1562">
        <f t="shared" si="1"/>
        <v>0</v>
      </c>
      <c r="F30" s="1815">
        <f t="shared" si="2"/>
        <v>0</v>
      </c>
      <c r="G30" s="1816">
        <f t="shared" si="3"/>
        <v>0</v>
      </c>
    </row>
    <row r="31" spans="1:8" x14ac:dyDescent="0.25">
      <c r="A31" s="1675"/>
      <c r="B31" s="1869"/>
      <c r="C31" s="1676"/>
      <c r="D31" s="1867"/>
      <c r="E31" s="1562">
        <f t="shared" si="1"/>
        <v>0</v>
      </c>
      <c r="F31" s="1815">
        <f t="shared" si="2"/>
        <v>0</v>
      </c>
      <c r="G31" s="1816">
        <f t="shared" si="3"/>
        <v>0</v>
      </c>
    </row>
    <row r="32" spans="1:8" x14ac:dyDescent="0.25">
      <c r="A32" s="1675"/>
      <c r="B32" s="1869"/>
      <c r="C32" s="1676"/>
      <c r="D32" s="1867"/>
      <c r="E32" s="1562">
        <f t="shared" si="1"/>
        <v>0</v>
      </c>
      <c r="F32" s="1815">
        <f t="shared" si="2"/>
        <v>0</v>
      </c>
      <c r="G32" s="1816">
        <f t="shared" si="3"/>
        <v>0</v>
      </c>
    </row>
    <row r="33" spans="1:7" x14ac:dyDescent="0.25">
      <c r="A33" s="1675"/>
      <c r="B33" s="1869"/>
      <c r="C33" s="1676"/>
      <c r="D33" s="1867"/>
      <c r="E33" s="1562">
        <f t="shared" si="1"/>
        <v>0</v>
      </c>
      <c r="F33" s="1815">
        <f t="shared" si="2"/>
        <v>0</v>
      </c>
      <c r="G33" s="1816">
        <f t="shared" si="3"/>
        <v>0</v>
      </c>
    </row>
    <row r="34" spans="1:7" x14ac:dyDescent="0.25">
      <c r="A34" s="1675"/>
      <c r="B34" s="1869"/>
      <c r="C34" s="1676"/>
      <c r="D34" s="1867"/>
      <c r="E34" s="1562">
        <f t="shared" si="1"/>
        <v>0</v>
      </c>
      <c r="F34" s="1815">
        <f t="shared" si="2"/>
        <v>0</v>
      </c>
      <c r="G34" s="1816">
        <f t="shared" si="3"/>
        <v>0</v>
      </c>
    </row>
    <row r="35" spans="1:7" x14ac:dyDescent="0.25">
      <c r="A35" s="1675"/>
      <c r="B35" s="1869"/>
      <c r="C35" s="1676"/>
      <c r="D35" s="1867"/>
      <c r="E35" s="1562">
        <f t="shared" si="1"/>
        <v>0</v>
      </c>
      <c r="F35" s="1815">
        <f t="shared" si="2"/>
        <v>0</v>
      </c>
      <c r="G35" s="1816">
        <f t="shared" si="3"/>
        <v>0</v>
      </c>
    </row>
    <row r="36" spans="1:7" x14ac:dyDescent="0.25">
      <c r="A36" s="1675"/>
      <c r="B36" s="1869"/>
      <c r="C36" s="1676"/>
      <c r="D36" s="1867"/>
      <c r="E36" s="1562">
        <f t="shared" si="1"/>
        <v>0</v>
      </c>
      <c r="F36" s="1815">
        <f t="shared" si="2"/>
        <v>0</v>
      </c>
      <c r="G36" s="1816">
        <f t="shared" si="3"/>
        <v>0</v>
      </c>
    </row>
    <row r="37" spans="1:7" x14ac:dyDescent="0.25">
      <c r="A37" s="1675"/>
      <c r="B37" s="1869"/>
      <c r="C37" s="1676"/>
      <c r="D37" s="1867"/>
      <c r="E37" s="1562">
        <f t="shared" si="1"/>
        <v>0</v>
      </c>
      <c r="F37" s="1815">
        <f t="shared" si="2"/>
        <v>0</v>
      </c>
      <c r="G37" s="1816">
        <f t="shared" si="3"/>
        <v>0</v>
      </c>
    </row>
    <row r="38" spans="1:7" x14ac:dyDescent="0.25">
      <c r="A38" s="1675"/>
      <c r="B38" s="1689"/>
      <c r="C38" s="1676"/>
      <c r="D38" s="1867"/>
      <c r="E38" s="1562">
        <f t="shared" si="1"/>
        <v>0</v>
      </c>
      <c r="F38" s="1815">
        <f t="shared" si="2"/>
        <v>0</v>
      </c>
      <c r="G38" s="1816">
        <f t="shared" si="3"/>
        <v>0</v>
      </c>
    </row>
    <row r="39" spans="1:7" x14ac:dyDescent="0.25">
      <c r="A39" s="1675"/>
      <c r="B39" s="1689"/>
      <c r="C39" s="1676"/>
      <c r="D39" s="1867"/>
      <c r="E39" s="1562">
        <f t="shared" si="1"/>
        <v>0</v>
      </c>
      <c r="F39" s="1815">
        <f t="shared" si="2"/>
        <v>0</v>
      </c>
      <c r="G39" s="1816">
        <f t="shared" si="3"/>
        <v>0</v>
      </c>
    </row>
    <row r="40" spans="1:7" x14ac:dyDescent="0.25">
      <c r="A40" s="1675"/>
      <c r="B40" s="1689"/>
      <c r="C40" s="1676"/>
      <c r="D40" s="1867"/>
      <c r="E40" s="1562">
        <f t="shared" si="1"/>
        <v>0</v>
      </c>
      <c r="F40" s="1815">
        <f t="shared" si="2"/>
        <v>0</v>
      </c>
      <c r="G40" s="1816">
        <f t="shared" si="3"/>
        <v>0</v>
      </c>
    </row>
    <row r="41" spans="1:7" x14ac:dyDescent="0.25">
      <c r="A41" s="1675"/>
      <c r="B41" s="1689"/>
      <c r="C41" s="1676"/>
      <c r="D41" s="1867"/>
      <c r="E41" s="1562">
        <f t="shared" si="1"/>
        <v>0</v>
      </c>
      <c r="F41" s="1815">
        <f t="shared" si="2"/>
        <v>0</v>
      </c>
      <c r="G41" s="1816">
        <f t="shared" si="3"/>
        <v>0</v>
      </c>
    </row>
    <row r="42" spans="1:7" x14ac:dyDescent="0.25">
      <c r="A42" s="1675"/>
      <c r="B42" s="1689"/>
      <c r="C42" s="1676"/>
      <c r="D42" s="1867"/>
      <c r="E42" s="1562">
        <f t="shared" si="1"/>
        <v>0</v>
      </c>
      <c r="F42" s="1815">
        <f t="shared" si="2"/>
        <v>0</v>
      </c>
      <c r="G42" s="1816">
        <f t="shared" si="3"/>
        <v>0</v>
      </c>
    </row>
    <row r="43" spans="1:7" x14ac:dyDescent="0.25">
      <c r="A43" s="1675"/>
      <c r="B43" s="1689"/>
      <c r="C43" s="1676"/>
      <c r="D43" s="1867"/>
      <c r="E43" s="1562">
        <f t="shared" si="1"/>
        <v>0</v>
      </c>
      <c r="F43" s="1815">
        <f t="shared" si="2"/>
        <v>0</v>
      </c>
      <c r="G43" s="1816">
        <f t="shared" si="3"/>
        <v>0</v>
      </c>
    </row>
    <row r="44" spans="1:7" x14ac:dyDescent="0.25">
      <c r="A44" s="1675"/>
      <c r="B44" s="1689"/>
      <c r="C44" s="1676"/>
      <c r="D44" s="1867"/>
      <c r="E44" s="1562">
        <f t="shared" si="1"/>
        <v>0</v>
      </c>
      <c r="F44" s="1815">
        <f t="shared" si="2"/>
        <v>0</v>
      </c>
      <c r="G44" s="1816">
        <f t="shared" si="3"/>
        <v>0</v>
      </c>
    </row>
    <row r="45" spans="1:7" x14ac:dyDescent="0.25">
      <c r="A45" s="1675"/>
      <c r="B45" s="1689"/>
      <c r="C45" s="1676"/>
      <c r="D45" s="1867"/>
      <c r="E45" s="1562">
        <f t="shared" si="1"/>
        <v>0</v>
      </c>
      <c r="F45" s="1815">
        <f t="shared" si="2"/>
        <v>0</v>
      </c>
      <c r="G45" s="1816">
        <f t="shared" si="3"/>
        <v>0</v>
      </c>
    </row>
    <row r="46" spans="1:7" x14ac:dyDescent="0.25">
      <c r="A46" s="1675"/>
      <c r="B46" s="1689"/>
      <c r="C46" s="1676"/>
      <c r="D46" s="1867"/>
      <c r="E46" s="1562">
        <f t="shared" si="1"/>
        <v>0</v>
      </c>
      <c r="F46" s="1815">
        <f t="shared" si="2"/>
        <v>0</v>
      </c>
      <c r="G46" s="1816">
        <f t="shared" si="3"/>
        <v>0</v>
      </c>
    </row>
    <row r="47" spans="1:7" x14ac:dyDescent="0.25">
      <c r="A47" s="1675"/>
      <c r="B47" s="1689"/>
      <c r="C47" s="1676"/>
      <c r="D47" s="1867"/>
      <c r="E47" s="1562">
        <f t="shared" si="1"/>
        <v>0</v>
      </c>
      <c r="F47" s="1815">
        <f t="shared" si="2"/>
        <v>0</v>
      </c>
      <c r="G47" s="1816">
        <f t="shared" si="3"/>
        <v>0</v>
      </c>
    </row>
    <row r="48" spans="1:7" x14ac:dyDescent="0.25">
      <c r="A48" s="1675"/>
      <c r="B48" s="1689"/>
      <c r="C48" s="1676"/>
      <c r="D48" s="1867"/>
      <c r="E48" s="1562">
        <f t="shared" si="1"/>
        <v>0</v>
      </c>
      <c r="F48" s="1815">
        <f t="shared" si="2"/>
        <v>0</v>
      </c>
      <c r="G48" s="1816">
        <f t="shared" si="3"/>
        <v>0</v>
      </c>
    </row>
    <row r="49" spans="1:7" x14ac:dyDescent="0.25">
      <c r="A49" s="1675"/>
      <c r="B49" s="1689"/>
      <c r="C49" s="1676"/>
      <c r="D49" s="1867"/>
      <c r="E49" s="1562">
        <f t="shared" si="1"/>
        <v>0</v>
      </c>
      <c r="F49" s="1815">
        <f t="shared" si="2"/>
        <v>0</v>
      </c>
      <c r="G49" s="1816">
        <f t="shared" si="3"/>
        <v>0</v>
      </c>
    </row>
    <row r="50" spans="1:7" x14ac:dyDescent="0.25">
      <c r="A50" s="1675"/>
      <c r="B50" s="1689"/>
      <c r="C50" s="1676"/>
      <c r="D50" s="1867"/>
      <c r="E50" s="1562">
        <f t="shared" si="1"/>
        <v>0</v>
      </c>
      <c r="F50" s="1815">
        <f t="shared" si="2"/>
        <v>0</v>
      </c>
      <c r="G50" s="1816">
        <f t="shared" si="3"/>
        <v>0</v>
      </c>
    </row>
    <row r="51" spans="1:7" x14ac:dyDescent="0.25">
      <c r="A51" s="1675"/>
      <c r="B51" s="1689"/>
      <c r="C51" s="1676"/>
      <c r="D51" s="1867"/>
      <c r="E51" s="1562">
        <f t="shared" si="1"/>
        <v>0</v>
      </c>
      <c r="F51" s="1815">
        <f t="shared" si="2"/>
        <v>0</v>
      </c>
      <c r="G51" s="1816">
        <f t="shared" si="3"/>
        <v>0</v>
      </c>
    </row>
    <row r="52" spans="1:7" x14ac:dyDescent="0.25">
      <c r="A52" s="1675"/>
      <c r="B52" s="1689"/>
      <c r="C52" s="1676"/>
      <c r="D52" s="1867"/>
      <c r="E52" s="1562">
        <f t="shared" si="1"/>
        <v>0</v>
      </c>
      <c r="F52" s="1815">
        <f t="shared" si="2"/>
        <v>0</v>
      </c>
      <c r="G52" s="1816">
        <f t="shared" si="3"/>
        <v>0</v>
      </c>
    </row>
    <row r="53" spans="1:7" x14ac:dyDescent="0.25">
      <c r="A53" s="1675"/>
      <c r="B53" s="1689"/>
      <c r="C53" s="1676"/>
      <c r="D53" s="1867"/>
      <c r="E53" s="1562">
        <f t="shared" si="1"/>
        <v>0</v>
      </c>
      <c r="F53" s="1815">
        <f t="shared" si="2"/>
        <v>0</v>
      </c>
      <c r="G53" s="1816">
        <f t="shared" si="3"/>
        <v>0</v>
      </c>
    </row>
    <row r="54" spans="1:7" x14ac:dyDescent="0.25">
      <c r="A54" s="1675"/>
      <c r="B54" s="1689"/>
      <c r="C54" s="1676"/>
      <c r="D54" s="1867"/>
      <c r="E54" s="1562">
        <f t="shared" si="1"/>
        <v>0</v>
      </c>
      <c r="F54" s="1815">
        <f t="shared" si="2"/>
        <v>0</v>
      </c>
      <c r="G54" s="1816">
        <f t="shared" si="3"/>
        <v>0</v>
      </c>
    </row>
    <row r="55" spans="1:7" x14ac:dyDescent="0.25">
      <c r="A55" s="1675"/>
      <c r="B55" s="1689"/>
      <c r="C55" s="1676"/>
      <c r="D55" s="1867"/>
      <c r="E55" s="1562">
        <f t="shared" si="1"/>
        <v>0</v>
      </c>
      <c r="F55" s="1815">
        <f t="shared" si="2"/>
        <v>0</v>
      </c>
      <c r="G55" s="1816">
        <f t="shared" si="3"/>
        <v>0</v>
      </c>
    </row>
    <row r="56" spans="1:7" x14ac:dyDescent="0.25">
      <c r="A56" s="1675"/>
      <c r="B56" s="1689"/>
      <c r="C56" s="1676"/>
      <c r="D56" s="1867"/>
      <c r="E56" s="1562">
        <f t="shared" si="1"/>
        <v>0</v>
      </c>
      <c r="F56" s="1815">
        <f t="shared" si="2"/>
        <v>0</v>
      </c>
      <c r="G56" s="1816">
        <f t="shared" si="3"/>
        <v>0</v>
      </c>
    </row>
    <row r="57" spans="1:7" x14ac:dyDescent="0.25">
      <c r="A57" s="1675"/>
      <c r="B57" s="1689"/>
      <c r="C57" s="1676"/>
      <c r="D57" s="1867"/>
      <c r="E57" s="1562">
        <f t="shared" si="1"/>
        <v>0</v>
      </c>
      <c r="F57" s="1815">
        <f t="shared" si="2"/>
        <v>0</v>
      </c>
      <c r="G57" s="1816">
        <f t="shared" si="3"/>
        <v>0</v>
      </c>
    </row>
    <row r="58" spans="1:7" x14ac:dyDescent="0.25">
      <c r="A58" s="1675"/>
      <c r="B58" s="1689"/>
      <c r="C58" s="1676"/>
      <c r="D58" s="1867"/>
      <c r="E58" s="1562">
        <f t="shared" si="1"/>
        <v>0</v>
      </c>
      <c r="F58" s="1815">
        <f t="shared" si="2"/>
        <v>0</v>
      </c>
      <c r="G58" s="1816">
        <f t="shared" si="3"/>
        <v>0</v>
      </c>
    </row>
    <row r="59" spans="1:7" x14ac:dyDescent="0.25">
      <c r="A59" s="1675"/>
      <c r="B59" s="1689"/>
      <c r="C59" s="1676"/>
      <c r="D59" s="1867"/>
      <c r="E59" s="1562">
        <f t="shared" si="1"/>
        <v>0</v>
      </c>
      <c r="F59" s="1815">
        <f t="shared" si="2"/>
        <v>0</v>
      </c>
      <c r="G59" s="1816">
        <f t="shared" si="3"/>
        <v>0</v>
      </c>
    </row>
    <row r="60" spans="1:7" x14ac:dyDescent="0.25">
      <c r="A60" s="1675"/>
      <c r="B60" s="1689"/>
      <c r="C60" s="1676"/>
      <c r="D60" s="1867"/>
      <c r="E60" s="1562">
        <f t="shared" si="1"/>
        <v>0</v>
      </c>
      <c r="F60" s="1815">
        <f t="shared" si="2"/>
        <v>0</v>
      </c>
      <c r="G60" s="1816">
        <f t="shared" si="3"/>
        <v>0</v>
      </c>
    </row>
    <row r="61" spans="1:7" x14ac:dyDescent="0.25">
      <c r="A61" s="1675"/>
      <c r="B61" s="1689"/>
      <c r="C61" s="1676"/>
      <c r="D61" s="1867"/>
      <c r="E61" s="1562">
        <f t="shared" si="1"/>
        <v>0</v>
      </c>
      <c r="F61" s="1815">
        <f t="shared" si="2"/>
        <v>0</v>
      </c>
      <c r="G61" s="1816">
        <f t="shared" si="3"/>
        <v>0</v>
      </c>
    </row>
    <row r="62" spans="1:7" x14ac:dyDescent="0.25">
      <c r="A62" s="1675"/>
      <c r="B62" s="1689"/>
      <c r="C62" s="1676"/>
      <c r="D62" s="1867"/>
      <c r="E62" s="1562">
        <f t="shared" si="1"/>
        <v>0</v>
      </c>
      <c r="F62" s="1815">
        <f t="shared" si="2"/>
        <v>0</v>
      </c>
      <c r="G62" s="1816">
        <f t="shared" si="3"/>
        <v>0</v>
      </c>
    </row>
    <row r="63" spans="1:7" x14ac:dyDescent="0.25">
      <c r="A63" s="1675"/>
      <c r="B63" s="1689"/>
      <c r="C63" s="1676"/>
      <c r="D63" s="1867"/>
      <c r="E63" s="1562">
        <f t="shared" si="1"/>
        <v>0</v>
      </c>
      <c r="F63" s="1815">
        <f t="shared" si="2"/>
        <v>0</v>
      </c>
      <c r="G63" s="1816">
        <f t="shared" si="3"/>
        <v>0</v>
      </c>
    </row>
    <row r="64" spans="1:7" x14ac:dyDescent="0.25">
      <c r="A64" s="1677"/>
      <c r="B64" s="1689"/>
      <c r="C64" s="1678"/>
      <c r="D64" s="1867"/>
      <c r="E64" s="1562">
        <f t="shared" si="1"/>
        <v>0</v>
      </c>
      <c r="F64" s="1815">
        <f t="shared" si="2"/>
        <v>0</v>
      </c>
      <c r="G64" s="1816">
        <f t="shared" si="3"/>
        <v>0</v>
      </c>
    </row>
    <row r="65" spans="1:7" x14ac:dyDescent="0.25">
      <c r="A65" s="1675"/>
      <c r="B65" s="1689"/>
      <c r="C65" s="1676"/>
      <c r="D65" s="1867"/>
      <c r="E65" s="1562">
        <f t="shared" si="1"/>
        <v>0</v>
      </c>
      <c r="F65" s="1815">
        <f t="shared" si="2"/>
        <v>0</v>
      </c>
      <c r="G65" s="1816">
        <f t="shared" si="3"/>
        <v>0</v>
      </c>
    </row>
    <row r="66" spans="1:7" x14ac:dyDescent="0.25">
      <c r="A66" s="1675"/>
      <c r="B66" s="1689"/>
      <c r="C66" s="1676"/>
      <c r="D66" s="1867"/>
      <c r="E66" s="1562">
        <f t="shared" si="1"/>
        <v>0</v>
      </c>
      <c r="F66" s="1815">
        <f t="shared" si="2"/>
        <v>0</v>
      </c>
      <c r="G66" s="1816">
        <f t="shared" si="3"/>
        <v>0</v>
      </c>
    </row>
    <row r="67" spans="1:7" x14ac:dyDescent="0.25">
      <c r="A67" s="1675"/>
      <c r="B67" s="1689"/>
      <c r="C67" s="1676"/>
      <c r="D67" s="1867"/>
      <c r="E67" s="1562">
        <f t="shared" si="1"/>
        <v>0</v>
      </c>
      <c r="F67" s="1815">
        <f t="shared" si="2"/>
        <v>0</v>
      </c>
      <c r="G67" s="1816">
        <f t="shared" si="3"/>
        <v>0</v>
      </c>
    </row>
    <row r="68" spans="1:7" x14ac:dyDescent="0.25">
      <c r="A68" s="1675"/>
      <c r="B68" s="1689"/>
      <c r="C68" s="1676"/>
      <c r="D68" s="1867"/>
      <c r="E68" s="1562">
        <f t="shared" si="1"/>
        <v>0</v>
      </c>
      <c r="F68" s="1815">
        <f t="shared" si="2"/>
        <v>0</v>
      </c>
      <c r="G68" s="1816">
        <f t="shared" si="3"/>
        <v>0</v>
      </c>
    </row>
    <row r="69" spans="1:7" x14ac:dyDescent="0.25">
      <c r="A69" s="1675"/>
      <c r="B69" s="1689"/>
      <c r="C69" s="1676"/>
      <c r="D69" s="1867"/>
      <c r="E69" s="1562">
        <f t="shared" si="1"/>
        <v>0</v>
      </c>
      <c r="F69" s="1815">
        <f t="shared" si="2"/>
        <v>0</v>
      </c>
      <c r="G69" s="1816">
        <f t="shared" si="3"/>
        <v>0</v>
      </c>
    </row>
    <row r="70" spans="1:7" x14ac:dyDescent="0.25">
      <c r="A70" s="1675"/>
      <c r="B70" s="1689"/>
      <c r="C70" s="1676"/>
      <c r="D70" s="1867"/>
      <c r="E70" s="1562">
        <f t="shared" si="1"/>
        <v>0</v>
      </c>
      <c r="F70" s="1815">
        <f t="shared" si="2"/>
        <v>0</v>
      </c>
      <c r="G70" s="1816">
        <f t="shared" si="3"/>
        <v>0</v>
      </c>
    </row>
    <row r="71" spans="1:7" x14ac:dyDescent="0.25">
      <c r="A71" s="1675"/>
      <c r="B71" s="1689"/>
      <c r="C71" s="1676"/>
      <c r="D71" s="1867"/>
      <c r="E71" s="1562">
        <f t="shared" si="1"/>
        <v>0</v>
      </c>
      <c r="F71" s="1815">
        <f t="shared" si="2"/>
        <v>0</v>
      </c>
      <c r="G71" s="1816">
        <f t="shared" si="3"/>
        <v>0</v>
      </c>
    </row>
    <row r="72" spans="1:7" x14ac:dyDescent="0.25">
      <c r="A72" s="1675"/>
      <c r="B72" s="1689"/>
      <c r="C72" s="1676"/>
      <c r="D72" s="1867"/>
      <c r="E72" s="1562">
        <f t="shared" si="1"/>
        <v>0</v>
      </c>
      <c r="F72" s="1815">
        <f t="shared" si="2"/>
        <v>0</v>
      </c>
      <c r="G72" s="1816">
        <f t="shared" si="3"/>
        <v>0</v>
      </c>
    </row>
    <row r="73" spans="1:7" x14ac:dyDescent="0.25">
      <c r="A73" s="1675"/>
      <c r="B73" s="1689"/>
      <c r="C73" s="1676"/>
      <c r="D73" s="1867"/>
      <c r="E73" s="1562">
        <f t="shared" ref="E73:E84" si="4">IF(D73&lt;=25000,D73,IF(D73&gt;25000,25000,0))</f>
        <v>0</v>
      </c>
      <c r="F73" s="1815">
        <f t="shared" ref="F73:F84" si="5">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6">IF(F73=0,0,D73-F73)</f>
        <v>0</v>
      </c>
    </row>
    <row r="74" spans="1:7" x14ac:dyDescent="0.25">
      <c r="A74" s="1675"/>
      <c r="B74" s="1689"/>
      <c r="C74" s="1676"/>
      <c r="D74" s="1867"/>
      <c r="E74" s="1562">
        <f t="shared" si="4"/>
        <v>0</v>
      </c>
      <c r="F74" s="1815">
        <f t="shared" si="5"/>
        <v>0</v>
      </c>
      <c r="G74" s="1816">
        <f t="shared" si="6"/>
        <v>0</v>
      </c>
    </row>
    <row r="75" spans="1:7" x14ac:dyDescent="0.25">
      <c r="A75" s="1675"/>
      <c r="B75" s="1689"/>
      <c r="C75" s="1676"/>
      <c r="D75" s="1867"/>
      <c r="E75" s="1562">
        <f t="shared" si="4"/>
        <v>0</v>
      </c>
      <c r="F75" s="1815">
        <f t="shared" si="5"/>
        <v>0</v>
      </c>
      <c r="G75" s="1816">
        <f t="shared" si="6"/>
        <v>0</v>
      </c>
    </row>
    <row r="76" spans="1:7" x14ac:dyDescent="0.25">
      <c r="A76" s="1675"/>
      <c r="B76" s="1689"/>
      <c r="C76" s="1676"/>
      <c r="D76" s="1867"/>
      <c r="E76" s="1562">
        <f t="shared" si="4"/>
        <v>0</v>
      </c>
      <c r="F76" s="1815">
        <f t="shared" si="5"/>
        <v>0</v>
      </c>
      <c r="G76" s="1816">
        <f t="shared" si="6"/>
        <v>0</v>
      </c>
    </row>
    <row r="77" spans="1:7" x14ac:dyDescent="0.25">
      <c r="A77" s="1675"/>
      <c r="B77" s="1689"/>
      <c r="C77" s="1676"/>
      <c r="D77" s="1867"/>
      <c r="E77" s="1562">
        <f t="shared" si="4"/>
        <v>0</v>
      </c>
      <c r="F77" s="1815">
        <f t="shared" si="5"/>
        <v>0</v>
      </c>
      <c r="G77" s="1816">
        <f t="shared" si="6"/>
        <v>0</v>
      </c>
    </row>
    <row r="78" spans="1:7" x14ac:dyDescent="0.25">
      <c r="A78" s="1675"/>
      <c r="B78" s="1689"/>
      <c r="C78" s="1676"/>
      <c r="D78" s="1867"/>
      <c r="E78" s="1562">
        <f t="shared" si="4"/>
        <v>0</v>
      </c>
      <c r="F78" s="1815">
        <f t="shared" si="5"/>
        <v>0</v>
      </c>
      <c r="G78" s="1816">
        <f t="shared" si="6"/>
        <v>0</v>
      </c>
    </row>
    <row r="79" spans="1:7" x14ac:dyDescent="0.25">
      <c r="A79" s="1675"/>
      <c r="B79" s="1689"/>
      <c r="C79" s="1676"/>
      <c r="D79" s="1867"/>
      <c r="E79" s="1562">
        <f t="shared" si="4"/>
        <v>0</v>
      </c>
      <c r="F79" s="1815">
        <f t="shared" si="5"/>
        <v>0</v>
      </c>
      <c r="G79" s="1816">
        <f t="shared" si="6"/>
        <v>0</v>
      </c>
    </row>
    <row r="80" spans="1:7" x14ac:dyDescent="0.25">
      <c r="A80" s="1675"/>
      <c r="B80" s="1689"/>
      <c r="C80" s="1676"/>
      <c r="D80" s="1867"/>
      <c r="E80" s="1562">
        <f t="shared" si="4"/>
        <v>0</v>
      </c>
      <c r="F80" s="1815">
        <f t="shared" si="5"/>
        <v>0</v>
      </c>
      <c r="G80" s="1816">
        <f t="shared" si="6"/>
        <v>0</v>
      </c>
    </row>
    <row r="81" spans="1:7" x14ac:dyDescent="0.25">
      <c r="A81" s="1675"/>
      <c r="B81" s="1689"/>
      <c r="C81" s="1676"/>
      <c r="D81" s="1867"/>
      <c r="E81" s="1562">
        <f t="shared" si="4"/>
        <v>0</v>
      </c>
      <c r="F81" s="1815">
        <f t="shared" si="5"/>
        <v>0</v>
      </c>
      <c r="G81" s="1816">
        <f t="shared" si="6"/>
        <v>0</v>
      </c>
    </row>
    <row r="82" spans="1:7" x14ac:dyDescent="0.25">
      <c r="A82" s="1675"/>
      <c r="B82" s="1689"/>
      <c r="C82" s="1676"/>
      <c r="D82" s="1867"/>
      <c r="E82" s="1562">
        <f t="shared" si="4"/>
        <v>0</v>
      </c>
      <c r="F82" s="1815">
        <f t="shared" si="5"/>
        <v>0</v>
      </c>
      <c r="G82" s="1816">
        <f t="shared" si="6"/>
        <v>0</v>
      </c>
    </row>
    <row r="83" spans="1:7" x14ac:dyDescent="0.25">
      <c r="A83" s="1675"/>
      <c r="B83" s="1689"/>
      <c r="C83" s="1676"/>
      <c r="D83" s="1867"/>
      <c r="E83" s="1562">
        <f t="shared" si="4"/>
        <v>0</v>
      </c>
      <c r="F83" s="1815">
        <f t="shared" si="5"/>
        <v>0</v>
      </c>
      <c r="G83" s="1816">
        <f t="shared" si="6"/>
        <v>0</v>
      </c>
    </row>
    <row r="84" spans="1:7" x14ac:dyDescent="0.25">
      <c r="A84" s="1675"/>
      <c r="B84" s="1689"/>
      <c r="C84" s="1676"/>
      <c r="D84" s="1867"/>
      <c r="E84" s="1562">
        <f t="shared" si="4"/>
        <v>0</v>
      </c>
      <c r="F84" s="1815">
        <f t="shared" si="5"/>
        <v>0</v>
      </c>
      <c r="G84" s="1816">
        <f t="shared" si="6"/>
        <v>0</v>
      </c>
    </row>
    <row r="85" spans="1:7" x14ac:dyDescent="0.25">
      <c r="A85" s="1675"/>
      <c r="B85" s="1689"/>
      <c r="C85" s="1676"/>
      <c r="D85" s="1867"/>
      <c r="E85" s="1562">
        <f t="shared" si="1"/>
        <v>0</v>
      </c>
      <c r="F85" s="1815">
        <f t="shared" si="2"/>
        <v>0</v>
      </c>
      <c r="G85" s="1816">
        <f t="shared" si="3"/>
        <v>0</v>
      </c>
    </row>
    <row r="86" spans="1:7" x14ac:dyDescent="0.25">
      <c r="A86" s="1675"/>
      <c r="B86" s="1689"/>
      <c r="C86" s="1676"/>
      <c r="D86" s="1867"/>
      <c r="E86" s="1562">
        <f t="shared" si="1"/>
        <v>0</v>
      </c>
      <c r="F86" s="1815">
        <f t="shared" si="2"/>
        <v>0</v>
      </c>
      <c r="G86" s="1816">
        <f t="shared" si="3"/>
        <v>0</v>
      </c>
    </row>
    <row r="87" spans="1:7" x14ac:dyDescent="0.25">
      <c r="A87" s="1675"/>
      <c r="B87" s="1689"/>
      <c r="C87" s="1676"/>
      <c r="D87" s="1867"/>
      <c r="E87" s="1562">
        <f t="shared" si="1"/>
        <v>0</v>
      </c>
      <c r="F87" s="1815">
        <f t="shared" si="2"/>
        <v>0</v>
      </c>
      <c r="G87" s="1816">
        <f t="shared" si="3"/>
        <v>0</v>
      </c>
    </row>
    <row r="88" spans="1:7" x14ac:dyDescent="0.25">
      <c r="A88" s="1675"/>
      <c r="B88" s="1689"/>
      <c r="C88" s="1676"/>
      <c r="D88" s="1867"/>
      <c r="E88" s="1562">
        <f t="shared" si="1"/>
        <v>0</v>
      </c>
      <c r="F88" s="1815">
        <f t="shared" si="2"/>
        <v>0</v>
      </c>
      <c r="G88" s="1816">
        <f t="shared" si="3"/>
        <v>0</v>
      </c>
    </row>
    <row r="89" spans="1:7" x14ac:dyDescent="0.25">
      <c r="A89" s="1675"/>
      <c r="B89" s="1689"/>
      <c r="C89" s="1676"/>
      <c r="D89" s="1867"/>
      <c r="E89" s="1562">
        <f t="shared" si="1"/>
        <v>0</v>
      </c>
      <c r="F89" s="1815">
        <f t="shared" si="2"/>
        <v>0</v>
      </c>
      <c r="G89" s="1816">
        <f t="shared" si="3"/>
        <v>0</v>
      </c>
    </row>
    <row r="90" spans="1:7" x14ac:dyDescent="0.25">
      <c r="A90" s="1675"/>
      <c r="B90" s="1689"/>
      <c r="C90" s="1676"/>
      <c r="D90" s="1867"/>
      <c r="E90" s="1562">
        <f t="shared" si="1"/>
        <v>0</v>
      </c>
      <c r="F90" s="1815">
        <f t="shared" si="2"/>
        <v>0</v>
      </c>
      <c r="G90" s="1816">
        <f t="shared" si="3"/>
        <v>0</v>
      </c>
    </row>
    <row r="91" spans="1:7" x14ac:dyDescent="0.25">
      <c r="A91" s="1675"/>
      <c r="B91" s="1689"/>
      <c r="C91" s="1676"/>
      <c r="D91" s="1867"/>
      <c r="E91" s="1562">
        <f t="shared" si="1"/>
        <v>0</v>
      </c>
      <c r="F91" s="1815">
        <f t="shared" si="2"/>
        <v>0</v>
      </c>
      <c r="G91" s="1816">
        <f t="shared" si="3"/>
        <v>0</v>
      </c>
    </row>
    <row r="92" spans="1:7" x14ac:dyDescent="0.25">
      <c r="A92" s="1675"/>
      <c r="B92" s="1689"/>
      <c r="C92" s="1676"/>
      <c r="D92" s="1867"/>
      <c r="E92" s="1562">
        <f t="shared" si="1"/>
        <v>0</v>
      </c>
      <c r="F92" s="1815">
        <f t="shared" si="2"/>
        <v>0</v>
      </c>
      <c r="G92" s="1816">
        <f t="shared" si="3"/>
        <v>0</v>
      </c>
    </row>
    <row r="93" spans="1:7" x14ac:dyDescent="0.25">
      <c r="A93" s="1675"/>
      <c r="B93" s="1689"/>
      <c r="C93" s="1676"/>
      <c r="D93" s="1867"/>
      <c r="E93" s="1562">
        <f t="shared" ref="E93" si="7">IF(D93&lt;=25000,D93,IF(D93&gt;25000,25000,0))</f>
        <v>0</v>
      </c>
      <c r="F93" s="1815">
        <f t="shared" ref="F93" si="8">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9">IF(F93=0,0,D93-F93)</f>
        <v>0</v>
      </c>
    </row>
    <row r="94" spans="1:7" x14ac:dyDescent="0.25">
      <c r="A94" s="1675"/>
      <c r="B94" s="1689"/>
      <c r="C94" s="1676"/>
      <c r="D94" s="1867"/>
      <c r="E94" s="1562">
        <f t="shared" si="1"/>
        <v>0</v>
      </c>
      <c r="F94" s="1815">
        <f t="shared" si="2"/>
        <v>0</v>
      </c>
      <c r="G94" s="1816">
        <f t="shared" si="3"/>
        <v>0</v>
      </c>
    </row>
    <row r="95" spans="1:7" x14ac:dyDescent="0.25">
      <c r="A95" s="1675"/>
      <c r="B95" s="1689"/>
      <c r="C95" s="1676"/>
      <c r="D95" s="1867"/>
      <c r="E95" s="1562">
        <f t="shared" ref="E95:E98" si="10">IF(D95&lt;=25000,D95,IF(D95&gt;25000,25000,0))</f>
        <v>0</v>
      </c>
      <c r="F95" s="1815">
        <f t="shared" ref="F95:F98" si="11">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2">IF(F95=0,0,D95-F95)</f>
        <v>0</v>
      </c>
    </row>
    <row r="96" spans="1:7" x14ac:dyDescent="0.25">
      <c r="A96" s="1675"/>
      <c r="B96" s="1689"/>
      <c r="C96" s="1676"/>
      <c r="D96" s="1867"/>
      <c r="E96" s="1562">
        <f t="shared" si="10"/>
        <v>0</v>
      </c>
      <c r="F96" s="1815">
        <f t="shared" si="11"/>
        <v>0</v>
      </c>
      <c r="G96" s="1816">
        <f t="shared" si="12"/>
        <v>0</v>
      </c>
    </row>
    <row r="97" spans="1:7" x14ac:dyDescent="0.25">
      <c r="A97" s="1675"/>
      <c r="B97" s="1689"/>
      <c r="C97" s="1676"/>
      <c r="D97" s="1867"/>
      <c r="E97" s="1562">
        <f t="shared" si="10"/>
        <v>0</v>
      </c>
      <c r="F97" s="1815">
        <f t="shared" si="11"/>
        <v>0</v>
      </c>
      <c r="G97" s="1816">
        <f t="shared" si="12"/>
        <v>0</v>
      </c>
    </row>
    <row r="98" spans="1:7" x14ac:dyDescent="0.25">
      <c r="A98" s="1675"/>
      <c r="B98" s="1689"/>
      <c r="C98" s="1676"/>
      <c r="D98" s="1867"/>
      <c r="E98" s="1562">
        <f t="shared" si="10"/>
        <v>0</v>
      </c>
      <c r="F98" s="1815">
        <f t="shared" si="11"/>
        <v>0</v>
      </c>
      <c r="G98" s="1816">
        <f t="shared" si="12"/>
        <v>0</v>
      </c>
    </row>
    <row r="99" spans="1:7" x14ac:dyDescent="0.25">
      <c r="A99" s="1675"/>
      <c r="B99" s="1689"/>
      <c r="C99" s="1676"/>
      <c r="D99" s="1867"/>
      <c r="E99" s="1562">
        <f t="shared" ref="E99" si="13">IF(D99&lt;=25000,D99,IF(D99&gt;25000,25000,0))</f>
        <v>0</v>
      </c>
      <c r="F99" s="1815">
        <f t="shared" ref="F99" si="14">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5">IF(F99=0,0,D99-F99)</f>
        <v>0</v>
      </c>
    </row>
    <row r="100" spans="1:7" x14ac:dyDescent="0.25">
      <c r="A100" s="1675"/>
      <c r="B100" s="1689"/>
      <c r="C100" s="1676"/>
      <c r="D100" s="1867"/>
      <c r="E100" s="1562">
        <f t="shared" ref="E100:E112" si="16">IF(D100&lt;=25000,D100,IF(D100&gt;25000,25000,0))</f>
        <v>0</v>
      </c>
      <c r="F100" s="1815">
        <f t="shared" ref="F100:F112" si="1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8">IF(F100=0,0,D100-F100)</f>
        <v>0</v>
      </c>
    </row>
    <row r="101" spans="1:7" x14ac:dyDescent="0.25">
      <c r="A101" s="1675"/>
      <c r="B101" s="1689"/>
      <c r="C101" s="1676"/>
      <c r="D101" s="1867"/>
      <c r="E101" s="1562">
        <f t="shared" si="16"/>
        <v>0</v>
      </c>
      <c r="F101" s="1815">
        <f t="shared" si="17"/>
        <v>0</v>
      </c>
      <c r="G101" s="1816">
        <f t="shared" si="18"/>
        <v>0</v>
      </c>
    </row>
    <row r="102" spans="1:7" x14ac:dyDescent="0.25">
      <c r="A102" s="1675"/>
      <c r="B102" s="1689"/>
      <c r="C102" s="1676"/>
      <c r="D102" s="1867"/>
      <c r="E102" s="1562">
        <f t="shared" si="16"/>
        <v>0</v>
      </c>
      <c r="F102" s="1815">
        <f t="shared" si="17"/>
        <v>0</v>
      </c>
      <c r="G102" s="1816">
        <f t="shared" si="18"/>
        <v>0</v>
      </c>
    </row>
    <row r="103" spans="1:7" x14ac:dyDescent="0.25">
      <c r="A103" s="1675"/>
      <c r="B103" s="1689"/>
      <c r="C103" s="1676"/>
      <c r="D103" s="1867"/>
      <c r="E103" s="1562">
        <f t="shared" si="16"/>
        <v>0</v>
      </c>
      <c r="F103" s="1815">
        <f t="shared" si="17"/>
        <v>0</v>
      </c>
      <c r="G103" s="1816">
        <f t="shared" si="18"/>
        <v>0</v>
      </c>
    </row>
    <row r="104" spans="1:7" x14ac:dyDescent="0.25">
      <c r="A104" s="1675"/>
      <c r="B104" s="1689"/>
      <c r="C104" s="1676"/>
      <c r="D104" s="1867"/>
      <c r="E104" s="1562">
        <f t="shared" si="16"/>
        <v>0</v>
      </c>
      <c r="F104" s="1815">
        <f t="shared" si="17"/>
        <v>0</v>
      </c>
      <c r="G104" s="1816">
        <f t="shared" si="18"/>
        <v>0</v>
      </c>
    </row>
    <row r="105" spans="1:7" x14ac:dyDescent="0.25">
      <c r="A105" s="1675"/>
      <c r="B105" s="1689"/>
      <c r="C105" s="1676"/>
      <c r="D105" s="1867"/>
      <c r="E105" s="1562">
        <f t="shared" si="16"/>
        <v>0</v>
      </c>
      <c r="F105" s="1815">
        <f t="shared" si="17"/>
        <v>0</v>
      </c>
      <c r="G105" s="1816">
        <f t="shared" si="18"/>
        <v>0</v>
      </c>
    </row>
    <row r="106" spans="1:7" x14ac:dyDescent="0.25">
      <c r="A106" s="1675"/>
      <c r="B106" s="1689"/>
      <c r="C106" s="1676"/>
      <c r="D106" s="1867"/>
      <c r="E106" s="1562">
        <f t="shared" si="16"/>
        <v>0</v>
      </c>
      <c r="F106" s="1815">
        <f t="shared" si="17"/>
        <v>0</v>
      </c>
      <c r="G106" s="1816">
        <f t="shared" si="18"/>
        <v>0</v>
      </c>
    </row>
    <row r="107" spans="1:7" x14ac:dyDescent="0.25">
      <c r="A107" s="1675"/>
      <c r="B107" s="1689"/>
      <c r="C107" s="1676"/>
      <c r="D107" s="1867"/>
      <c r="E107" s="1562">
        <f t="shared" si="16"/>
        <v>0</v>
      </c>
      <c r="F107" s="1815">
        <f t="shared" si="17"/>
        <v>0</v>
      </c>
      <c r="G107" s="1816">
        <f t="shared" si="18"/>
        <v>0</v>
      </c>
    </row>
    <row r="108" spans="1:7" x14ac:dyDescent="0.25">
      <c r="A108" s="1675"/>
      <c r="B108" s="1689"/>
      <c r="C108" s="1676"/>
      <c r="D108" s="1867"/>
      <c r="E108" s="1562">
        <f t="shared" si="16"/>
        <v>0</v>
      </c>
      <c r="F108" s="1815">
        <f t="shared" si="17"/>
        <v>0</v>
      </c>
      <c r="G108" s="1816">
        <f t="shared" si="18"/>
        <v>0</v>
      </c>
    </row>
    <row r="109" spans="1:7" x14ac:dyDescent="0.25">
      <c r="A109" s="1675"/>
      <c r="B109" s="1689"/>
      <c r="C109" s="1676"/>
      <c r="D109" s="1867"/>
      <c r="E109" s="1562">
        <f t="shared" si="16"/>
        <v>0</v>
      </c>
      <c r="F109" s="1815">
        <f t="shared" si="17"/>
        <v>0</v>
      </c>
      <c r="G109" s="1816">
        <f t="shared" si="18"/>
        <v>0</v>
      </c>
    </row>
    <row r="110" spans="1:7" x14ac:dyDescent="0.25">
      <c r="A110" s="1675"/>
      <c r="B110" s="1689"/>
      <c r="C110" s="1676"/>
      <c r="D110" s="1867"/>
      <c r="E110" s="1562">
        <f t="shared" si="16"/>
        <v>0</v>
      </c>
      <c r="F110" s="1815">
        <f t="shared" si="17"/>
        <v>0</v>
      </c>
      <c r="G110" s="1816">
        <f t="shared" si="18"/>
        <v>0</v>
      </c>
    </row>
    <row r="111" spans="1:7" x14ac:dyDescent="0.25">
      <c r="A111" s="1675"/>
      <c r="B111" s="1689"/>
      <c r="C111" s="1676"/>
      <c r="D111" s="1867"/>
      <c r="E111" s="1562">
        <f t="shared" si="16"/>
        <v>0</v>
      </c>
      <c r="F111" s="1815">
        <f t="shared" si="17"/>
        <v>0</v>
      </c>
      <c r="G111" s="1816">
        <f t="shared" si="18"/>
        <v>0</v>
      </c>
    </row>
    <row r="112" spans="1:7" x14ac:dyDescent="0.25">
      <c r="A112" s="1675"/>
      <c r="B112" s="1689"/>
      <c r="C112" s="1676"/>
      <c r="D112" s="1867"/>
      <c r="E112" s="1562">
        <f t="shared" si="16"/>
        <v>0</v>
      </c>
      <c r="F112" s="1815">
        <f t="shared" si="17"/>
        <v>0</v>
      </c>
      <c r="G112" s="1816">
        <f t="shared" si="18"/>
        <v>0</v>
      </c>
    </row>
    <row r="113" spans="1:7" x14ac:dyDescent="0.25">
      <c r="A113" s="1675"/>
      <c r="B113" s="1689"/>
      <c r="C113" s="1676"/>
      <c r="D113" s="1867"/>
      <c r="E113" s="1562">
        <f t="shared" ref="E113:E125" si="19">IF(D113&lt;=25000,D113,IF(D113&gt;25000,25000,0))</f>
        <v>0</v>
      </c>
      <c r="F113" s="1815">
        <f t="shared" ref="F113:F125" si="2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1">IF(F113=0,0,D113-F113)</f>
        <v>0</v>
      </c>
    </row>
    <row r="114" spans="1:7" x14ac:dyDescent="0.25">
      <c r="A114" s="1675"/>
      <c r="B114" s="1689"/>
      <c r="C114" s="1676"/>
      <c r="D114" s="1867"/>
      <c r="E114" s="1562">
        <f t="shared" si="19"/>
        <v>0</v>
      </c>
      <c r="F114" s="1815">
        <f t="shared" si="20"/>
        <v>0</v>
      </c>
      <c r="G114" s="1816">
        <f t="shared" si="21"/>
        <v>0</v>
      </c>
    </row>
    <row r="115" spans="1:7" x14ac:dyDescent="0.25">
      <c r="A115" s="1675"/>
      <c r="B115" s="1689"/>
      <c r="C115" s="1676"/>
      <c r="D115" s="1867"/>
      <c r="E115" s="1562">
        <f t="shared" si="19"/>
        <v>0</v>
      </c>
      <c r="F115" s="1815">
        <f t="shared" si="20"/>
        <v>0</v>
      </c>
      <c r="G115" s="1816">
        <f t="shared" si="21"/>
        <v>0</v>
      </c>
    </row>
    <row r="116" spans="1:7" x14ac:dyDescent="0.25">
      <c r="A116" s="1675"/>
      <c r="B116" s="1689"/>
      <c r="C116" s="1676"/>
      <c r="D116" s="1867"/>
      <c r="E116" s="1562">
        <f t="shared" si="19"/>
        <v>0</v>
      </c>
      <c r="F116" s="1815">
        <f t="shared" si="20"/>
        <v>0</v>
      </c>
      <c r="G116" s="1816">
        <f t="shared" si="21"/>
        <v>0</v>
      </c>
    </row>
    <row r="117" spans="1:7" x14ac:dyDescent="0.25">
      <c r="A117" s="1675"/>
      <c r="B117" s="1689"/>
      <c r="C117" s="1676"/>
      <c r="D117" s="1867"/>
      <c r="E117" s="1562">
        <f t="shared" si="19"/>
        <v>0</v>
      </c>
      <c r="F117" s="1815">
        <f t="shared" si="20"/>
        <v>0</v>
      </c>
      <c r="G117" s="1816">
        <f t="shared" si="21"/>
        <v>0</v>
      </c>
    </row>
    <row r="118" spans="1:7" x14ac:dyDescent="0.25">
      <c r="A118" s="1675"/>
      <c r="B118" s="1689"/>
      <c r="C118" s="1676"/>
      <c r="D118" s="1867"/>
      <c r="E118" s="1562">
        <f t="shared" si="19"/>
        <v>0</v>
      </c>
      <c r="F118" s="1815">
        <f t="shared" si="20"/>
        <v>0</v>
      </c>
      <c r="G118" s="1816">
        <f t="shared" si="21"/>
        <v>0</v>
      </c>
    </row>
    <row r="119" spans="1:7" x14ac:dyDescent="0.25">
      <c r="A119" s="1675"/>
      <c r="B119" s="1689"/>
      <c r="C119" s="1676"/>
      <c r="D119" s="1867"/>
      <c r="E119" s="1562">
        <f t="shared" si="19"/>
        <v>0</v>
      </c>
      <c r="F119" s="1815">
        <f t="shared" si="20"/>
        <v>0</v>
      </c>
      <c r="G119" s="1816">
        <f t="shared" si="21"/>
        <v>0</v>
      </c>
    </row>
    <row r="120" spans="1:7" x14ac:dyDescent="0.25">
      <c r="A120" s="1675"/>
      <c r="B120" s="1689"/>
      <c r="C120" s="1676"/>
      <c r="D120" s="1867"/>
      <c r="E120" s="1562">
        <f t="shared" si="19"/>
        <v>0</v>
      </c>
      <c r="F120" s="1815">
        <f t="shared" si="20"/>
        <v>0</v>
      </c>
      <c r="G120" s="1816">
        <f t="shared" si="21"/>
        <v>0</v>
      </c>
    </row>
    <row r="121" spans="1:7" x14ac:dyDescent="0.25">
      <c r="A121" s="1675"/>
      <c r="B121" s="1689"/>
      <c r="C121" s="1676"/>
      <c r="D121" s="1867"/>
      <c r="E121" s="1562">
        <f t="shared" si="19"/>
        <v>0</v>
      </c>
      <c r="F121" s="1815">
        <f t="shared" si="20"/>
        <v>0</v>
      </c>
      <c r="G121" s="1816">
        <f t="shared" si="21"/>
        <v>0</v>
      </c>
    </row>
    <row r="122" spans="1:7" x14ac:dyDescent="0.25">
      <c r="A122" s="1675"/>
      <c r="B122" s="1689"/>
      <c r="C122" s="1676"/>
      <c r="D122" s="1867"/>
      <c r="E122" s="1562">
        <f t="shared" si="19"/>
        <v>0</v>
      </c>
      <c r="F122" s="1815">
        <f t="shared" si="20"/>
        <v>0</v>
      </c>
      <c r="G122" s="1816">
        <f t="shared" si="21"/>
        <v>0</v>
      </c>
    </row>
    <row r="123" spans="1:7" x14ac:dyDescent="0.25">
      <c r="A123" s="1675"/>
      <c r="B123" s="1689"/>
      <c r="C123" s="1676"/>
      <c r="D123" s="1867"/>
      <c r="E123" s="1562">
        <f t="shared" si="19"/>
        <v>0</v>
      </c>
      <c r="F123" s="1815">
        <f t="shared" si="20"/>
        <v>0</v>
      </c>
      <c r="G123" s="1816">
        <f t="shared" si="21"/>
        <v>0</v>
      </c>
    </row>
    <row r="124" spans="1:7" x14ac:dyDescent="0.25">
      <c r="A124" s="1675"/>
      <c r="B124" s="1689"/>
      <c r="C124" s="1676"/>
      <c r="D124" s="1867"/>
      <c r="E124" s="1562">
        <f t="shared" si="19"/>
        <v>0</v>
      </c>
      <c r="F124" s="1815">
        <f t="shared" si="20"/>
        <v>0</v>
      </c>
      <c r="G124" s="1816">
        <f t="shared" si="21"/>
        <v>0</v>
      </c>
    </row>
    <row r="125" spans="1:7" x14ac:dyDescent="0.25">
      <c r="A125" s="1675"/>
      <c r="B125" s="1689"/>
      <c r="C125" s="1676"/>
      <c r="D125" s="1867"/>
      <c r="E125" s="1562">
        <f t="shared" si="19"/>
        <v>0</v>
      </c>
      <c r="F125" s="1815">
        <f t="shared" si="20"/>
        <v>0</v>
      </c>
      <c r="G125" s="1816">
        <f t="shared" si="21"/>
        <v>0</v>
      </c>
    </row>
    <row r="126" spans="1:7" x14ac:dyDescent="0.25">
      <c r="A126" s="1675"/>
      <c r="B126" s="1689"/>
      <c r="C126" s="1676"/>
      <c r="D126" s="1867"/>
      <c r="E126" s="1562">
        <f t="shared" ref="E126:E134" si="22">IF(D126&lt;=25000,D126,IF(D126&gt;25000,25000,0))</f>
        <v>0</v>
      </c>
      <c r="F126" s="1815">
        <f t="shared" ref="F126:F134" si="2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4">IF(F126=0,0,D126-F126)</f>
        <v>0</v>
      </c>
    </row>
    <row r="127" spans="1:7" x14ac:dyDescent="0.25">
      <c r="A127" s="1675"/>
      <c r="B127" s="1689"/>
      <c r="C127" s="1676"/>
      <c r="D127" s="1867"/>
      <c r="E127" s="1562">
        <f t="shared" si="22"/>
        <v>0</v>
      </c>
      <c r="F127" s="1815">
        <f t="shared" si="23"/>
        <v>0</v>
      </c>
      <c r="G127" s="1816">
        <f t="shared" si="24"/>
        <v>0</v>
      </c>
    </row>
    <row r="128" spans="1:7" x14ac:dyDescent="0.25">
      <c r="A128" s="1675"/>
      <c r="B128" s="1689"/>
      <c r="C128" s="1676"/>
      <c r="D128" s="1867"/>
      <c r="E128" s="1562">
        <f t="shared" si="22"/>
        <v>0</v>
      </c>
      <c r="F128" s="1815">
        <f t="shared" si="23"/>
        <v>0</v>
      </c>
      <c r="G128" s="1816">
        <f t="shared" si="24"/>
        <v>0</v>
      </c>
    </row>
    <row r="129" spans="1:7" x14ac:dyDescent="0.25">
      <c r="A129" s="1956"/>
      <c r="B129" s="1860"/>
      <c r="C129" s="1957"/>
      <c r="D129" s="1867"/>
      <c r="E129" s="1562">
        <f>IF(D129&lt;=25000,D129,IF(D129&gt;25000,25000,0))</f>
        <v>0</v>
      </c>
      <c r="F129" s="1815">
        <f>IF(OR(B129="10-1000-100",B129="10-1000-200",B129="10-1000-300",B129="10-1000-400",B129="10-1000-600",B129="10-1000-800",B129="50-1000-200",B129="10-2100-100",B129="10-2100-200",B129="10-2100-300",B129="10-2100-400",B129="10-2100-600",B129="10-2100-800",B129="20-2100-200",B129="20-2190-100",B129="20-2190-200",B129="20-2190-300",B129="20-2190-400",B129="20-2190-600",B129="20-2190-800",B129="40-2190-100",B129="40-2190-200",B129="40-2190-300",B129="40-2190-400",B129="40-2190-600",B129="40-2190-800",B129="50-2190-200",B129="10-2200-100",B129="10-2200-200",B129="10-2200-300",B129="10-2200-400",B129="10-2200-600",B129="10-2200-800",B129="50-2200-200",B129="10-2300-100",B129="10-2300-200",B129="10-2300-300",B129="10-2300-400",B129="10-2300-600",B129="10-2300-800",B129="50-2300-200",B129="80-2300-100",B129="80-2300-200",B129="80-2300-300",B129="80-2300-400",B129="80-2300-600",B129="80-2300-800",B129="10-2400-100",B129="10-2400-200",B129="10-2400-300",B129="10-2400-400",B129="10-2400-600",B129="10-2400-800",B129="50-2400-200",B129="10-2510-100",B129="10-2510-200",B129="10-2510-300",B129="10-2510-400",B129="10-2510-600",B129="10-2510-800",B129="20-2510-100",B129="20-2510-200",B129="20-2510-300",B129="20-2510-400",B129="20-2510-600",B129="20-2510-800",B129="50-2510-200",B129="10-2520-100",B129="10-2520-200",B129="10-2520-300",B129="10-2520-400",B129="10-2520-600",B129="10-2520-800",B129="50-2520-200",B129="10-2540-100",B129="10-2540-200",B129="10-2540-300",B129="10-2540-400",B129="10-2540-600",B129="20-2540-800",B129="20-2540-100",B129="20-2540-200",B129="20-2540-300",B129="20-2540-400",B129="20-2540-600",B129="50-2540-200",B129="90-2540-100",B129="90-2540-200",B129="90-2540-300",B129="90-2540-400",B129="90-2540-600",B129="90-2540-800",B129="90-2540-800",B129="10-2550-100",B129="10-2550-200",B129="10-2550-300",B129="10-2550-400",B129="10-2550-600",B129="10-2550-800",B129="20-2550-100",B129="20-2550-200",B129="20-2550-300",B129="20-2550-400",B129="20-2550-600",B129="20-2550-800",B129="40-2550-100",B129="40-2550-200",B129="40-2550-300",B129="40-2550-400",B129="40-2550-600",B129="40-2550-800",B129="50-2550-200",B129="10-2560-100",B129="10-2560-200",B129="10-2560-300",B129="10-2560-400",B129="10-2560-600",B129="10-2560-800",B129="20-2560-100",B129="20-2560-200",B129="20-2560-300",B129="20-2560-400",B129="20-2560-600",B129="20-2560-800",B129="50-2560-200",B129="10-2570-100",B129="10-2570-200",B129="10-2570-300",B129="10-2570-400",B129="10-2570-600",B129="10-2570-800",B129="50-2570-200",B129="10-2610-100",B129="10-2610-200",B129="10-2610-300",B129="10-2610-400",B129="10-2610-600",B129="10-2610-800",B129="50-2610-200",B129="10-2620-100",B129="10-2620-200",B129="10-2620-300",B129="10-2620-400",B129="10-2620-600",B129="10-2620-800",B129="50-2620-200",B129="10-2630-100",B129="10-2630-200",B129="10-2630-300",B129="10-2630-400",B129="10-2630-600",B129="10-2630-800",B129="50-2630-200",B129="10-2640-100",B129="10-2640-200",B129="10-2640-300",B129="10-2640-400",B129="10-2640-600",B129="10-2640-800",B129="50-2640-200",B129="10-2660-100",B129="10-2660-200",B129="10-2660-300",B129="10-2660-400",B129="10-2660-600",B129="10-2660-800",B129="50-2660-200",B129="10-2900-100",B129="10-2900-200",B129="10-2900-300",B129="10-2900-400",B129="10-2900-600",B129="10-2900-800",B129="20-2900-100",B129="20-2900-200",B129="20-2900-300",B129="20-2900-400",B129="20-2900-600",B129="20-2900-800",B129="40-2900-100",B129="40-2900-200",B129="40-2900-300",B129="40-2900-400",B129="40-2900-600",B129="40-2900-800",B129="50-2900-200",B129="60-2900-100",B129="60-2900-200",B129="60-2900-300",B129="60-2900-400",B129="60-2900-600",B129="60-2900-800",B129="90-2900-100",B129="90-2900-200",B129="90-2900-300",B129="90-2900-400",B129="90-2900-600",B129="90-2900-800",B129="10-3000-100",B129="10-3000-200",B129="10-3000-300",B129="10-3000-400",B129="10-3000-600",B129="10-3000-800",B129="20-3000-100",B129="20-3000-200",B129="20-3000-300",B129="20-3000-400",B129="20-3000-600",B129="20-3000-800",B129="40-3000-100",B129="40-3000-200",B129="40-3000-300",B129="40-3000-400",B129="40-3000-600",B129="40-3000-800",B129="50-3000-200"),E129,0)</f>
        <v>0</v>
      </c>
      <c r="G129" s="1816">
        <f>IF(F129=0,0,D129-F129)</f>
        <v>0</v>
      </c>
    </row>
    <row r="130" spans="1:7" x14ac:dyDescent="0.25">
      <c r="A130" s="1675"/>
      <c r="B130" s="1689"/>
      <c r="C130" s="1676"/>
      <c r="D130" s="1867"/>
      <c r="E130" s="1562">
        <f t="shared" si="22"/>
        <v>0</v>
      </c>
      <c r="F130" s="1815">
        <f t="shared" si="23"/>
        <v>0</v>
      </c>
      <c r="G130" s="1816">
        <f t="shared" si="24"/>
        <v>0</v>
      </c>
    </row>
    <row r="131" spans="1:7" x14ac:dyDescent="0.25">
      <c r="A131" s="1675"/>
      <c r="B131" s="1860"/>
      <c r="C131" s="1676"/>
      <c r="D131" s="1867"/>
      <c r="E131" s="1562">
        <f t="shared" si="22"/>
        <v>0</v>
      </c>
      <c r="F131" s="1815">
        <f t="shared" si="23"/>
        <v>0</v>
      </c>
      <c r="G131" s="1816">
        <f t="shared" si="24"/>
        <v>0</v>
      </c>
    </row>
    <row r="132" spans="1:7" x14ac:dyDescent="0.25">
      <c r="A132" s="1675"/>
      <c r="B132" s="1860"/>
      <c r="C132" s="1676"/>
      <c r="D132" s="1867"/>
      <c r="E132" s="1562">
        <f t="shared" si="22"/>
        <v>0</v>
      </c>
      <c r="F132" s="1815">
        <f t="shared" si="23"/>
        <v>0</v>
      </c>
      <c r="G132" s="1816">
        <f t="shared" si="24"/>
        <v>0</v>
      </c>
    </row>
    <row r="133" spans="1:7" x14ac:dyDescent="0.25">
      <c r="A133" s="1675"/>
      <c r="B133" s="1689"/>
      <c r="C133" s="1676"/>
      <c r="D133" s="1867"/>
      <c r="E133" s="1562">
        <f t="shared" si="22"/>
        <v>0</v>
      </c>
      <c r="F133" s="1815">
        <f t="shared" si="23"/>
        <v>0</v>
      </c>
      <c r="G133" s="1816">
        <f t="shared" si="24"/>
        <v>0</v>
      </c>
    </row>
    <row r="134" spans="1:7" x14ac:dyDescent="0.25">
      <c r="A134" s="1675"/>
      <c r="B134" s="1689"/>
      <c r="C134" s="1676"/>
      <c r="D134" s="1867"/>
      <c r="E134" s="1562">
        <f t="shared" si="22"/>
        <v>0</v>
      </c>
      <c r="F134" s="1815">
        <f t="shared" si="23"/>
        <v>0</v>
      </c>
      <c r="G134" s="1816">
        <f t="shared" si="24"/>
        <v>0</v>
      </c>
    </row>
    <row r="135" spans="1:7" x14ac:dyDescent="0.25">
      <c r="A135" s="1675"/>
      <c r="B135" s="1689"/>
      <c r="C135" s="1676"/>
      <c r="D135" s="1867"/>
      <c r="E135" s="1562">
        <f t="shared" ref="E135:E139" si="25">IF(D135&lt;=25000,D135,IF(D135&gt;25000,25000,0))</f>
        <v>0</v>
      </c>
      <c r="F135" s="1815">
        <f t="shared" ref="F135:F139" si="26">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7">IF(F135=0,0,D135-F135)</f>
        <v>0</v>
      </c>
    </row>
    <row r="136" spans="1:7" x14ac:dyDescent="0.25">
      <c r="A136" s="1675"/>
      <c r="B136" s="1689"/>
      <c r="C136" s="1676"/>
      <c r="D136" s="1867"/>
      <c r="E136" s="1562">
        <f t="shared" si="25"/>
        <v>0</v>
      </c>
      <c r="F136" s="1815">
        <f t="shared" si="26"/>
        <v>0</v>
      </c>
      <c r="G136" s="1816">
        <f t="shared" si="27"/>
        <v>0</v>
      </c>
    </row>
    <row r="137" spans="1:7" x14ac:dyDescent="0.25">
      <c r="A137" s="1675"/>
      <c r="B137" s="1689"/>
      <c r="C137" s="1676"/>
      <c r="D137" s="1867"/>
      <c r="E137" s="1562">
        <f t="shared" si="25"/>
        <v>0</v>
      </c>
      <c r="F137" s="1815">
        <f t="shared" si="26"/>
        <v>0</v>
      </c>
      <c r="G137" s="1816">
        <f t="shared" si="27"/>
        <v>0</v>
      </c>
    </row>
    <row r="138" spans="1:7" x14ac:dyDescent="0.25">
      <c r="A138" s="1675"/>
      <c r="B138" s="1689"/>
      <c r="C138" s="1676"/>
      <c r="D138" s="1867"/>
      <c r="E138" s="1562">
        <f t="shared" si="25"/>
        <v>0</v>
      </c>
      <c r="F138" s="1815">
        <f t="shared" si="26"/>
        <v>0</v>
      </c>
      <c r="G138" s="1816">
        <f t="shared" si="27"/>
        <v>0</v>
      </c>
    </row>
    <row r="139" spans="1:7" x14ac:dyDescent="0.25">
      <c r="A139" s="1675"/>
      <c r="B139" s="1689"/>
      <c r="C139" s="1676"/>
      <c r="D139" s="1867"/>
      <c r="E139" s="1562">
        <f t="shared" si="25"/>
        <v>0</v>
      </c>
      <c r="F139" s="1815">
        <f t="shared" si="26"/>
        <v>0</v>
      </c>
      <c r="G139" s="1816">
        <f t="shared" si="27"/>
        <v>0</v>
      </c>
    </row>
    <row r="140" spans="1:7" x14ac:dyDescent="0.25">
      <c r="A140" s="1675"/>
      <c r="B140" s="1688"/>
      <c r="C140" s="1676"/>
      <c r="D140" s="1867"/>
      <c r="E140" s="1562">
        <f t="shared" si="1"/>
        <v>0</v>
      </c>
      <c r="F140" s="1815">
        <f t="shared" si="2"/>
        <v>0</v>
      </c>
      <c r="G140" s="1816">
        <f t="shared" si="3"/>
        <v>0</v>
      </c>
    </row>
    <row r="141" spans="1:7" x14ac:dyDescent="0.25">
      <c r="A141" s="1819" t="s">
        <v>158</v>
      </c>
      <c r="B141" s="1820"/>
      <c r="C141" s="1821"/>
      <c r="D141" s="1817">
        <f>SUM(D17:D140)</f>
        <v>1</v>
      </c>
      <c r="E141" s="1563">
        <f t="shared" ref="E141" si="28">IF(D141&lt;=25000,D141,IF(D141&gt;25000,25000,0))</f>
        <v>1</v>
      </c>
      <c r="F141" s="1817">
        <f>SUM(F17:F140)</f>
        <v>0</v>
      </c>
      <c r="G141" s="1818">
        <f>SUM(G17:G140)</f>
        <v>0</v>
      </c>
    </row>
  </sheetData>
  <sheetProtection sheet="1" selectLockedCells="1"/>
  <mergeCells count="6">
    <mergeCell ref="A13:G13"/>
    <mergeCell ref="A4:G5"/>
    <mergeCell ref="A11:G11"/>
    <mergeCell ref="A7:G7"/>
    <mergeCell ref="A8:G8"/>
    <mergeCell ref="A9:G9"/>
  </mergeCells>
  <printOptions horizontalCentered="1"/>
  <pageMargins left="0.75" right="0.75" top="1.1000000000000001" bottom="0.5" header="0.5" footer="0.5"/>
  <pageSetup scale="54" firstPageNumber="30" fitToHeight="0" orientation="portrait" r:id="rId1"/>
  <headerFooter>
    <oddHeader>&amp;C&amp;"Times New Roman,Regular"HARMONY-EMGE SCHOOL DISTRICT NO. 175
CURRENT YEAR PAYMENT ON CONTRACTS FOR INDIRECT COST RATE COMPUTATION
FOR THE YEAR ENDED JUNE 30, 2018</oddHeader>
    <oddFooter>&amp;C&amp;"Times New Roman,Regular"See Independent Auditor's Reports
&amp;P</oddFooter>
  </headerFooter>
  <rowBreaks count="1" manualBreakCount="1">
    <brk id="7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N25" sqref="N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422854</v>
      </c>
      <c r="F10" s="975"/>
      <c r="G10" s="976"/>
      <c r="H10" s="162"/>
      <c r="I10" s="162"/>
    </row>
    <row r="11" spans="1:9" s="669" customFormat="1" ht="22.5" customHeight="1" x14ac:dyDescent="0.2">
      <c r="A11" s="2305" t="s">
        <v>1942</v>
      </c>
      <c r="B11" s="2306"/>
      <c r="C11" s="2306"/>
      <c r="D11" s="2307"/>
      <c r="E11" s="978">
        <v>28315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4050305</v>
      </c>
      <c r="F19" s="1822"/>
      <c r="G19" s="1824">
        <f>'Expenditures 15-22'!K33-SUM('Expenditures 15-22'!G33,'Expenditures 15-22'!I33)+'Expenditures 15-22'!D229</f>
        <v>4050305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435787</v>
      </c>
      <c r="F21" s="1825"/>
      <c r="G21" s="1828">
        <f>'Expenditures 15-22'!K42-SUM('Expenditures 15-22'!G42,'Expenditures 15-22'!I42)+'Expenditures 15-22'!K120-SUM('Expenditures 15-22'!G120,'Expenditures 15-22'!I120)+'Expenditures 15-22'!K180-SUM('Expenditures 15-22'!G180,'Expenditures 15-22'!I180)+'Expenditures 15-22'!D238</f>
        <v>435787</v>
      </c>
      <c r="H21" s="988"/>
      <c r="I21" s="162"/>
    </row>
    <row r="22" spans="1:9" s="669" customFormat="1" ht="12" customHeight="1" x14ac:dyDescent="0.2">
      <c r="A22" s="995" t="s">
        <v>585</v>
      </c>
      <c r="B22" s="996"/>
      <c r="C22" s="994">
        <v>2200</v>
      </c>
      <c r="D22" s="1825"/>
      <c r="E22" s="1827">
        <f>'Expenditures 15-22'!K47-SUM('Expenditures 15-22'!G47,'Expenditures 15-22'!I47)+'Expenditures 15-22'!D243</f>
        <v>192814</v>
      </c>
      <c r="F22" s="1825"/>
      <c r="G22" s="1828">
        <f>'Expenditures 15-22'!K47-SUM('Expenditures 15-22'!G47,'Expenditures 15-22'!I47)+'Expenditures 15-22'!D243</f>
        <v>192814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1096235</v>
      </c>
      <c r="F23" s="1825"/>
      <c r="G23" s="1827">
        <f>'Expenditures 15-22'!K53-SUM('Expenditures 15-22'!G53,'Expenditures 15-22'!I53)+'Expenditures 15-22'!D257+'Expenditures 15-22'!K330-SUM('Expenditures 15-22'!G330,'Expenditures 15-22'!I330)</f>
        <v>1096235</v>
      </c>
      <c r="H23" s="988"/>
      <c r="I23" s="162"/>
    </row>
    <row r="24" spans="1:9" s="669" customFormat="1" ht="12" customHeight="1" x14ac:dyDescent="0.2">
      <c r="A24" s="995" t="s">
        <v>587</v>
      </c>
      <c r="B24" s="996"/>
      <c r="C24" s="994">
        <v>2400</v>
      </c>
      <c r="D24" s="1825"/>
      <c r="E24" s="1827">
        <f>'Expenditures 15-22'!K57-SUM('Expenditures 15-22'!G57,'Expenditures 15-22'!I57)+'Expenditures 15-22'!D261</f>
        <v>462582</v>
      </c>
      <c r="F24" s="1825"/>
      <c r="G24" s="1828">
        <f>'Expenditures 15-22'!K57-SUM('Expenditures 15-22'!G57,'Expenditures 15-22'!I57)+'Expenditures 15-22'!D261</f>
        <v>462582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62888</v>
      </c>
      <c r="E27" s="1827">
        <f>E8</f>
        <v>0</v>
      </c>
      <c r="F27" s="1827">
        <f>'Expenditures 15-22'!K60-SUM('Expenditures 15-22'!G60,'Expenditures 15-22'!I60)+'Expenditures 15-22'!D264-E8</f>
        <v>62888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668858</v>
      </c>
      <c r="F28" s="1829">
        <f>'Expenditures 15-22'!K61-SUM('Expenditures 15-22'!G61,'Expenditures 15-22'!I61)+'Expenditures 15-22'!K124-SUM('Expenditures 15-22'!G124,'Expenditures 15-22'!I124)+'Expenditures 15-22'!D266-E9</f>
        <v>668858</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657680</v>
      </c>
      <c r="F29" s="1825"/>
      <c r="G29" s="1828">
        <f>'Expenditures 15-22'!K62-SUM('Expenditures 15-22'!G62,'Expenditures 15-22'!I62)+'Expenditures 15-22'!K125-SUM('Expenditures 15-22'!G125,'Expenditures 15-22'!I125)+'Expenditures 15-22'!K182-SUM('Expenditures 15-22'!G182,'Expenditures 15-22'!I182)+'Expenditures 15-22'!D267</f>
        <v>657680</v>
      </c>
      <c r="H29" s="986"/>
    </row>
    <row r="30" spans="1:9" ht="12" customHeight="1" x14ac:dyDescent="0.2">
      <c r="A30" s="995" t="s">
        <v>102</v>
      </c>
      <c r="B30" s="998"/>
      <c r="C30" s="994">
        <v>2560</v>
      </c>
      <c r="D30" s="1825"/>
      <c r="E30" s="1827">
        <f>'Expenditures 15-22'!K63-SUM('Expenditures 15-22'!G63,'Expenditures 15-22'!I63)+'Expenditures 15-22'!D268-E10</f>
        <v>36946</v>
      </c>
      <c r="F30" s="1825"/>
      <c r="G30" s="1827">
        <f>'Expenditures 15-22'!K63-SUM('Expenditures 15-22'!G63,'Expenditures 15-22'!I63)+'Expenditures 15-22'!D268-E10</f>
        <v>36946</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217186</v>
      </c>
      <c r="F39" s="1825"/>
      <c r="G39" s="1827">
        <f>'Expenditures 15-22'!K75-SUM('Expenditures 15-22'!G75,'Expenditures 15-22'!I75)+'Expenditures 15-22'!K130-SUM('Expenditures 15-22'!G130,'Expenditures 15-22'!I130)+'Expenditures 15-22'!K185-SUM('Expenditures 15-22'!G185,'Expenditures 15-22'!I185)+'Expenditures 15-22'!D280</f>
        <v>217186</v>
      </c>
    </row>
    <row r="40" spans="1:7" ht="12" customHeight="1" x14ac:dyDescent="0.2">
      <c r="A40" s="991" t="s">
        <v>1927</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62888</v>
      </c>
      <c r="E41" s="1829">
        <f>SUM(E19:E40)</f>
        <v>7818393</v>
      </c>
      <c r="F41" s="1829">
        <f>SUM(F19:F39)</f>
        <v>731746</v>
      </c>
      <c r="G41" s="1829">
        <f>SUM(G19:G40)</f>
        <v>7149535</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62888</v>
      </c>
      <c r="F43" s="1830" t="s">
        <v>495</v>
      </c>
      <c r="G43" s="1831">
        <f>F41</f>
        <v>731746</v>
      </c>
    </row>
    <row r="44" spans="1:7" ht="12" customHeight="1" x14ac:dyDescent="0.2">
      <c r="A44" s="988"/>
      <c r="B44" s="162"/>
      <c r="C44" s="1002"/>
      <c r="D44" s="1830" t="s">
        <v>494</v>
      </c>
      <c r="E44" s="1831">
        <f>E41</f>
        <v>7818393</v>
      </c>
      <c r="F44" s="1830" t="s">
        <v>494</v>
      </c>
      <c r="G44" s="1831">
        <f>G41</f>
        <v>7149535</v>
      </c>
    </row>
    <row r="45" spans="1:7" ht="12" customHeight="1" x14ac:dyDescent="0.2">
      <c r="A45" s="988"/>
      <c r="B45" s="162"/>
      <c r="C45" s="162"/>
      <c r="D45" s="1832" t="s">
        <v>1063</v>
      </c>
      <c r="E45" s="1833">
        <f>(E43/E44)</f>
        <v>8.043596682847742E-3</v>
      </c>
      <c r="F45" s="1832" t="s">
        <v>1063</v>
      </c>
      <c r="G45" s="1833">
        <f>(G43/G44)</f>
        <v>0.1023487541497454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pageMargins left="0.75" right="0.75" top="1" bottom="0.5" header="0.5" footer="0.5"/>
  <pageSetup scale="77" firstPageNumber="30" orientation="landscape" r:id="rId1"/>
  <headerFooter>
    <oddHeader>&amp;C&amp;"Times New Roman,Regular"HARMONY-EMGE SCHOOL DISTRICT NO. 175
ESTIMATED INDIRECT COST RATE DATA
FOR THE YEAR ENDED JUNE 30, 2018</oddHeader>
    <oddFooter>&amp;C&amp;"Times New Roman,Regular"See Independent Auditor's Reports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F38" sqref="AF38"/>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2045</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Harmony-Emge SD 175</v>
      </c>
      <c r="D6" s="2315"/>
      <c r="E6" s="2315"/>
      <c r="F6" s="1877"/>
    </row>
    <row r="7" spans="1:10" ht="11.25" customHeight="1" thickBot="1" x14ac:dyDescent="0.3">
      <c r="A7" s="1875"/>
      <c r="B7" s="1876"/>
      <c r="C7" s="2316">
        <f>COVER!A13</f>
        <v>50082175002</v>
      </c>
      <c r="D7" s="2316"/>
      <c r="E7" s="2316"/>
      <c r="F7" s="1877"/>
    </row>
    <row r="8" spans="1:10" ht="25.5" customHeight="1" thickBot="1" x14ac:dyDescent="0.25">
      <c r="A8" s="1918" t="s">
        <v>2022</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t="s">
        <v>2074</v>
      </c>
      <c r="D21" s="1890" t="s">
        <v>2074</v>
      </c>
      <c r="E21" s="1893" t="s">
        <v>2074</v>
      </c>
      <c r="F21" s="1892" t="s">
        <v>2095</v>
      </c>
      <c r="H21" s="1903">
        <f t="shared" si="0"/>
        <v>5</v>
      </c>
      <c r="I21" s="1903">
        <f t="shared" si="1"/>
        <v>5</v>
      </c>
      <c r="J21" s="1903">
        <f t="shared" si="2"/>
        <v>5</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2074</v>
      </c>
      <c r="D26" s="1890" t="s">
        <v>2074</v>
      </c>
      <c r="E26" s="1893" t="s">
        <v>2074</v>
      </c>
      <c r="F26" s="1892" t="s">
        <v>2096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t="s">
        <v>2074</v>
      </c>
      <c r="D29" s="1890" t="s">
        <v>2074</v>
      </c>
      <c r="E29" s="1893" t="s">
        <v>2074</v>
      </c>
      <c r="F29" s="1892" t="s">
        <v>2097</v>
      </c>
      <c r="H29" s="1903">
        <f t="shared" si="0"/>
        <v>5</v>
      </c>
      <c r="I29" s="1903">
        <f t="shared" si="1"/>
        <v>5</v>
      </c>
      <c r="J29" s="1903">
        <f t="shared" si="2"/>
        <v>5</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15</v>
      </c>
      <c r="I34" s="1903">
        <f>SUM(I11:I32)</f>
        <v>15</v>
      </c>
      <c r="J34" s="1903">
        <f>SUM(J11:J32)</f>
        <v>15</v>
      </c>
      <c r="K34" s="1903">
        <f>SUM(H34:J34)</f>
        <v>45</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25" bottom="0.5" header="0.5" footer="0.5"/>
  <pageSetup scale="76" orientation="landscape" r:id="rId1"/>
  <headerFooter>
    <oddHeader>&amp;C&amp;"Times New Roman,Regular"
HARMONY-EMGE SCHOOL DISTRICT NO. 175</oddHeader>
    <oddFooter>&amp;C&amp;"Times New Roman,Regular"See Independent Auditor's Reports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E1"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Harmony-Emge SD 175</v>
      </c>
      <c r="J6" s="2336"/>
      <c r="Q6" s="1686"/>
    </row>
    <row r="7" spans="1:17" x14ac:dyDescent="0.2">
      <c r="A7" s="2337" t="s">
        <v>924</v>
      </c>
      <c r="B7" s="2338"/>
      <c r="C7" s="2338"/>
      <c r="D7" s="2338"/>
      <c r="E7" s="2339"/>
      <c r="F7" s="1018"/>
      <c r="G7" s="1010"/>
      <c r="H7" s="1017" t="s">
        <v>390</v>
      </c>
      <c r="I7" s="2340">
        <f>COVER!A13</f>
        <v>50082175002</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195511</v>
      </c>
      <c r="F12" s="1040"/>
      <c r="G12" s="1834">
        <f t="shared" ref="G12:G18" si="0">SUM(E12:F12)</f>
        <v>195511</v>
      </c>
      <c r="H12" s="1041">
        <v>191272</v>
      </c>
      <c r="I12" s="1040"/>
      <c r="J12" s="1834">
        <f t="shared" ref="J12:J18" si="1">SUM(H12:I12)</f>
        <v>191272</v>
      </c>
    </row>
    <row r="13" spans="1:17" ht="15" customHeight="1" x14ac:dyDescent="0.2">
      <c r="A13" s="1036">
        <v>2</v>
      </c>
      <c r="B13" s="1037" t="s">
        <v>44</v>
      </c>
      <c r="C13" s="1038"/>
      <c r="D13" s="1039">
        <v>2330</v>
      </c>
      <c r="E13" s="1834">
        <f>'Expenditures 15-22'!K51</f>
        <v>15870</v>
      </c>
      <c r="F13" s="1040"/>
      <c r="G13" s="1834">
        <f t="shared" si="0"/>
        <v>15870</v>
      </c>
      <c r="H13" s="1041">
        <v>23441</v>
      </c>
      <c r="I13" s="1040"/>
      <c r="J13" s="1834">
        <f t="shared" si="1"/>
        <v>23441</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211381</v>
      </c>
      <c r="F19" s="1836">
        <f t="shared" si="2"/>
        <v>0</v>
      </c>
      <c r="G19" s="1836">
        <f t="shared" si="2"/>
        <v>211381</v>
      </c>
      <c r="H19" s="1836">
        <f t="shared" si="2"/>
        <v>214713</v>
      </c>
      <c r="I19" s="1836">
        <f t="shared" si="2"/>
        <v>0</v>
      </c>
      <c r="J19" s="1836">
        <f t="shared" si="2"/>
        <v>214713</v>
      </c>
    </row>
    <row r="20" spans="1:10" ht="13.5" thickTop="1" x14ac:dyDescent="0.2">
      <c r="A20" s="1036">
        <v>9</v>
      </c>
      <c r="B20" s="2347" t="s">
        <v>1703</v>
      </c>
      <c r="C20" s="2347"/>
      <c r="D20" s="2348"/>
      <c r="E20" s="1047"/>
      <c r="F20" s="1047"/>
      <c r="G20" s="1047"/>
      <c r="H20" s="1047"/>
      <c r="I20" s="1047"/>
      <c r="J20" s="1837">
        <f>IF(AND(G19&gt;0,J19&gt;0),(((J19-G19)/G19)),"Enter Budget Data")</f>
        <v>1.5763006135840023E-2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1941</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5" firstPageNumber="31" orientation="landscape" r:id="rId1"/>
  <headerFooter>
    <oddHeader>&amp;C&amp;"Times New Roman,Regular"HARMONY-EMGE SCHOOL DISTRICT NO. 175
LIMITATION OF ADMINISTRATIVE COSTS WORKSHEET
FOR THE YEAR ENDED JUNE 30, 2018</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7" sqref="A16:A3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2155</v>
      </c>
    </row>
    <row r="6" spans="1:2" x14ac:dyDescent="0.2">
      <c r="A6" s="1069">
        <v>2</v>
      </c>
      <c r="B6" s="329" t="s">
        <v>2156</v>
      </c>
    </row>
    <row r="7" spans="1:2" x14ac:dyDescent="0.2">
      <c r="A7" s="1069">
        <v>3</v>
      </c>
      <c r="B7" s="329" t="s">
        <v>2157</v>
      </c>
    </row>
    <row r="8" spans="1:2" x14ac:dyDescent="0.2">
      <c r="A8" s="1069">
        <v>4</v>
      </c>
      <c r="B8" s="329" t="s">
        <v>2158</v>
      </c>
    </row>
    <row r="9" spans="1:2" x14ac:dyDescent="0.2">
      <c r="A9" s="1070">
        <v>5</v>
      </c>
      <c r="B9" s="329" t="s">
        <v>2159</v>
      </c>
    </row>
    <row r="10" spans="1:2" x14ac:dyDescent="0.2">
      <c r="A10" s="1070">
        <v>6</v>
      </c>
      <c r="B10" s="329" t="s">
        <v>2160</v>
      </c>
    </row>
    <row r="11" spans="1:2" x14ac:dyDescent="0.2">
      <c r="A11" s="1070">
        <v>7</v>
      </c>
      <c r="B11" s="329" t="s">
        <v>2161</v>
      </c>
    </row>
    <row r="12" spans="1:2" x14ac:dyDescent="0.2">
      <c r="A12" s="1070">
        <v>8</v>
      </c>
      <c r="B12" s="329" t="s">
        <v>2162</v>
      </c>
    </row>
    <row r="13" spans="1:2" x14ac:dyDescent="0.2">
      <c r="A13" s="1070">
        <v>9</v>
      </c>
      <c r="B13" s="329" t="s">
        <v>2163</v>
      </c>
    </row>
    <row r="14" spans="1:2" x14ac:dyDescent="0.2">
      <c r="A14" s="1070">
        <v>10</v>
      </c>
      <c r="B14" s="329" t="s">
        <v>2164</v>
      </c>
    </row>
    <row r="15" spans="1:2" x14ac:dyDescent="0.2">
      <c r="A15" s="1070">
        <v>11</v>
      </c>
      <c r="B15" s="329" t="s">
        <v>2165</v>
      </c>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Harmony-Emge SD 175</v>
      </c>
    </row>
    <row r="65" spans="2:2" x14ac:dyDescent="0.2">
      <c r="B65" s="1071">
        <f>COVER!A13</f>
        <v>50082175002</v>
      </c>
    </row>
  </sheetData>
  <phoneticPr fontId="12" type="noConversion"/>
  <printOptions horizontalCentered="1"/>
  <pageMargins left="0.75" right="0.75" top="1.1000000000000001" bottom="0.5" header="0.5" footer="0.5"/>
  <pageSetup scale="80" firstPageNumber="32" orientation="portrait" r:id="rId1"/>
  <headerFooter>
    <oddHeader>&amp;C&amp;"Times New Roman,Regular"HARMONY-EMGE SCHOOL DISTRICT NO. 175
ITEMIZATION SCHEDULE
FOR THE YEAR ENDED JUNE 30, 2018</oddHeader>
    <oddFooter>&amp;C&amp;"Times New Roman,Regular"See Independent Auditor's Reports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F38" sqref="AF3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rintOptions horizontalCentered="1"/>
  <pageMargins left="0.75" right="0.75" top="1" bottom="0.5" header="0.5" footer="0.5"/>
  <pageSetup scale="75" firstPageNumber="33" orientation="landscape" r:id="rId1"/>
  <headerFooter>
    <oddHeader>&amp;C
&amp;"Times New Roman,Regular"FOR THE YEAR ENDED JUNE 30, 2018</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rintOptions horizontalCentered="1"/>
  <pageMargins left="0.75" right="0.75" top="1" bottom="0.5" header="0.5" footer="0.5"/>
  <pageSetup scale="75" firstPageNumber="34" orientation="landscape" r:id="rId1"/>
  <headerFooter>
    <oddHeader>&amp;C
&amp;"Times New Roman,Regular"FOR THE YEAR ENDED JUNE 30, 2018</oddHeader>
    <oddFooter>&amp;C&amp;"Times New Roman,Regular"See Independent Auditor's Reports
&amp;P</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314325</xdr:colOff>
                <xdr:row>2</xdr:row>
                <xdr:rowOff>142875</xdr:rowOff>
              </from>
              <to>
                <xdr:col>1</xdr:col>
                <xdr:colOff>1219200</xdr:colOff>
                <xdr:row>7</xdr:row>
                <xdr:rowOff>9525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activeCell="W11" sqref="W1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2053</v>
      </c>
      <c r="B4" s="2375"/>
      <c r="C4" s="2375"/>
      <c r="D4" s="2375"/>
      <c r="E4" s="2375"/>
      <c r="F4" s="2376"/>
      <c r="G4" s="1075"/>
      <c r="H4" s="1075"/>
    </row>
    <row r="5" spans="1:8" ht="14.25" customHeight="1" x14ac:dyDescent="0.2">
      <c r="A5" s="2377" t="s">
        <v>2054</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7450209</v>
      </c>
      <c r="C8" s="1838">
        <f>'Acct Summary 7-8'!D8</f>
        <v>682883</v>
      </c>
      <c r="D8" s="1838">
        <f>'Acct Summary 7-8'!F8</f>
        <v>862741</v>
      </c>
      <c r="E8" s="1838">
        <f>'Acct Summary 7-8'!I8</f>
        <v>60810</v>
      </c>
      <c r="F8" s="1838">
        <f>SUM(B8:E8)</f>
        <v>9056643</v>
      </c>
    </row>
    <row r="9" spans="1:8" s="1080" customFormat="1" ht="14.25" customHeight="1" thickBot="1" x14ac:dyDescent="0.25">
      <c r="A9" s="1079" t="s">
        <v>1436</v>
      </c>
      <c r="B9" s="1839">
        <f>'Acct Summary 7-8'!C17</f>
        <v>6725610</v>
      </c>
      <c r="C9" s="1839">
        <f>'Acct Summary 7-8'!D17</f>
        <v>597839</v>
      </c>
      <c r="D9" s="1839">
        <f>'Acct Summary 7-8'!F17</f>
        <v>1599562</v>
      </c>
      <c r="E9" s="1838"/>
      <c r="F9" s="1838">
        <f>SUM(B9:E9)</f>
        <v>8923011</v>
      </c>
    </row>
    <row r="10" spans="1:8" s="1080" customFormat="1" ht="14.25" thickTop="1" thickBot="1" x14ac:dyDescent="0.25">
      <c r="A10" s="1081" t="s">
        <v>1437</v>
      </c>
      <c r="B10" s="1840">
        <f>(B8-B9)</f>
        <v>724599</v>
      </c>
      <c r="C10" s="1840">
        <f>(C8-C9)</f>
        <v>85044</v>
      </c>
      <c r="D10" s="1840">
        <f>(D8-D9)</f>
        <v>-736821</v>
      </c>
      <c r="E10" s="1839">
        <f>(E8-E9)</f>
        <v>60810</v>
      </c>
      <c r="F10" s="1841">
        <f>SUM(F8-F9)</f>
        <v>133632</v>
      </c>
    </row>
    <row r="11" spans="1:8" s="1080" customFormat="1" ht="14.25" thickTop="1" thickBot="1" x14ac:dyDescent="0.25">
      <c r="A11" s="1082" t="s">
        <v>1785</v>
      </c>
      <c r="B11" s="1842">
        <f>'Acct Summary 7-8'!C81</f>
        <v>1698736</v>
      </c>
      <c r="C11" s="1842">
        <f>'Acct Summary 7-8'!D81</f>
        <v>243041</v>
      </c>
      <c r="D11" s="1842">
        <f>'Acct Summary 7-8'!F81</f>
        <v>410548</v>
      </c>
      <c r="E11" s="1842">
        <f>'Acct Summary 7-8'!I81</f>
        <v>459995</v>
      </c>
      <c r="F11" s="1843">
        <f>SUM(B11:E11)</f>
        <v>2812320</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5" bottom="0.5" header="0.5" footer="0.5"/>
  <pageSetup firstPageNumber="19" fitToHeight="0" orientation="landscape" r:id="rId1"/>
  <headerFooter>
    <oddHeader>&amp;C&amp;"Times New Roman,Regular"HARMONY-EMGE SCHOOL DISTRICT NO. 175
DEFICIT ANNUAL FINANCIAL REPORT (AFR) SUMMARY INFORMATION
FOR THE YEAR ENDED JUNE 30, 2018</oddHeader>
    <oddFooter>&amp;C&amp;"Times New Roman,Regular"See Independent Auditor's Reports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rintOptions horizontalCentered="1"/>
  <pageMargins left="0.75" right="0.75" top="1" bottom="0.5" header="0.5" footer="0.5"/>
  <pageSetup scale="75" firstPageNumber="32" orientation="landscape" r:id="rId1"/>
  <headerFooter>
    <oddHeader>&amp;C
&amp;"Times New Roman,Regular"FOR THE YEAR ENDED JUNE 30, 2018</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50082175002</v>
      </c>
    </row>
    <row r="3" spans="1:2" x14ac:dyDescent="0.2">
      <c r="A3" t="s">
        <v>1013</v>
      </c>
      <c r="B3" s="138" t="str">
        <f>COVER!A15</f>
        <v>ST. CLAIR</v>
      </c>
    </row>
    <row r="4" spans="1:2" x14ac:dyDescent="0.2">
      <c r="A4" t="s">
        <v>1064</v>
      </c>
      <c r="B4" s="138" t="str">
        <f>COVER!A17</f>
        <v>Harmony-Emge SD 175</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066-005060</v>
      </c>
    </row>
    <row r="16" spans="1:2" x14ac:dyDescent="0.2">
      <c r="A16" t="s">
        <v>442</v>
      </c>
      <c r="B16" s="138" t="str">
        <f>COVER!T13</f>
        <v>DENNIS ROSE &amp; ASSOCIATES, P.C.</v>
      </c>
    </row>
    <row r="17" spans="1:2" x14ac:dyDescent="0.2">
      <c r="A17" t="s">
        <v>939</v>
      </c>
      <c r="B17" s="138" t="str">
        <f>COVER!T15</f>
        <v>DENNIS ROSE</v>
      </c>
    </row>
    <row r="18" spans="1:2" x14ac:dyDescent="0.2">
      <c r="A18" t="s">
        <v>1212</v>
      </c>
      <c r="B18" s="138" t="str">
        <f>COVER!T17</f>
        <v xml:space="preserve">1904 STATE STREET </v>
      </c>
    </row>
    <row r="19" spans="1:2" x14ac:dyDescent="0.2">
      <c r="A19" t="s">
        <v>941</v>
      </c>
      <c r="B19" s="138" t="str">
        <f>COVER!T25</f>
        <v>DROSECPA@DRA-CPA.COM</v>
      </c>
    </row>
    <row r="20" spans="1:2" x14ac:dyDescent="0.2">
      <c r="A20" t="s">
        <v>942</v>
      </c>
      <c r="B20" s="138" t="str">
        <f>COVER!T19</f>
        <v>ALTON</v>
      </c>
    </row>
    <row r="21" spans="1:2" x14ac:dyDescent="0.2">
      <c r="A21" t="s">
        <v>500</v>
      </c>
      <c r="B21" s="138" t="str">
        <f>COVER!X19</f>
        <v>IL</v>
      </c>
    </row>
    <row r="22" spans="1:2" x14ac:dyDescent="0.2">
      <c r="A22" t="s">
        <v>943</v>
      </c>
      <c r="B22" s="138">
        <f>COVER!Z19</f>
        <v>62002</v>
      </c>
    </row>
    <row r="23" spans="1:2" x14ac:dyDescent="0.2">
      <c r="A23" t="s">
        <v>1214</v>
      </c>
      <c r="B23" s="138" t="str">
        <f>COVER!T21</f>
        <v>618-465-4999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1701324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2588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2588</v>
      </c>
      <c r="C91" s="2" t="s">
        <v>594</v>
      </c>
      <c r="D91" s="2" t="str">
        <f t="shared" si="0"/>
        <v>Error?</v>
      </c>
    </row>
    <row r="92" spans="1:4" x14ac:dyDescent="0.2">
      <c r="A92" s="5">
        <v>31</v>
      </c>
      <c r="B92" s="138">
        <f>'Assets-Liab 5-6'!C39</f>
        <v>1698736</v>
      </c>
      <c r="D92" s="2" t="str">
        <f t="shared" si="0"/>
        <v>Error?</v>
      </c>
    </row>
    <row r="93" spans="1:4" x14ac:dyDescent="0.2">
      <c r="A93" s="5">
        <v>32</v>
      </c>
      <c r="B93" s="138">
        <f>'Assets-Liab 5-6'!C41</f>
        <v>1701324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243041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243041</v>
      </c>
      <c r="D123" s="2" t="str">
        <f t="shared" si="0"/>
        <v>Error?</v>
      </c>
    </row>
    <row r="124" spans="1:4" x14ac:dyDescent="0.2">
      <c r="A124" s="5">
        <v>63</v>
      </c>
      <c r="B124" s="138">
        <f>'Assets-Liab 5-6'!D41</f>
        <v>243041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443684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443684</v>
      </c>
      <c r="D140" s="2" t="str">
        <f t="shared" si="1"/>
        <v>Error?</v>
      </c>
    </row>
    <row r="141" spans="1:4" x14ac:dyDescent="0.2">
      <c r="A141" s="5">
        <v>80</v>
      </c>
      <c r="B141" s="138">
        <f>'Assets-Liab 5-6'!E41</f>
        <v>443684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411628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1080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1080</v>
      </c>
      <c r="C169" s="2" t="s">
        <v>594</v>
      </c>
      <c r="D169" s="2" t="str">
        <f t="shared" si="1"/>
        <v>Error?</v>
      </c>
    </row>
    <row r="170" spans="1:4" x14ac:dyDescent="0.2">
      <c r="A170" s="5">
        <v>109</v>
      </c>
      <c r="B170" s="138">
        <f>'Assets-Liab 5-6'!F39</f>
        <v>410548</v>
      </c>
      <c r="D170" s="2" t="str">
        <f t="shared" si="1"/>
        <v>Error?</v>
      </c>
    </row>
    <row r="171" spans="1:4" x14ac:dyDescent="0.2">
      <c r="A171" s="5">
        <v>110</v>
      </c>
      <c r="B171" s="138">
        <f>'Assets-Liab 5-6'!F41</f>
        <v>411628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246145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56263</v>
      </c>
      <c r="D189" s="2" t="str">
        <f t="shared" si="1"/>
        <v>Error?</v>
      </c>
    </row>
    <row r="190" spans="1:4" x14ac:dyDescent="0.2">
      <c r="A190" s="5">
        <v>129</v>
      </c>
      <c r="B190" s="138">
        <f>'Assets-Liab 5-6'!G41</f>
        <v>246145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287622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287622</v>
      </c>
      <c r="D212" s="2" t="str">
        <f t="shared" si="2"/>
        <v>Error?</v>
      </c>
    </row>
    <row r="213" spans="1:4" x14ac:dyDescent="0.2">
      <c r="A213" s="12">
        <v>152</v>
      </c>
      <c r="B213" s="138">
        <f>'Assets-Liab 5-6'!H41</f>
        <v>287622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137311</v>
      </c>
      <c r="D273" s="2" t="str">
        <f t="shared" si="3"/>
        <v>Error?</v>
      </c>
    </row>
    <row r="274" spans="1:4" x14ac:dyDescent="0.2">
      <c r="A274" s="5">
        <v>213</v>
      </c>
      <c r="B274" s="138">
        <f>'Assets-Liab 5-6'!M17</f>
        <v>17979143</v>
      </c>
      <c r="D274" s="2" t="str">
        <f t="shared" si="3"/>
        <v>Error?</v>
      </c>
    </row>
    <row r="275" spans="1:4" x14ac:dyDescent="0.2">
      <c r="A275" s="5">
        <v>214</v>
      </c>
      <c r="B275" s="138">
        <f>'Assets-Liab 5-6'!M18</f>
        <v>0</v>
      </c>
      <c r="D275" s="2" t="str">
        <f t="shared" si="3"/>
        <v>Error?</v>
      </c>
    </row>
    <row r="276" spans="1:4" x14ac:dyDescent="0.2">
      <c r="A276" s="5">
        <v>215</v>
      </c>
      <c r="B276" s="138">
        <f>'Assets-Liab 5-6'!M19</f>
        <v>1840355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19956809</v>
      </c>
      <c r="C279" s="2" t="s">
        <v>594</v>
      </c>
      <c r="D279" s="2" t="str">
        <f t="shared" si="3"/>
        <v>Error?</v>
      </c>
    </row>
    <row r="280" spans="1:4" x14ac:dyDescent="0.2">
      <c r="A280" s="5">
        <v>219</v>
      </c>
      <c r="B280" s="138">
        <f>'Assets-Liab 5-6'!M40</f>
        <v>19956809</v>
      </c>
      <c r="D280" s="2" t="str">
        <f t="shared" si="3"/>
        <v>Error?</v>
      </c>
    </row>
    <row r="281" spans="1:4" x14ac:dyDescent="0.2">
      <c r="A281" s="5">
        <v>220</v>
      </c>
      <c r="B281" s="138">
        <f>'Assets-Liab 5-6'!M41</f>
        <v>19956809</v>
      </c>
      <c r="C281" s="2" t="s">
        <v>594</v>
      </c>
      <c r="D281" s="2" t="str">
        <f t="shared" si="3"/>
        <v>Error?</v>
      </c>
    </row>
    <row r="282" spans="1:4" x14ac:dyDescent="0.2">
      <c r="A282" s="5">
        <v>221</v>
      </c>
      <c r="B282" s="138">
        <f>'Assets-Liab 5-6'!N21</f>
        <v>443684</v>
      </c>
      <c r="D282" s="2" t="str">
        <f t="shared" si="3"/>
        <v>Error?</v>
      </c>
    </row>
    <row r="283" spans="1:4" x14ac:dyDescent="0.2">
      <c r="A283" s="5">
        <v>222</v>
      </c>
      <c r="B283" s="138">
        <f>'Assets-Liab 5-6'!N22</f>
        <v>6703118</v>
      </c>
      <c r="D283" s="2" t="str">
        <f t="shared" si="3"/>
        <v>Error?</v>
      </c>
    </row>
    <row r="284" spans="1:4" x14ac:dyDescent="0.2">
      <c r="A284" s="5">
        <v>223</v>
      </c>
      <c r="B284" s="138">
        <f>'Assets-Liab 5-6'!N23</f>
        <v>7146802</v>
      </c>
      <c r="C284" s="2" t="s">
        <v>594</v>
      </c>
      <c r="D284" s="2" t="str">
        <f t="shared" si="3"/>
        <v>Error?</v>
      </c>
    </row>
    <row r="285" spans="1:4" x14ac:dyDescent="0.2">
      <c r="A285" s="5">
        <v>224</v>
      </c>
      <c r="B285" s="138">
        <f>'Assets-Liab 5-6'!N36</f>
        <v>7146802</v>
      </c>
      <c r="D285" s="2" t="str">
        <f t="shared" si="3"/>
        <v>Error?</v>
      </c>
    </row>
    <row r="286" spans="1:4" x14ac:dyDescent="0.2">
      <c r="A286" s="10">
        <v>225</v>
      </c>
      <c r="D286" s="2" t="str">
        <f t="shared" si="3"/>
        <v>OK</v>
      </c>
    </row>
    <row r="287" spans="1:4" x14ac:dyDescent="0.2">
      <c r="A287" s="5">
        <v>226</v>
      </c>
      <c r="B287" s="138">
        <f>'Assets-Liab 5-6'!N37</f>
        <v>7146802</v>
      </c>
      <c r="C287" s="2" t="s">
        <v>594</v>
      </c>
      <c r="D287" s="2" t="str">
        <f t="shared" si="3"/>
        <v>Error?</v>
      </c>
    </row>
    <row r="288" spans="1:4" x14ac:dyDescent="0.2">
      <c r="A288" s="5">
        <v>227</v>
      </c>
      <c r="B288" s="138">
        <f>'Assets-Liab 5-6'!N41</f>
        <v>7146802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1764275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12340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2969429</v>
      </c>
      <c r="C720" s="2" t="s">
        <v>594</v>
      </c>
      <c r="D720" s="2" t="str">
        <f t="shared" si="10"/>
        <v>Error?</v>
      </c>
    </row>
    <row r="721" spans="1:4" x14ac:dyDescent="0.2">
      <c r="A721" s="5">
        <v>660</v>
      </c>
      <c r="B721" s="138">
        <f>'Expenditures 15-22'!C36</f>
        <v>66651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37155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99033</v>
      </c>
      <c r="D725" s="2" t="str">
        <f t="shared" si="10"/>
        <v>Error?</v>
      </c>
    </row>
    <row r="726" spans="1:4" x14ac:dyDescent="0.2">
      <c r="A726" s="5">
        <v>665</v>
      </c>
      <c r="B726" s="138">
        <f>'Expenditures 15-22'!C41</f>
        <v>57657</v>
      </c>
      <c r="D726" s="2" t="str">
        <f t="shared" si="10"/>
        <v>Error?</v>
      </c>
    </row>
    <row r="727" spans="1:4" x14ac:dyDescent="0.2">
      <c r="A727" s="5">
        <v>666</v>
      </c>
      <c r="B727" s="138">
        <f>'Expenditures 15-22'!C42</f>
        <v>260496</v>
      </c>
      <c r="C727" s="2" t="s">
        <v>594</v>
      </c>
      <c r="D727" s="2" t="str">
        <f t="shared" si="10"/>
        <v>Error?</v>
      </c>
    </row>
    <row r="728" spans="1:4" x14ac:dyDescent="0.2">
      <c r="A728" s="5">
        <v>667</v>
      </c>
      <c r="B728" s="138">
        <f>'Expenditures 15-22'!C44</f>
        <v>1810</v>
      </c>
      <c r="D728" s="2" t="str">
        <f t="shared" si="10"/>
        <v>Error?</v>
      </c>
    </row>
    <row r="729" spans="1:4" x14ac:dyDescent="0.2">
      <c r="A729" s="5">
        <v>668</v>
      </c>
      <c r="B729" s="138">
        <f>'Expenditures 15-22'!C45</f>
        <v>45368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47178</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138336</v>
      </c>
      <c r="D733" s="2" t="str">
        <f t="shared" si="10"/>
        <v>Error?</v>
      </c>
    </row>
    <row r="734" spans="1:4" x14ac:dyDescent="0.2">
      <c r="A734" s="5">
        <v>673</v>
      </c>
      <c r="B734" s="138">
        <f>'Expenditures 15-22'!C53</f>
        <v>152588</v>
      </c>
      <c r="C734" s="2" t="s">
        <v>594</v>
      </c>
      <c r="D734" s="2" t="str">
        <f t="shared" si="10"/>
        <v>Error?</v>
      </c>
    </row>
    <row r="735" spans="1:4" x14ac:dyDescent="0.2">
      <c r="A735" s="5">
        <v>674</v>
      </c>
      <c r="B735" s="138">
        <f>'Expenditures 15-22'!C55</f>
        <v>303913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303913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49073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152784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201857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966032</v>
      </c>
      <c r="C755" s="2" t="s">
        <v>594</v>
      </c>
      <c r="D755" s="2" t="str">
        <f t="shared" si="10"/>
        <v>Error?</v>
      </c>
    </row>
    <row r="756" spans="1:4" x14ac:dyDescent="0.2">
      <c r="A756" s="5">
        <v>695</v>
      </c>
      <c r="B756" s="138">
        <f>'Expenditures 15-22'!C75</f>
        <v>181517</v>
      </c>
      <c r="D756" s="2" t="str">
        <f t="shared" si="10"/>
        <v>Error?</v>
      </c>
    </row>
    <row r="757" spans="1:4" x14ac:dyDescent="0.2">
      <c r="A757" s="5">
        <v>696</v>
      </c>
      <c r="B757" s="138">
        <f>'Expenditures 15-22'!C114</f>
        <v>4116978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498162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4175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730619</v>
      </c>
      <c r="C778" s="2" t="s">
        <v>594</v>
      </c>
      <c r="D778" s="2" t="str">
        <f t="shared" si="11"/>
        <v>Error?</v>
      </c>
    </row>
    <row r="779" spans="1:4" x14ac:dyDescent="0.2">
      <c r="A779" s="5">
        <v>718</v>
      </c>
      <c r="B779" s="138">
        <f>'Expenditures 15-22'!D36</f>
        <v>28212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186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12463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40861</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51503</v>
      </c>
      <c r="D791" s="2" t="str">
        <f t="shared" si="11"/>
        <v>Error?</v>
      </c>
    </row>
    <row r="792" spans="1:4" x14ac:dyDescent="0.2">
      <c r="A792" s="5">
        <v>731</v>
      </c>
      <c r="B792" s="138">
        <f>'Expenditures 15-22'!D53</f>
        <v>53040</v>
      </c>
      <c r="C792" s="2" t="s">
        <v>594</v>
      </c>
      <c r="D792" s="2" t="str">
        <f t="shared" si="11"/>
        <v>Error?</v>
      </c>
    </row>
    <row r="793" spans="1:4" x14ac:dyDescent="0.2">
      <c r="A793" s="5">
        <v>732</v>
      </c>
      <c r="B793" s="138">
        <f>'Expenditures 15-22'!D55</f>
        <v>124348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124348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2229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4493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6722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224971</v>
      </c>
      <c r="C813" s="2" t="s">
        <v>594</v>
      </c>
      <c r="D813" s="2" t="str">
        <f t="shared" si="11"/>
        <v>Error?</v>
      </c>
    </row>
    <row r="814" spans="1:4" x14ac:dyDescent="0.2">
      <c r="A814" s="5">
        <v>753</v>
      </c>
      <c r="B814" s="138">
        <f>'Expenditures 15-22'!D75</f>
        <v>932</v>
      </c>
      <c r="D814" s="2" t="str">
        <f t="shared" si="11"/>
        <v>Error?</v>
      </c>
    </row>
    <row r="815" spans="1:4" x14ac:dyDescent="0.2">
      <c r="A815" s="5">
        <v>754</v>
      </c>
      <c r="B815" s="138">
        <f>'Expenditures 15-22'!D114</f>
        <v>956522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1650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38450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59132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45638</v>
      </c>
      <c r="D839" s="2" t="str">
        <f t="shared" si="12"/>
        <v>Error?</v>
      </c>
    </row>
    <row r="840" spans="1:4" x14ac:dyDescent="0.2">
      <c r="A840" s="5">
        <v>779</v>
      </c>
      <c r="B840" s="138">
        <f>'Expenditures 15-22'!E39</f>
        <v>46935</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17555</v>
      </c>
      <c r="D842" s="2" t="str">
        <f t="shared" si="12"/>
        <v>Error?</v>
      </c>
    </row>
    <row r="843" spans="1:4" x14ac:dyDescent="0.2">
      <c r="A843" s="5">
        <v>782</v>
      </c>
      <c r="B843" s="138">
        <f>'Expenditures 15-22'!E42</f>
        <v>110128</v>
      </c>
      <c r="C843" s="2" t="s">
        <v>594</v>
      </c>
      <c r="D843" s="2" t="str">
        <f t="shared" si="12"/>
        <v>Error?</v>
      </c>
    </row>
    <row r="844" spans="1:4" x14ac:dyDescent="0.2">
      <c r="A844" s="5">
        <v>783</v>
      </c>
      <c r="B844" s="138">
        <f>'Expenditures 15-22'!E44</f>
        <v>35735</v>
      </c>
      <c r="D844" s="2" t="str">
        <f t="shared" si="12"/>
        <v>Error?</v>
      </c>
    </row>
    <row r="845" spans="1:4" x14ac:dyDescent="0.2">
      <c r="A845" s="5">
        <v>784</v>
      </c>
      <c r="B845" s="138">
        <f>'Expenditures 15-22'!E45</f>
        <v>63080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98815</v>
      </c>
      <c r="C847" s="2" t="s">
        <v>594</v>
      </c>
      <c r="D847" s="2" t="str">
        <f t="shared" si="12"/>
        <v>Error?</v>
      </c>
    </row>
    <row r="848" spans="1:4" x14ac:dyDescent="0.2">
      <c r="A848" s="5">
        <v>787</v>
      </c>
      <c r="B848" s="138">
        <f>'Expenditures 15-22'!E49</f>
        <v>22794</v>
      </c>
      <c r="D848" s="2" t="str">
        <f t="shared" si="12"/>
        <v>Error?</v>
      </c>
    </row>
    <row r="849" spans="1:4" x14ac:dyDescent="0.2">
      <c r="A849" s="5">
        <v>788</v>
      </c>
      <c r="B849" s="138">
        <f>'Expenditures 15-22'!E50</f>
        <v>758</v>
      </c>
      <c r="D849" s="2" t="str">
        <f t="shared" si="12"/>
        <v>Error?</v>
      </c>
    </row>
    <row r="850" spans="1:4" x14ac:dyDescent="0.2">
      <c r="A850" s="5">
        <v>789</v>
      </c>
      <c r="B850" s="138">
        <f>'Expenditures 15-22'!E53</f>
        <v>23552</v>
      </c>
      <c r="C850" s="2" t="s">
        <v>594</v>
      </c>
      <c r="D850" s="2" t="str">
        <f t="shared" si="12"/>
        <v>Error?</v>
      </c>
    </row>
    <row r="851" spans="1:4" x14ac:dyDescent="0.2">
      <c r="A851" s="5">
        <v>790</v>
      </c>
      <c r="B851" s="138">
        <f>'Expenditures 15-22'!E55</f>
        <v>1806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1806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409</v>
      </c>
      <c r="D855" s="2" t="str">
        <f t="shared" si="12"/>
        <v>Error?</v>
      </c>
    </row>
    <row r="856" spans="1:4" x14ac:dyDescent="0.2">
      <c r="A856" s="5">
        <v>795</v>
      </c>
      <c r="B856" s="138">
        <f>'Expenditures 15-22'!E61</f>
        <v>1747</v>
      </c>
      <c r="D856" s="2" t="str">
        <f t="shared" si="12"/>
        <v>Error?</v>
      </c>
    </row>
    <row r="857" spans="1:4" x14ac:dyDescent="0.2">
      <c r="A857" s="5">
        <v>796</v>
      </c>
      <c r="B857" s="138">
        <f>'Expenditures 15-22'!E62</f>
        <v>82049</v>
      </c>
      <c r="D857" s="2" t="str">
        <f t="shared" si="12"/>
        <v>Error?</v>
      </c>
    </row>
    <row r="858" spans="1:4" x14ac:dyDescent="0.2">
      <c r="A858" s="5">
        <v>797</v>
      </c>
      <c r="B858" s="138">
        <f>'Expenditures 15-22'!E63</f>
        <v>16398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100603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334904</v>
      </c>
      <c r="C871" s="2" t="s">
        <v>594</v>
      </c>
      <c r="D871" s="2" t="str">
        <f t="shared" si="12"/>
        <v>Error?</v>
      </c>
    </row>
    <row r="872" spans="1:4" x14ac:dyDescent="0.2">
      <c r="A872" s="5">
        <v>811</v>
      </c>
      <c r="B872" s="138">
        <f>'Expenditures 15-22'!E75</f>
        <v>8145</v>
      </c>
      <c r="D872" s="2" t="str">
        <f t="shared" si="12"/>
        <v>Error?</v>
      </c>
    </row>
    <row r="873" spans="1:4" x14ac:dyDescent="0.2">
      <c r="A873" s="5">
        <v>812</v>
      </c>
      <c r="B873" s="138">
        <f>'Expenditures 15-22'!E114</f>
        <v>645713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40305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137984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1314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342</v>
      </c>
      <c r="D900" s="2" t="str">
        <f t="shared" si="13"/>
        <v>Error?</v>
      </c>
    </row>
    <row r="901" spans="1:4" x14ac:dyDescent="0.2">
      <c r="A901" s="5">
        <v>840</v>
      </c>
      <c r="B901" s="138">
        <f>'Expenditures 15-22'!F42</f>
        <v>1656</v>
      </c>
      <c r="C901" s="2" t="s">
        <v>594</v>
      </c>
      <c r="D901" s="2" t="str">
        <f t="shared" si="13"/>
        <v>Error?</v>
      </c>
    </row>
    <row r="902" spans="1:4" x14ac:dyDescent="0.2">
      <c r="A902" s="5">
        <v>841</v>
      </c>
      <c r="B902" s="138">
        <f>'Expenditures 15-22'!F44</f>
        <v>428</v>
      </c>
      <c r="D902" s="2" t="str">
        <f t="shared" si="13"/>
        <v>Error?</v>
      </c>
    </row>
    <row r="903" spans="1:4" x14ac:dyDescent="0.2">
      <c r="A903" s="5">
        <v>842</v>
      </c>
      <c r="B903" s="138">
        <f>'Expenditures 15-22'!F45</f>
        <v>37991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38419</v>
      </c>
      <c r="C905" s="2" t="s">
        <v>594</v>
      </c>
      <c r="D905" s="2" t="str">
        <f t="shared" si="13"/>
        <v>Error?</v>
      </c>
    </row>
    <row r="906" spans="1:4" x14ac:dyDescent="0.2">
      <c r="A906" s="5">
        <v>845</v>
      </c>
      <c r="B906" s="138">
        <f>'Expenditures 15-22'!F49</f>
        <v>2013</v>
      </c>
      <c r="D906" s="2" t="str">
        <f t="shared" si="13"/>
        <v>Error?</v>
      </c>
    </row>
    <row r="907" spans="1:4" x14ac:dyDescent="0.2">
      <c r="A907" s="5">
        <v>846</v>
      </c>
      <c r="B907" s="138">
        <f>'Expenditures 15-22'!F50</f>
        <v>1772</v>
      </c>
      <c r="D907" s="2" t="str">
        <f t="shared" si="13"/>
        <v>Error?</v>
      </c>
    </row>
    <row r="908" spans="1:4" x14ac:dyDescent="0.2">
      <c r="A908" s="5">
        <v>847</v>
      </c>
      <c r="B908" s="138">
        <f>'Expenditures 15-22'!F53</f>
        <v>3785</v>
      </c>
      <c r="C908" s="2" t="s">
        <v>594</v>
      </c>
      <c r="D908" s="2" t="str">
        <f t="shared" si="13"/>
        <v>Error?</v>
      </c>
    </row>
    <row r="909" spans="1:4" x14ac:dyDescent="0.2">
      <c r="A909" s="5">
        <v>848</v>
      </c>
      <c r="B909" s="138">
        <f>'Expenditures 15-22'!F55</f>
        <v>3863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3863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854</v>
      </c>
      <c r="D913" s="2" t="str">
        <f t="shared" si="13"/>
        <v>Error?</v>
      </c>
    </row>
    <row r="914" spans="1:4" x14ac:dyDescent="0.2">
      <c r="A914" s="5">
        <v>853</v>
      </c>
      <c r="B914" s="138">
        <f>'Expenditures 15-22'!F61</f>
        <v>19749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246812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267415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315138</v>
      </c>
      <c r="C929" s="2" t="s">
        <v>594</v>
      </c>
      <c r="D929" s="2" t="str">
        <f t="shared" si="13"/>
        <v>Error?</v>
      </c>
    </row>
    <row r="930" spans="1:4" x14ac:dyDescent="0.2">
      <c r="A930" s="5">
        <v>869</v>
      </c>
      <c r="B930" s="138">
        <f>'Expenditures 15-22'!F75</f>
        <v>6313</v>
      </c>
      <c r="D930" s="2" t="str">
        <f t="shared" si="13"/>
        <v>Error?</v>
      </c>
    </row>
    <row r="931" spans="1:4" x14ac:dyDescent="0.2">
      <c r="A931" s="5">
        <v>870</v>
      </c>
      <c r="B931" s="138">
        <f>'Expenditures 15-22'!F114</f>
        <v>459435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21895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3206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3206</v>
      </c>
      <c r="C963" s="2" t="s">
        <v>594</v>
      </c>
      <c r="D963" s="2" t="str">
        <f t="shared" si="14"/>
        <v>Error?</v>
      </c>
    </row>
    <row r="964" spans="1:4" x14ac:dyDescent="0.2">
      <c r="A964" s="5">
        <v>903</v>
      </c>
      <c r="B964" s="138">
        <f>'Expenditures 15-22'!G49</f>
        <v>560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641</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2367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2367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6214</v>
      </c>
      <c r="C987" s="2" t="s">
        <v>594</v>
      </c>
      <c r="D987" s="2" t="str">
        <f t="shared" si="14"/>
        <v>Error?</v>
      </c>
    </row>
    <row r="988" spans="1:4" x14ac:dyDescent="0.2">
      <c r="A988" s="5">
        <v>927</v>
      </c>
      <c r="B988" s="138">
        <f>'Expenditures 15-22'!G75</f>
        <v>4049</v>
      </c>
      <c r="D988" s="2" t="str">
        <f t="shared" si="14"/>
        <v>Error?</v>
      </c>
    </row>
    <row r="989" spans="1:4" x14ac:dyDescent="0.2">
      <c r="A989" s="5">
        <v>928</v>
      </c>
      <c r="B989" s="138">
        <f>'Expenditures 15-22'!G114</f>
        <v>32158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15796</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25481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6471</v>
      </c>
      <c r="D1022" s="2" t="str">
        <f t="shared" si="14"/>
        <v>Error?</v>
      </c>
    </row>
    <row r="1023" spans="1:4" x14ac:dyDescent="0.2">
      <c r="A1023" s="5">
        <v>962</v>
      </c>
      <c r="B1023" s="138">
        <f>'Expenditures 15-22'!H50</f>
        <v>3142</v>
      </c>
      <c r="D1023" s="2" t="str">
        <f t="shared" ref="D1023:D1086" si="15">IF(ISBLANK(B1023),"OK",IF(A1023-B1023=0,"OK","Error?"))</f>
        <v>Error?</v>
      </c>
    </row>
    <row r="1024" spans="1:4" x14ac:dyDescent="0.2">
      <c r="A1024" s="5">
        <v>963</v>
      </c>
      <c r="B1024" s="138">
        <f>'Expenditures 15-22'!H53</f>
        <v>9613</v>
      </c>
      <c r="C1024" s="2" t="s">
        <v>594</v>
      </c>
      <c r="D1024" s="2" t="str">
        <f t="shared" si="15"/>
        <v>Error?</v>
      </c>
    </row>
    <row r="1025" spans="1:4" x14ac:dyDescent="0.2">
      <c r="A1025" s="5">
        <v>964</v>
      </c>
      <c r="B1025" s="138">
        <f>'Expenditures 15-22'!H55</f>
        <v>2115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2115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11728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477595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514804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2302742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17446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55435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3944540</v>
      </c>
      <c r="C1108" s="2" t="s">
        <v>594</v>
      </c>
      <c r="D1108" s="2" t="str">
        <f t="shared" si="16"/>
        <v>Error?</v>
      </c>
    </row>
    <row r="1109" spans="1:4" x14ac:dyDescent="0.2">
      <c r="A1109" s="5">
        <v>1048</v>
      </c>
      <c r="B1109" s="138">
        <f>'Expenditures 15-22'!K36</f>
        <v>94863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84293</v>
      </c>
      <c r="C1111" s="2" t="s">
        <v>594</v>
      </c>
      <c r="D1111" s="2" t="str">
        <f t="shared" si="16"/>
        <v>Error?</v>
      </c>
    </row>
    <row r="1112" spans="1:4" x14ac:dyDescent="0.2">
      <c r="A1112" s="5">
        <v>1051</v>
      </c>
      <c r="B1112" s="138">
        <f>'Expenditures 15-22'!K39</f>
        <v>46935</v>
      </c>
      <c r="C1112" s="2" t="s">
        <v>594</v>
      </c>
      <c r="D1112" s="2" t="str">
        <f t="shared" si="16"/>
        <v>Error?</v>
      </c>
    </row>
    <row r="1113" spans="1:4" x14ac:dyDescent="0.2">
      <c r="A1113" s="5">
        <v>1052</v>
      </c>
      <c r="B1113" s="138">
        <f>'Expenditures 15-22'!K40</f>
        <v>111496</v>
      </c>
      <c r="C1113" s="2" t="s">
        <v>594</v>
      </c>
      <c r="D1113" s="2" t="str">
        <f t="shared" si="16"/>
        <v>Error?</v>
      </c>
    </row>
    <row r="1114" spans="1:4" x14ac:dyDescent="0.2">
      <c r="A1114" s="5">
        <v>1053</v>
      </c>
      <c r="B1114" s="138">
        <f>'Expenditures 15-22'!K41</f>
        <v>75554</v>
      </c>
      <c r="C1114" s="2" t="s">
        <v>594</v>
      </c>
      <c r="D1114" s="2" t="str">
        <f t="shared" si="16"/>
        <v>Error?</v>
      </c>
    </row>
    <row r="1115" spans="1:4" x14ac:dyDescent="0.2">
      <c r="A1115" s="5">
        <v>1054</v>
      </c>
      <c r="B1115" s="138">
        <f>'Expenditures 15-22'!K42</f>
        <v>413141</v>
      </c>
      <c r="C1115" s="2" t="s">
        <v>594</v>
      </c>
      <c r="D1115" s="2" t="str">
        <f t="shared" si="16"/>
        <v>Error?</v>
      </c>
    </row>
    <row r="1116" spans="1:4" x14ac:dyDescent="0.2">
      <c r="A1116" s="5">
        <v>1055</v>
      </c>
      <c r="B1116" s="138">
        <f>'Expenditures 15-22'!K44</f>
        <v>37973</v>
      </c>
      <c r="C1116" s="2" t="s">
        <v>594</v>
      </c>
      <c r="D1116" s="2" t="str">
        <f t="shared" si="16"/>
        <v>Error?</v>
      </c>
    </row>
    <row r="1117" spans="1:4" x14ac:dyDescent="0.2">
      <c r="A1117" s="5">
        <v>1056</v>
      </c>
      <c r="B1117" s="138">
        <f>'Expenditures 15-22'!K45</f>
        <v>149645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187618</v>
      </c>
      <c r="C1119" s="2" t="s">
        <v>594</v>
      </c>
      <c r="D1119" s="2" t="str">
        <f t="shared" si="16"/>
        <v>Error?</v>
      </c>
    </row>
    <row r="1120" spans="1:4" x14ac:dyDescent="0.2">
      <c r="A1120" s="5">
        <v>1059</v>
      </c>
      <c r="B1120" s="138">
        <f>'Expenditures 15-22'!K49</f>
        <v>31838</v>
      </c>
      <c r="C1120" s="2" t="s">
        <v>594</v>
      </c>
      <c r="D1120" s="2" t="str">
        <f t="shared" si="16"/>
        <v>Error?</v>
      </c>
    </row>
    <row r="1121" spans="1:4" x14ac:dyDescent="0.2">
      <c r="A1121" s="5">
        <v>1060</v>
      </c>
      <c r="B1121" s="138">
        <f>'Expenditures 15-22'!K50</f>
        <v>195511</v>
      </c>
      <c r="C1121" s="2" t="s">
        <v>594</v>
      </c>
      <c r="D1121" s="2" t="str">
        <f t="shared" si="16"/>
        <v>Error?</v>
      </c>
    </row>
    <row r="1122" spans="1:4" x14ac:dyDescent="0.2">
      <c r="A1122" s="5">
        <v>1061</v>
      </c>
      <c r="B1122" s="138">
        <f>'Expenditures 15-22'!K53</f>
        <v>243219</v>
      </c>
      <c r="C1122" s="2" t="s">
        <v>594</v>
      </c>
      <c r="D1122" s="2" t="str">
        <f t="shared" si="16"/>
        <v>Error?</v>
      </c>
    </row>
    <row r="1123" spans="1:4" x14ac:dyDescent="0.2">
      <c r="A1123" s="5">
        <v>1062</v>
      </c>
      <c r="B1123" s="138">
        <f>'Expenditures 15-22'!K55</f>
        <v>436045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436045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52565</v>
      </c>
      <c r="C1127" s="2" t="s">
        <v>594</v>
      </c>
      <c r="D1127" s="2" t="str">
        <f t="shared" si="16"/>
        <v>Error?</v>
      </c>
    </row>
    <row r="1128" spans="1:4" x14ac:dyDescent="0.2">
      <c r="A1128" s="5">
        <v>1067</v>
      </c>
      <c r="B1128" s="138">
        <f>'Expenditures 15-22'!K61</f>
        <v>21496</v>
      </c>
      <c r="C1128" s="2" t="s">
        <v>594</v>
      </c>
      <c r="D1128" s="2" t="str">
        <f t="shared" si="16"/>
        <v>Error?</v>
      </c>
    </row>
    <row r="1129" spans="1:4" x14ac:dyDescent="0.2">
      <c r="A1129" s="5">
        <v>1068</v>
      </c>
      <c r="B1129" s="138">
        <f>'Expenditures 15-22'!K62</f>
        <v>82049</v>
      </c>
      <c r="C1129" s="2" t="s">
        <v>594</v>
      </c>
      <c r="D1129" s="2" t="str">
        <f t="shared" si="16"/>
        <v>Error?</v>
      </c>
    </row>
    <row r="1130" spans="1:4" x14ac:dyDescent="0.2">
      <c r="A1130" s="5">
        <v>1069</v>
      </c>
      <c r="B1130" s="138">
        <f>'Expenditures 15-22'!K63</f>
        <v>422854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578964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1858987</v>
      </c>
      <c r="C1143" s="2" t="s">
        <v>594</v>
      </c>
      <c r="D1143" s="2" t="str">
        <f t="shared" si="16"/>
        <v>Error?</v>
      </c>
    </row>
    <row r="1144" spans="1:4" x14ac:dyDescent="0.2">
      <c r="A1144" s="5">
        <v>1083</v>
      </c>
      <c r="B1144" s="138">
        <f>'Expenditures 15-22'!K75</f>
        <v>200956</v>
      </c>
      <c r="C1144" s="2" t="s">
        <v>594</v>
      </c>
      <c r="D1144" s="2" t="str">
        <f t="shared" si="16"/>
        <v>Error?</v>
      </c>
    </row>
    <row r="1145" spans="1:4" x14ac:dyDescent="0.2">
      <c r="A1145" s="5">
        <v>1084</v>
      </c>
      <c r="B1145" s="138">
        <f>'Expenditures 15-22'!K102</f>
        <v>721127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6725610</v>
      </c>
      <c r="C1152" s="2" t="s">
        <v>594</v>
      </c>
      <c r="D1152" s="2" t="str">
        <f t="shared" si="17"/>
        <v>Error?</v>
      </c>
    </row>
    <row r="1153" spans="1:4" x14ac:dyDescent="0.2">
      <c r="A1153" s="5">
        <v>1092</v>
      </c>
      <c r="B1153" s="138">
        <f>'Expenditures 15-22'!K115</f>
        <v>724599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223974</v>
      </c>
      <c r="D1221" s="2" t="str">
        <f t="shared" si="18"/>
        <v>Error?</v>
      </c>
    </row>
    <row r="1222" spans="1:4" x14ac:dyDescent="0.2">
      <c r="A1222" s="10">
        <v>1161</v>
      </c>
      <c r="D1222" s="2" t="str">
        <f t="shared" si="18"/>
        <v>OK</v>
      </c>
    </row>
    <row r="1223" spans="1:4" x14ac:dyDescent="0.2">
      <c r="A1223" s="5">
        <v>1162</v>
      </c>
      <c r="B1223" s="138">
        <f>'Expenditures 15-22'!C127</f>
        <v>223974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223974</v>
      </c>
      <c r="C1225" s="2" t="s">
        <v>594</v>
      </c>
      <c r="D1225" s="2" t="str">
        <f t="shared" si="18"/>
        <v>Error?</v>
      </c>
    </row>
    <row r="1226" spans="1:4" x14ac:dyDescent="0.2">
      <c r="A1226" s="5">
        <v>1165</v>
      </c>
      <c r="B1226" s="138">
        <f>'Expenditures 15-22'!C151</f>
        <v>223974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67361</v>
      </c>
      <c r="D1229" s="2" t="str">
        <f t="shared" si="18"/>
        <v>Error?</v>
      </c>
    </row>
    <row r="1230" spans="1:4" x14ac:dyDescent="0.2">
      <c r="A1230" s="10">
        <v>1169</v>
      </c>
      <c r="D1230" s="2" t="str">
        <f t="shared" si="18"/>
        <v>OK</v>
      </c>
    </row>
    <row r="1231" spans="1:4" x14ac:dyDescent="0.2">
      <c r="A1231" s="5">
        <v>1170</v>
      </c>
      <c r="B1231" s="138">
        <f>'Expenditures 15-22'!D127</f>
        <v>67361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67361</v>
      </c>
      <c r="C1233" s="2" t="s">
        <v>594</v>
      </c>
      <c r="D1233" s="2" t="str">
        <f t="shared" si="18"/>
        <v>Error?</v>
      </c>
    </row>
    <row r="1234" spans="1:4" x14ac:dyDescent="0.2">
      <c r="A1234" s="5">
        <v>1173</v>
      </c>
      <c r="B1234" s="138">
        <f>'Expenditures 15-22'!D151</f>
        <v>67361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146497</v>
      </c>
      <c r="D1237" s="2" t="str">
        <f t="shared" si="18"/>
        <v>Error?</v>
      </c>
    </row>
    <row r="1238" spans="1:4" x14ac:dyDescent="0.2">
      <c r="A1238" s="10">
        <v>1177</v>
      </c>
      <c r="D1238" s="2" t="str">
        <f t="shared" si="18"/>
        <v>OK</v>
      </c>
    </row>
    <row r="1239" spans="1:4" x14ac:dyDescent="0.2">
      <c r="A1239" s="5">
        <v>1178</v>
      </c>
      <c r="B1239" s="138">
        <f>'Expenditures 15-22'!E127</f>
        <v>146497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146497</v>
      </c>
      <c r="C1241" s="2" t="s">
        <v>594</v>
      </c>
      <c r="D1241" s="2" t="str">
        <f t="shared" si="18"/>
        <v>Error?</v>
      </c>
    </row>
    <row r="1242" spans="1:4" x14ac:dyDescent="0.2">
      <c r="A1242" s="5">
        <v>1181</v>
      </c>
      <c r="B1242" s="138">
        <f>'Expenditures 15-22'!E151</f>
        <v>146497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160007</v>
      </c>
      <c r="D1245" s="2" t="str">
        <f t="shared" si="18"/>
        <v>Error?</v>
      </c>
    </row>
    <row r="1246" spans="1:4" x14ac:dyDescent="0.2">
      <c r="A1246" s="10">
        <v>1185</v>
      </c>
      <c r="D1246" s="2" t="str">
        <f t="shared" si="18"/>
        <v>OK</v>
      </c>
    </row>
    <row r="1247" spans="1:4" x14ac:dyDescent="0.2">
      <c r="A1247" s="5">
        <v>1186</v>
      </c>
      <c r="B1247" s="138">
        <f>'Expenditures 15-22'!F127</f>
        <v>160007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160007</v>
      </c>
      <c r="C1249" s="2" t="s">
        <v>594</v>
      </c>
      <c r="D1249" s="2" t="str">
        <f t="shared" si="18"/>
        <v>Error?</v>
      </c>
    </row>
    <row r="1250" spans="1:4" x14ac:dyDescent="0.2">
      <c r="A1250" s="5">
        <v>1189</v>
      </c>
      <c r="B1250" s="138">
        <f>'Expenditures 15-22'!F151</f>
        <v>160007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597839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597839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597839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597839</v>
      </c>
      <c r="C1288" s="2" t="s">
        <v>594</v>
      </c>
      <c r="D1288" s="2" t="str">
        <f t="shared" si="19"/>
        <v>Error?</v>
      </c>
    </row>
    <row r="1289" spans="1:4" x14ac:dyDescent="0.2">
      <c r="A1289" s="5">
        <v>1228</v>
      </c>
      <c r="B1289" s="138">
        <f>'Expenditures 15-22'!K152</f>
        <v>85044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294348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1351592</v>
      </c>
      <c r="D1315" s="2" t="str">
        <f t="shared" si="19"/>
        <v>Error?</v>
      </c>
    </row>
    <row r="1316" spans="1:4" x14ac:dyDescent="0.2">
      <c r="A1316" s="5">
        <v>1255</v>
      </c>
      <c r="B1316" s="138">
        <f>'Expenditures 15-22'!H171</f>
        <v>7492</v>
      </c>
      <c r="D1316" s="2" t="str">
        <f t="shared" si="19"/>
        <v>Error?</v>
      </c>
    </row>
    <row r="1317" spans="1:4" x14ac:dyDescent="0.2">
      <c r="A1317" s="5">
        <v>1256</v>
      </c>
      <c r="B1317" s="138">
        <f>'Expenditures 15-22'!H172</f>
        <v>1653432</v>
      </c>
      <c r="C1317" s="2" t="s">
        <v>594</v>
      </c>
      <c r="D1317" s="2" t="str">
        <f t="shared" si="19"/>
        <v>Error?</v>
      </c>
    </row>
    <row r="1318" spans="1:4" x14ac:dyDescent="0.2">
      <c r="A1318" s="5">
        <v>1257</v>
      </c>
      <c r="B1318" s="138">
        <f>'Expenditures 15-22'!H174</f>
        <v>1653432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294348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1351592</v>
      </c>
      <c r="C1329" s="2" t="s">
        <v>594</v>
      </c>
      <c r="D1329" s="2" t="str">
        <f t="shared" si="19"/>
        <v>Error?</v>
      </c>
    </row>
    <row r="1330" spans="1:4" x14ac:dyDescent="0.2">
      <c r="A1330" s="5">
        <v>1269</v>
      </c>
      <c r="B1330" s="138">
        <f>'Expenditures 15-22'!K171</f>
        <v>7492</v>
      </c>
      <c r="C1330" s="2" t="s">
        <v>594</v>
      </c>
      <c r="D1330" s="2" t="str">
        <f t="shared" si="19"/>
        <v>Error?</v>
      </c>
    </row>
    <row r="1331" spans="1:4" x14ac:dyDescent="0.2">
      <c r="A1331" s="5">
        <v>1270</v>
      </c>
      <c r="B1331" s="138">
        <f>'Expenditures 15-22'!K172</f>
        <v>1653432</v>
      </c>
      <c r="C1331" s="2" t="s">
        <v>594</v>
      </c>
      <c r="D1331" s="2" t="str">
        <f t="shared" si="19"/>
        <v>Error?</v>
      </c>
    </row>
    <row r="1332" spans="1:4" x14ac:dyDescent="0.2">
      <c r="A1332" s="5">
        <v>1271</v>
      </c>
      <c r="B1332" s="138">
        <f>'Expenditures 15-22'!K174</f>
        <v>1653432</v>
      </c>
      <c r="C1332" s="2" t="s">
        <v>594</v>
      </c>
      <c r="D1332" s="2" t="str">
        <f t="shared" si="19"/>
        <v>Error?</v>
      </c>
    </row>
    <row r="1333" spans="1:4" x14ac:dyDescent="0.2">
      <c r="A1333" s="5">
        <v>1272</v>
      </c>
      <c r="B1333" s="138">
        <f>'Expenditures 15-22'!K175</f>
        <v>-377738</v>
      </c>
      <c r="C1333" s="2" t="s">
        <v>594</v>
      </c>
      <c r="D1333" s="2" t="str">
        <f t="shared" si="19"/>
        <v>Error?</v>
      </c>
    </row>
    <row r="1334" spans="1:4" x14ac:dyDescent="0.2">
      <c r="A1334" s="10">
        <v>1273</v>
      </c>
      <c r="D1334" s="2" t="str">
        <f t="shared" si="19"/>
        <v>OK</v>
      </c>
    </row>
    <row r="1335" spans="1:4" x14ac:dyDescent="0.2">
      <c r="A1335" s="5">
        <v>1274</v>
      </c>
      <c r="B1335" s="138">
        <f>'Expenditures 15-22'!C182</f>
        <v>404570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404570</v>
      </c>
      <c r="C1339" s="2" t="s">
        <v>594</v>
      </c>
      <c r="D1339" s="2" t="str">
        <f t="shared" si="19"/>
        <v>Error?</v>
      </c>
    </row>
    <row r="1340" spans="1:4" x14ac:dyDescent="0.2">
      <c r="A1340" s="5">
        <v>1279</v>
      </c>
      <c r="B1340" s="138">
        <f>'Expenditures 15-22'!C210</f>
        <v>404570</v>
      </c>
      <c r="C1340" s="2" t="s">
        <v>594</v>
      </c>
      <c r="D1340" s="2" t="str">
        <f t="shared" si="19"/>
        <v>Error?</v>
      </c>
    </row>
    <row r="1341" spans="1:4" x14ac:dyDescent="0.2">
      <c r="A1341" s="5">
        <v>1280</v>
      </c>
      <c r="B1341" s="138">
        <f>'Expenditures 15-22'!D182</f>
        <v>10064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10064</v>
      </c>
      <c r="C1345" s="2" t="s">
        <v>594</v>
      </c>
      <c r="D1345" s="2" t="str">
        <f t="shared" si="20"/>
        <v>Error?</v>
      </c>
    </row>
    <row r="1346" spans="1:4" x14ac:dyDescent="0.2">
      <c r="A1346" s="5">
        <v>1285</v>
      </c>
      <c r="B1346" s="138">
        <f>'Expenditures 15-22'!D210</f>
        <v>10064</v>
      </c>
      <c r="C1346" s="2" t="s">
        <v>594</v>
      </c>
      <c r="D1346" s="2" t="str">
        <f t="shared" si="20"/>
        <v>Error?</v>
      </c>
    </row>
    <row r="1347" spans="1:4" x14ac:dyDescent="0.2">
      <c r="A1347" s="5">
        <v>1286</v>
      </c>
      <c r="B1347" s="138">
        <f>'Expenditures 15-22'!E182</f>
        <v>31808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31808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31808</v>
      </c>
      <c r="C1353" s="2" t="s">
        <v>594</v>
      </c>
      <c r="D1353" s="2" t="str">
        <f t="shared" si="20"/>
        <v>Error?</v>
      </c>
    </row>
    <row r="1354" spans="1:4" x14ac:dyDescent="0.2">
      <c r="A1354" s="5">
        <v>1293</v>
      </c>
      <c r="B1354" s="138">
        <f>'Expenditures 15-22'!F182</f>
        <v>56306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56306</v>
      </c>
      <c r="C1358" s="2" t="s">
        <v>594</v>
      </c>
      <c r="D1358" s="2" t="str">
        <f t="shared" si="20"/>
        <v>Error?</v>
      </c>
    </row>
    <row r="1359" spans="1:4" x14ac:dyDescent="0.2">
      <c r="A1359" s="5">
        <v>1298</v>
      </c>
      <c r="B1359" s="138">
        <f>'Expenditures 15-22'!F210</f>
        <v>56306</v>
      </c>
      <c r="C1359" s="2" t="s">
        <v>594</v>
      </c>
      <c r="D1359" s="2" t="str">
        <f t="shared" si="20"/>
        <v>Error?</v>
      </c>
    </row>
    <row r="1360" spans="1:4" x14ac:dyDescent="0.2">
      <c r="A1360" s="5">
        <v>1299</v>
      </c>
      <c r="B1360" s="138">
        <f>'Expenditures 15-22'!G182</f>
        <v>1096814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1096814</v>
      </c>
      <c r="C1364" s="2" t="s">
        <v>594</v>
      </c>
      <c r="D1364" s="2" t="str">
        <f t="shared" si="20"/>
        <v>Error?</v>
      </c>
    </row>
    <row r="1365" spans="1:4" x14ac:dyDescent="0.2">
      <c r="A1365" s="5">
        <v>1304</v>
      </c>
      <c r="B1365" s="138">
        <f>'Expenditures 15-22'!G210</f>
        <v>1096814</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1599562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1599562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1599562</v>
      </c>
      <c r="C1388" s="2" t="s">
        <v>594</v>
      </c>
      <c r="D1388" s="2" t="str">
        <f t="shared" si="20"/>
        <v>Error?</v>
      </c>
    </row>
    <row r="1389" spans="1:4" x14ac:dyDescent="0.2">
      <c r="A1389" s="5">
        <v>1328</v>
      </c>
      <c r="B1389" s="138">
        <f>'Expenditures 15-22'!K211</f>
        <v>-736821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1806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127660</v>
      </c>
      <c r="C1410" s="2" t="s">
        <v>594</v>
      </c>
      <c r="D1410" s="2" t="str">
        <f t="shared" si="21"/>
        <v>Error?</v>
      </c>
    </row>
    <row r="1411" spans="1:4" x14ac:dyDescent="0.2">
      <c r="A1411" s="5">
        <v>1350</v>
      </c>
      <c r="B1411" s="138">
        <f>'Expenditures 15-22'!D232</f>
        <v>1221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8393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1436</v>
      </c>
      <c r="D1415" s="2" t="str">
        <f t="shared" si="21"/>
        <v>Error?</v>
      </c>
    </row>
    <row r="1416" spans="1:4" x14ac:dyDescent="0.2">
      <c r="A1416" s="5">
        <v>1355</v>
      </c>
      <c r="B1416" s="138">
        <f>'Expenditures 15-22'!D237</f>
        <v>11596</v>
      </c>
      <c r="D1416" s="2" t="str">
        <f t="shared" si="21"/>
        <v>Error?</v>
      </c>
    </row>
    <row r="1417" spans="1:4" x14ac:dyDescent="0.2">
      <c r="A1417" s="5">
        <v>1356</v>
      </c>
      <c r="B1417" s="138">
        <f>'Expenditures 15-22'!D238</f>
        <v>22646</v>
      </c>
      <c r="C1417" s="2" t="s">
        <v>594</v>
      </c>
      <c r="D1417" s="2" t="str">
        <f t="shared" si="21"/>
        <v>Error?</v>
      </c>
    </row>
    <row r="1418" spans="1:4" x14ac:dyDescent="0.2">
      <c r="A1418" s="5">
        <v>1357</v>
      </c>
      <c r="B1418" s="138">
        <f>'Expenditures 15-22'!D240</f>
        <v>331</v>
      </c>
      <c r="D1418" s="2" t="str">
        <f t="shared" si="21"/>
        <v>Error?</v>
      </c>
    </row>
    <row r="1419" spans="1:4" x14ac:dyDescent="0.2">
      <c r="A1419" s="5">
        <v>1358</v>
      </c>
      <c r="B1419" s="138">
        <f>'Expenditures 15-22'!D241</f>
        <v>8071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8402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10082</v>
      </c>
      <c r="D1423" s="2" t="str">
        <f t="shared" si="21"/>
        <v>Error?</v>
      </c>
    </row>
    <row r="1424" spans="1:4" x14ac:dyDescent="0.2">
      <c r="A1424" s="5">
        <v>1363</v>
      </c>
      <c r="B1424" s="138">
        <f>'Expenditures 15-22'!D257</f>
        <v>12719</v>
      </c>
      <c r="C1424" s="2" t="s">
        <v>594</v>
      </c>
      <c r="D1424" s="2" t="str">
        <f t="shared" si="21"/>
        <v>Error?</v>
      </c>
    </row>
    <row r="1425" spans="1:4" x14ac:dyDescent="0.2">
      <c r="A1425" s="5">
        <v>1364</v>
      </c>
      <c r="B1425" s="138">
        <f>'Expenditures 15-22'!D259</f>
        <v>26537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26537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10323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49523</v>
      </c>
      <c r="D1431" s="2" t="str">
        <f t="shared" si="21"/>
        <v>Error?</v>
      </c>
    </row>
    <row r="1432" spans="1:4" x14ac:dyDescent="0.2">
      <c r="A1432" s="5">
        <v>1371</v>
      </c>
      <c r="B1432" s="138">
        <f>'Expenditures 15-22'!D267</f>
        <v>72883</v>
      </c>
      <c r="D1432" s="2" t="str">
        <f t="shared" si="21"/>
        <v>Error?</v>
      </c>
    </row>
    <row r="1433" spans="1:4" x14ac:dyDescent="0.2">
      <c r="A1433" s="5">
        <v>1372</v>
      </c>
      <c r="B1433" s="138">
        <f>'Expenditures 15-22'!D268</f>
        <v>39313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172042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242346</v>
      </c>
      <c r="C1446" s="2" t="s">
        <v>594</v>
      </c>
      <c r="D1446" s="2" t="str">
        <f t="shared" si="21"/>
        <v>Error?</v>
      </c>
    </row>
    <row r="1447" spans="1:4" x14ac:dyDescent="0.2">
      <c r="A1447" s="5">
        <v>1386</v>
      </c>
      <c r="B1447" s="138">
        <f>'Expenditures 15-22'!D280</f>
        <v>20279</v>
      </c>
      <c r="D1447" s="2" t="str">
        <f t="shared" si="21"/>
        <v>Error?</v>
      </c>
    </row>
    <row r="1448" spans="1:4" x14ac:dyDescent="0.2">
      <c r="A1448" s="5">
        <v>1387</v>
      </c>
      <c r="B1448" s="138">
        <f>'Expenditures 15-22'!D295</f>
        <v>391332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1806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127660</v>
      </c>
      <c r="C1474" s="2" t="s">
        <v>594</v>
      </c>
      <c r="D1474" s="2" t="str">
        <f t="shared" si="22"/>
        <v>Error?</v>
      </c>
    </row>
    <row r="1475" spans="1:4" x14ac:dyDescent="0.2">
      <c r="A1475" s="5">
        <v>1414</v>
      </c>
      <c r="B1475" s="138">
        <f>'Expenditures 15-22'!K232</f>
        <v>1221</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8393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1436</v>
      </c>
      <c r="C1479" s="2" t="s">
        <v>594</v>
      </c>
      <c r="D1479" s="2" t="str">
        <f t="shared" si="22"/>
        <v>Error?</v>
      </c>
    </row>
    <row r="1480" spans="1:4" x14ac:dyDescent="0.2">
      <c r="A1480" s="5">
        <v>1419</v>
      </c>
      <c r="B1480" s="138">
        <f>'Expenditures 15-22'!K237</f>
        <v>11596</v>
      </c>
      <c r="C1480" s="2" t="s">
        <v>594</v>
      </c>
      <c r="D1480" s="2" t="str">
        <f t="shared" si="22"/>
        <v>Error?</v>
      </c>
    </row>
    <row r="1481" spans="1:4" x14ac:dyDescent="0.2">
      <c r="A1481" s="5">
        <v>1420</v>
      </c>
      <c r="B1481" s="138">
        <f>'Expenditures 15-22'!K238</f>
        <v>22646</v>
      </c>
      <c r="C1481" s="2" t="s">
        <v>594</v>
      </c>
      <c r="D1481" s="2" t="str">
        <f t="shared" si="22"/>
        <v>Error?</v>
      </c>
    </row>
    <row r="1482" spans="1:4" x14ac:dyDescent="0.2">
      <c r="A1482" s="5">
        <v>1421</v>
      </c>
      <c r="B1482" s="138">
        <f>'Expenditures 15-22'!K240</f>
        <v>331</v>
      </c>
      <c r="C1482" s="2" t="s">
        <v>594</v>
      </c>
      <c r="D1482" s="2" t="str">
        <f t="shared" si="22"/>
        <v>Error?</v>
      </c>
    </row>
    <row r="1483" spans="1:4" x14ac:dyDescent="0.2">
      <c r="A1483" s="5">
        <v>1422</v>
      </c>
      <c r="B1483" s="138">
        <f>'Expenditures 15-22'!K241</f>
        <v>8071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8402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10082</v>
      </c>
      <c r="C1487" s="2" t="s">
        <v>594</v>
      </c>
      <c r="D1487" s="2" t="str">
        <f t="shared" si="22"/>
        <v>Error?</v>
      </c>
    </row>
    <row r="1488" spans="1:4" x14ac:dyDescent="0.2">
      <c r="A1488" s="5">
        <v>1427</v>
      </c>
      <c r="B1488" s="138">
        <f>'Expenditures 15-22'!K257</f>
        <v>12719</v>
      </c>
      <c r="C1488" s="2" t="s">
        <v>594</v>
      </c>
      <c r="D1488" s="2" t="str">
        <f t="shared" si="22"/>
        <v>Error?</v>
      </c>
    </row>
    <row r="1489" spans="1:4" x14ac:dyDescent="0.2">
      <c r="A1489" s="5">
        <v>1428</v>
      </c>
      <c r="B1489" s="138">
        <f>'Expenditures 15-22'!K259</f>
        <v>26537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26537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10323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49523</v>
      </c>
      <c r="C1495" s="2" t="s">
        <v>594</v>
      </c>
      <c r="D1495" s="2" t="str">
        <f t="shared" si="22"/>
        <v>Error?</v>
      </c>
    </row>
    <row r="1496" spans="1:4" x14ac:dyDescent="0.2">
      <c r="A1496" s="5">
        <v>1435</v>
      </c>
      <c r="B1496" s="138">
        <f>'Expenditures 15-22'!K267</f>
        <v>72883</v>
      </c>
      <c r="C1496" s="2" t="s">
        <v>594</v>
      </c>
      <c r="D1496" s="2" t="str">
        <f t="shared" si="22"/>
        <v>Error?</v>
      </c>
    </row>
    <row r="1497" spans="1:4" x14ac:dyDescent="0.2">
      <c r="A1497" s="5">
        <v>1436</v>
      </c>
      <c r="B1497" s="138">
        <f>'Expenditures 15-22'!K268</f>
        <v>39313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172042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242346</v>
      </c>
      <c r="C1510" s="2" t="s">
        <v>594</v>
      </c>
      <c r="D1510" s="2" t="str">
        <f t="shared" si="22"/>
        <v>Error?</v>
      </c>
    </row>
    <row r="1511" spans="1:4" x14ac:dyDescent="0.2">
      <c r="A1511" s="5">
        <v>1450</v>
      </c>
      <c r="B1511" s="138">
        <f>'Expenditures 15-22'!K280</f>
        <v>20279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391332</v>
      </c>
      <c r="C1517" s="2" t="s">
        <v>594</v>
      </c>
      <c r="D1517" s="2" t="str">
        <f t="shared" si="22"/>
        <v>Error?</v>
      </c>
    </row>
    <row r="1518" spans="1:4" x14ac:dyDescent="0.2">
      <c r="A1518" s="5">
        <v>1457</v>
      </c>
      <c r="B1518" s="138">
        <f>'Expenditures 15-22'!K296</f>
        <v>89681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211505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211505</v>
      </c>
      <c r="C1547" s="2" t="s">
        <v>594</v>
      </c>
      <c r="D1547" s="2" t="str">
        <f t="shared" si="23"/>
        <v>Error?</v>
      </c>
    </row>
    <row r="1548" spans="1:4" x14ac:dyDescent="0.2">
      <c r="A1548" s="5">
        <v>1487</v>
      </c>
      <c r="B1548" s="138">
        <f>'Expenditures 15-22'!G312</f>
        <v>211505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211505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211505</v>
      </c>
      <c r="C1559" s="2" t="s">
        <v>594</v>
      </c>
      <c r="D1559" s="2" t="str">
        <f t="shared" si="23"/>
        <v>Error?</v>
      </c>
    </row>
    <row r="1560" spans="1:4" x14ac:dyDescent="0.2">
      <c r="A1560" s="5">
        <v>1499</v>
      </c>
      <c r="B1560" s="138">
        <f>'Expenditures 15-22'!K312</f>
        <v>211505</v>
      </c>
      <c r="C1560" s="2" t="s">
        <v>594</v>
      </c>
      <c r="D1560" s="2" t="str">
        <f t="shared" si="23"/>
        <v>Error?</v>
      </c>
    </row>
    <row r="1561" spans="1:4" x14ac:dyDescent="0.2">
      <c r="A1561" s="5">
        <v>1500</v>
      </c>
      <c r="B1561" s="138">
        <f>'Expenditures 15-22'!K313</f>
        <v>-211505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974137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1698736</v>
      </c>
      <c r="C1630" s="2" t="s">
        <v>594</v>
      </c>
      <c r="D1630" s="2" t="str">
        <f t="shared" si="24"/>
        <v>Error?</v>
      </c>
    </row>
    <row r="1631" spans="1:4" x14ac:dyDescent="0.2">
      <c r="A1631" s="5">
        <v>1570</v>
      </c>
      <c r="B1631" s="138">
        <f>'Acct Summary 7-8'!D79</f>
        <v>169152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243041</v>
      </c>
      <c r="C1644" s="2" t="s">
        <v>594</v>
      </c>
      <c r="D1644" s="2" t="str">
        <f t="shared" si="24"/>
        <v>Error?</v>
      </c>
    </row>
    <row r="1645" spans="1:4" x14ac:dyDescent="0.2">
      <c r="A1645" s="5">
        <v>1584</v>
      </c>
      <c r="B1645" s="138">
        <f>'Acct Summary 7-8'!E79</f>
        <v>429980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443684</v>
      </c>
      <c r="C1658" s="2" t="s">
        <v>594</v>
      </c>
      <c r="D1658" s="2" t="str">
        <f t="shared" si="24"/>
        <v>Error?</v>
      </c>
    </row>
    <row r="1659" spans="1:4" x14ac:dyDescent="0.2">
      <c r="A1659" s="5">
        <v>1598</v>
      </c>
      <c r="B1659" s="138">
        <f>'Acct Summary 7-8'!F79</f>
        <v>231627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410548</v>
      </c>
      <c r="C1672" s="2" t="s">
        <v>594</v>
      </c>
      <c r="D1672" s="2" t="str">
        <f t="shared" si="25"/>
        <v>Error?</v>
      </c>
    </row>
    <row r="1673" spans="1:4" x14ac:dyDescent="0.2">
      <c r="A1673" s="5">
        <v>1612</v>
      </c>
      <c r="B1673" s="138">
        <f>'Acct Summary 7-8'!G79</f>
        <v>156464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246145</v>
      </c>
      <c r="C1686" s="2" t="s">
        <v>594</v>
      </c>
      <c r="D1686" s="2" t="str">
        <f t="shared" si="25"/>
        <v>Error?</v>
      </c>
    </row>
    <row r="1687" spans="1:4" x14ac:dyDescent="0.2">
      <c r="A1687" s="5">
        <v>1626</v>
      </c>
      <c r="B1687" s="138">
        <f>'Acct Summary 7-8'!H79</f>
        <v>499127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287622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2347296</v>
      </c>
      <c r="C1744" s="2" t="s">
        <v>594</v>
      </c>
      <c r="D1744" s="2" t="str">
        <f t="shared" si="26"/>
        <v>Error?</v>
      </c>
    </row>
    <row r="1745" spans="1:5" x14ac:dyDescent="0.2">
      <c r="A1745" s="5">
        <v>1684</v>
      </c>
      <c r="B1745" s="138">
        <f>'Tax Sched 23'!B5</f>
        <v>425677</v>
      </c>
      <c r="C1745" s="2" t="s">
        <v>594</v>
      </c>
      <c r="D1745" s="2" t="str">
        <f t="shared" si="26"/>
        <v>Error?</v>
      </c>
    </row>
    <row r="1746" spans="1:5" x14ac:dyDescent="0.2">
      <c r="A1746" s="5">
        <v>1685</v>
      </c>
      <c r="B1746" s="138">
        <f>'Tax Sched 23'!B6</f>
        <v>1275694</v>
      </c>
      <c r="C1746" s="2" t="s">
        <v>594</v>
      </c>
      <c r="D1746" s="2" t="str">
        <f t="shared" si="26"/>
        <v>Error?</v>
      </c>
    </row>
    <row r="1747" spans="1:5" x14ac:dyDescent="0.2">
      <c r="A1747" s="5">
        <v>1686</v>
      </c>
      <c r="B1747" s="138">
        <f>'Tax Sched 23'!B7</f>
        <v>145947</v>
      </c>
      <c r="C1747" s="2" t="s">
        <v>594</v>
      </c>
      <c r="D1747" s="2" t="str">
        <f t="shared" si="26"/>
        <v>Error?</v>
      </c>
    </row>
    <row r="1748" spans="1:5" x14ac:dyDescent="0.2">
      <c r="A1748" s="5">
        <v>1687</v>
      </c>
      <c r="B1748" s="138">
        <f>'Tax Sched 23'!B8</f>
        <v>232178</v>
      </c>
      <c r="C1748" s="2" t="s">
        <v>594</v>
      </c>
      <c r="D1748" s="2" t="str">
        <f t="shared" si="26"/>
        <v>Error?</v>
      </c>
    </row>
    <row r="1749" spans="1:5" x14ac:dyDescent="0.2">
      <c r="A1749" s="5">
        <v>1688</v>
      </c>
      <c r="B1749" s="138">
        <f>'Tax Sched 23'!B10</f>
        <v>60810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926274</v>
      </c>
      <c r="C1752" s="2" t="s">
        <v>594</v>
      </c>
      <c r="D1752" s="2" t="str">
        <f t="shared" si="26"/>
        <v>Error?</v>
      </c>
    </row>
    <row r="1753" spans="1:5" x14ac:dyDescent="0.2">
      <c r="A1753" s="5">
        <v>1692</v>
      </c>
      <c r="B1753" s="138">
        <f>'Tax Sched 23'!B12</f>
        <v>60810</v>
      </c>
      <c r="C1753" s="2" t="s">
        <v>594</v>
      </c>
      <c r="D1753" s="2" t="str">
        <f t="shared" si="26"/>
        <v>Error?</v>
      </c>
    </row>
    <row r="1754" spans="1:5" x14ac:dyDescent="0.2">
      <c r="A1754" s="5">
        <v>1693</v>
      </c>
      <c r="B1754" s="138">
        <f>'Tax Sched 23'!B14</f>
        <v>24326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5792000</v>
      </c>
      <c r="C1759" s="2" t="s">
        <v>594</v>
      </c>
      <c r="D1759" s="2" t="str">
        <f t="shared" si="26"/>
        <v>Error?</v>
      </c>
    </row>
    <row r="1760" spans="1:5" x14ac:dyDescent="0.2">
      <c r="A1760" s="5">
        <v>1699</v>
      </c>
      <c r="B1760" s="138">
        <f>'Tax Sched 23'!D4</f>
        <v>2347296</v>
      </c>
      <c r="C1760" s="2" t="s">
        <v>594</v>
      </c>
      <c r="D1760" s="2" t="str">
        <f t="shared" si="26"/>
        <v>Error?</v>
      </c>
    </row>
    <row r="1761" spans="1:5" x14ac:dyDescent="0.2">
      <c r="A1761" s="5">
        <v>1700</v>
      </c>
      <c r="B1761" s="138">
        <f>'Tax Sched 23'!D5</f>
        <v>425677</v>
      </c>
      <c r="C1761" s="2" t="s">
        <v>594</v>
      </c>
      <c r="D1761" s="2" t="str">
        <f t="shared" si="26"/>
        <v>Error?</v>
      </c>
    </row>
    <row r="1762" spans="1:5" s="8" customFormat="1" x14ac:dyDescent="0.2">
      <c r="A1762" s="5">
        <v>1701</v>
      </c>
      <c r="B1762" s="138">
        <f>'Tax Sched 23'!D6</f>
        <v>1275694</v>
      </c>
      <c r="C1762" s="2" t="s">
        <v>594</v>
      </c>
      <c r="D1762" s="2" t="str">
        <f t="shared" si="26"/>
        <v>Error?</v>
      </c>
      <c r="E1762" s="9"/>
    </row>
    <row r="1763" spans="1:5" x14ac:dyDescent="0.2">
      <c r="A1763" s="5">
        <v>1702</v>
      </c>
      <c r="B1763" s="138">
        <f>'Tax Sched 23'!D7</f>
        <v>145947</v>
      </c>
      <c r="C1763" s="2" t="s">
        <v>594</v>
      </c>
      <c r="D1763" s="2" t="str">
        <f t="shared" si="26"/>
        <v>Error?</v>
      </c>
    </row>
    <row r="1764" spans="1:5" x14ac:dyDescent="0.2">
      <c r="A1764" s="5">
        <v>1703</v>
      </c>
      <c r="B1764" s="138">
        <f>'Tax Sched 23'!D8</f>
        <v>232178</v>
      </c>
      <c r="C1764" s="2" t="s">
        <v>594</v>
      </c>
      <c r="D1764" s="2" t="str">
        <f t="shared" si="26"/>
        <v>Error?</v>
      </c>
    </row>
    <row r="1765" spans="1:5" x14ac:dyDescent="0.2">
      <c r="A1765" s="5">
        <v>1704</v>
      </c>
      <c r="B1765" s="138">
        <f>'Tax Sched 23'!D10</f>
        <v>60810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926274</v>
      </c>
      <c r="C1768" s="2" t="s">
        <v>594</v>
      </c>
      <c r="D1768" s="2" t="str">
        <f t="shared" si="26"/>
        <v>Error?</v>
      </c>
    </row>
    <row r="1769" spans="1:5" x14ac:dyDescent="0.2">
      <c r="A1769" s="5">
        <v>1708</v>
      </c>
      <c r="B1769" s="138">
        <f>'Tax Sched 23'!D12</f>
        <v>60810</v>
      </c>
      <c r="C1769" s="2" t="s">
        <v>594</v>
      </c>
      <c r="D1769" s="2" t="str">
        <f t="shared" si="26"/>
        <v>Error?</v>
      </c>
    </row>
    <row r="1770" spans="1:5" x14ac:dyDescent="0.2">
      <c r="A1770" s="5">
        <v>1709</v>
      </c>
      <c r="B1770" s="138">
        <f>'Tax Sched 23'!D14</f>
        <v>24326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5792000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2460080</v>
      </c>
      <c r="C1792" s="2" t="s">
        <v>594</v>
      </c>
      <c r="D1792" s="2" t="str">
        <f t="shared" si="27"/>
        <v>Error?</v>
      </c>
    </row>
    <row r="1793" spans="1:4" x14ac:dyDescent="0.2">
      <c r="A1793" s="5">
        <v>1732</v>
      </c>
      <c r="B1793" s="138">
        <f>'Tax Sched 23'!F5</f>
        <v>445068</v>
      </c>
      <c r="C1793" s="2" t="s">
        <v>594</v>
      </c>
      <c r="D1793" s="2" t="str">
        <f t="shared" si="27"/>
        <v>Error?</v>
      </c>
    </row>
    <row r="1794" spans="1:4" x14ac:dyDescent="0.2">
      <c r="A1794" s="5">
        <v>1733</v>
      </c>
      <c r="B1794" s="138">
        <f>'Tax Sched 23'!F6</f>
        <v>1272544</v>
      </c>
      <c r="C1794" s="2" t="s">
        <v>594</v>
      </c>
      <c r="D1794" s="2" t="str">
        <f t="shared" si="27"/>
        <v>Error?</v>
      </c>
    </row>
    <row r="1795" spans="1:4" x14ac:dyDescent="0.2">
      <c r="A1795" s="5">
        <v>1734</v>
      </c>
      <c r="B1795" s="138">
        <f>'Tax Sched 23'!F7</f>
        <v>155031</v>
      </c>
      <c r="C1795" s="2" t="s">
        <v>594</v>
      </c>
      <c r="D1795" s="2" t="str">
        <f t="shared" si="27"/>
        <v>Error?</v>
      </c>
    </row>
    <row r="1796" spans="1:4" x14ac:dyDescent="0.2">
      <c r="A1796" s="5">
        <v>1735</v>
      </c>
      <c r="B1796" s="138">
        <f>'Tax Sched 23'!F8</f>
        <v>205028</v>
      </c>
      <c r="C1796" s="2" t="s">
        <v>594</v>
      </c>
      <c r="D1796" s="2" t="str">
        <f t="shared" si="27"/>
        <v>Error?</v>
      </c>
    </row>
    <row r="1797" spans="1:4" x14ac:dyDescent="0.2">
      <c r="A1797" s="5">
        <v>1736</v>
      </c>
      <c r="B1797" s="138">
        <f>'Tax Sched 23'!F10</f>
        <v>64596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925017</v>
      </c>
      <c r="C1800" s="2" t="s">
        <v>594</v>
      </c>
      <c r="D1800" s="2" t="str">
        <f t="shared" si="27"/>
        <v>Error?</v>
      </c>
    </row>
    <row r="1801" spans="1:4" x14ac:dyDescent="0.2">
      <c r="A1801" s="5">
        <v>1740</v>
      </c>
      <c r="B1801" s="138">
        <f>'Tax Sched 23'!F12</f>
        <v>64596</v>
      </c>
      <c r="C1801" s="2" t="s">
        <v>594</v>
      </c>
      <c r="D1801" s="2" t="str">
        <f t="shared" si="27"/>
        <v>Error?</v>
      </c>
    </row>
    <row r="1802" spans="1:4" x14ac:dyDescent="0.2">
      <c r="A1802" s="5">
        <v>1741</v>
      </c>
      <c r="B1802" s="138">
        <f>'Tax Sched 23'!F14</f>
        <v>25838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5887422</v>
      </c>
      <c r="C1807" s="2" t="s">
        <v>594</v>
      </c>
      <c r="D1807" s="2" t="str">
        <f t="shared" si="27"/>
        <v>Error?</v>
      </c>
    </row>
    <row r="1808" spans="1:4" x14ac:dyDescent="0.2">
      <c r="A1808" s="5">
        <v>1747</v>
      </c>
      <c r="B1808" s="138">
        <f>'Tax Sched 23'!E4</f>
        <v>2460080</v>
      </c>
      <c r="D1808" s="2" t="str">
        <f t="shared" si="27"/>
        <v>Error?</v>
      </c>
    </row>
    <row r="1809" spans="1:4" x14ac:dyDescent="0.2">
      <c r="A1809" s="5">
        <v>1748</v>
      </c>
      <c r="B1809" s="138">
        <f>'Tax Sched 23'!E5</f>
        <v>445068</v>
      </c>
      <c r="D1809" s="2" t="str">
        <f t="shared" si="27"/>
        <v>Error?</v>
      </c>
    </row>
    <row r="1810" spans="1:4" x14ac:dyDescent="0.2">
      <c r="A1810" s="5">
        <v>1749</v>
      </c>
      <c r="B1810" s="138">
        <f>'Tax Sched 23'!E6</f>
        <v>1272544</v>
      </c>
      <c r="D1810" s="2" t="str">
        <f t="shared" si="27"/>
        <v>Error?</v>
      </c>
    </row>
    <row r="1811" spans="1:4" x14ac:dyDescent="0.2">
      <c r="A1811" s="5">
        <v>1750</v>
      </c>
      <c r="B1811" s="138">
        <f>'Tax Sched 23'!E7</f>
        <v>155031</v>
      </c>
      <c r="D1811" s="2" t="str">
        <f t="shared" si="27"/>
        <v>Error?</v>
      </c>
    </row>
    <row r="1812" spans="1:4" x14ac:dyDescent="0.2">
      <c r="A1812" s="5">
        <v>1751</v>
      </c>
      <c r="B1812" s="138">
        <f>'Tax Sched 23'!E8</f>
        <v>205028</v>
      </c>
      <c r="D1812" s="2" t="str">
        <f t="shared" si="27"/>
        <v>Error?</v>
      </c>
    </row>
    <row r="1813" spans="1:4" x14ac:dyDescent="0.2">
      <c r="A1813" s="5">
        <v>1752</v>
      </c>
      <c r="B1813" s="138">
        <f>'Tax Sched 23'!E10</f>
        <v>64596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925017</v>
      </c>
      <c r="D1816" s="2" t="str">
        <f t="shared" si="27"/>
        <v>Error?</v>
      </c>
    </row>
    <row r="1817" spans="1:4" x14ac:dyDescent="0.2">
      <c r="A1817" s="5">
        <v>1756</v>
      </c>
      <c r="B1817" s="138">
        <f>'Tax Sched 23'!E12</f>
        <v>64596</v>
      </c>
      <c r="D1817" s="2" t="str">
        <f t="shared" si="27"/>
        <v>Error?</v>
      </c>
    </row>
    <row r="1818" spans="1:4" x14ac:dyDescent="0.2">
      <c r="A1818" s="5">
        <v>1757</v>
      </c>
      <c r="B1818" s="138">
        <f>'Tax Sched 23'!E14</f>
        <v>25838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5887422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5984831</v>
      </c>
      <c r="C1939" s="2" t="s">
        <v>594</v>
      </c>
      <c r="D1939" s="2" t="str">
        <f t="shared" si="29"/>
        <v>Error?</v>
      </c>
    </row>
    <row r="1940" spans="1:5" x14ac:dyDescent="0.2">
      <c r="A1940" s="5">
        <v>1879</v>
      </c>
      <c r="B1940" s="138">
        <f>'Short-Term Long-Term Debt 24'!F49</f>
        <v>1096814</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24326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24326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24326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137311</v>
      </c>
      <c r="D2008" s="2" t="str">
        <f t="shared" si="30"/>
        <v>Error?</v>
      </c>
    </row>
    <row r="2009" spans="1:4" x14ac:dyDescent="0.2">
      <c r="A2009" s="5">
        <v>1948</v>
      </c>
      <c r="B2009" s="138">
        <f>'Cap Outlay Deprec 26'!C8</f>
        <v>17729012</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1962476</v>
      </c>
      <c r="D2011" s="2" t="str">
        <f t="shared" si="30"/>
        <v>Error?</v>
      </c>
    </row>
    <row r="2012" spans="1:4" x14ac:dyDescent="0.2">
      <c r="A2012" s="5">
        <v>1951</v>
      </c>
      <c r="B2012" s="138">
        <f>'Cap Outlay Deprec 26'!C13</f>
        <v>268090</v>
      </c>
      <c r="D2012" s="2" t="str">
        <f t="shared" si="30"/>
        <v>Error?</v>
      </c>
    </row>
    <row r="2013" spans="1:4" x14ac:dyDescent="0.2">
      <c r="A2013" s="5">
        <v>1952</v>
      </c>
      <c r="B2013" s="138">
        <f>'Cap Outlay Deprec 26'!C16</f>
        <v>20096889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250131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51346</v>
      </c>
      <c r="D2018" s="2" t="str">
        <f t="shared" si="30"/>
        <v>Error?</v>
      </c>
    </row>
    <row r="2019" spans="1:4" x14ac:dyDescent="0.2">
      <c r="A2019" s="5">
        <v>1958</v>
      </c>
      <c r="B2019" s="138">
        <f>'Cap Outlay Deprec 26'!D16</f>
        <v>301477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122121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122121</v>
      </c>
      <c r="C2025" s="2" t="s">
        <v>594</v>
      </c>
      <c r="D2025" s="2" t="str">
        <f t="shared" si="30"/>
        <v>Error?</v>
      </c>
    </row>
    <row r="2026" spans="1:4" x14ac:dyDescent="0.2">
      <c r="A2026" s="5">
        <v>1965</v>
      </c>
      <c r="B2026" s="138">
        <f>'Cap Outlay Deprec 26'!F5</f>
        <v>137311</v>
      </c>
      <c r="C2026" s="2" t="s">
        <v>594</v>
      </c>
      <c r="D2026" s="2" t="str">
        <f t="shared" si="30"/>
        <v>Error?</v>
      </c>
    </row>
    <row r="2027" spans="1:4" x14ac:dyDescent="0.2">
      <c r="A2027" s="5">
        <v>1966</v>
      </c>
      <c r="B2027" s="138">
        <f>'Cap Outlay Deprec 26'!F8</f>
        <v>17979143</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1840355</v>
      </c>
      <c r="C2029" s="2" t="s">
        <v>594</v>
      </c>
      <c r="D2029" s="2" t="str">
        <f t="shared" si="30"/>
        <v>Error?</v>
      </c>
    </row>
    <row r="2030" spans="1:4" x14ac:dyDescent="0.2">
      <c r="A2030" s="5">
        <v>1969</v>
      </c>
      <c r="B2030" s="138">
        <f>'Cap Outlay Deprec 26'!F13</f>
        <v>319436</v>
      </c>
      <c r="C2030" s="2" t="s">
        <v>594</v>
      </c>
      <c r="D2030" s="2" t="str">
        <f t="shared" si="30"/>
        <v>Error?</v>
      </c>
    </row>
    <row r="2031" spans="1:4" x14ac:dyDescent="0.2">
      <c r="A2031" s="5">
        <v>1970</v>
      </c>
      <c r="B2031" s="138">
        <f>'Cap Outlay Deprec 26'!F16</f>
        <v>20276245</v>
      </c>
      <c r="C2031" s="2" t="s">
        <v>594</v>
      </c>
      <c r="D2031" s="2" t="str">
        <f t="shared" si="30"/>
        <v>Error?</v>
      </c>
    </row>
    <row r="2032" spans="1:4" x14ac:dyDescent="0.2">
      <c r="A2032" s="10">
        <v>1971</v>
      </c>
      <c r="D2032" s="2" t="str">
        <f t="shared" si="30"/>
        <v>OK</v>
      </c>
    </row>
    <row r="2033" spans="1:4" x14ac:dyDescent="0.2">
      <c r="A2033" s="5">
        <v>1972</v>
      </c>
      <c r="B2033" s="138">
        <f>'Cap Outlay Deprec 26'!H8</f>
        <v>6259929</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1944812</v>
      </c>
      <c r="D2035" s="2" t="str">
        <f t="shared" si="30"/>
        <v>Error?</v>
      </c>
    </row>
    <row r="2036" spans="1:4" x14ac:dyDescent="0.2">
      <c r="A2036" s="5">
        <v>1975</v>
      </c>
      <c r="B2036" s="138">
        <f>'Cap Outlay Deprec 26'!H13</f>
        <v>217676</v>
      </c>
      <c r="D2036" s="2" t="str">
        <f t="shared" si="30"/>
        <v>Error?</v>
      </c>
    </row>
    <row r="2037" spans="1:4" x14ac:dyDescent="0.2">
      <c r="A2037" s="5">
        <v>1976</v>
      </c>
      <c r="B2037" s="138">
        <f>'Cap Outlay Deprec 26'!H16</f>
        <v>8422417</v>
      </c>
      <c r="C2037" s="2" t="s">
        <v>594</v>
      </c>
      <c r="D2037" s="2" t="str">
        <f t="shared" si="30"/>
        <v>Error?</v>
      </c>
    </row>
    <row r="2038" spans="1:4" x14ac:dyDescent="0.2">
      <c r="A2038" s="10">
        <v>1977</v>
      </c>
      <c r="D2038" s="2" t="str">
        <f t="shared" si="30"/>
        <v>OK</v>
      </c>
    </row>
    <row r="2039" spans="1:4" x14ac:dyDescent="0.2">
      <c r="A2039" s="5">
        <v>1978</v>
      </c>
      <c r="B2039" s="138">
        <f>'Cap Outlay Deprec 26'!I8</f>
        <v>429320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12321</v>
      </c>
      <c r="D2041" s="2" t="str">
        <f t="shared" si="30"/>
        <v>Error?</v>
      </c>
    </row>
    <row r="2042" spans="1:4" x14ac:dyDescent="0.2">
      <c r="A2042" s="5">
        <v>1981</v>
      </c>
      <c r="B2042" s="138">
        <f>'Cap Outlay Deprec 26'!I13</f>
        <v>31876</v>
      </c>
      <c r="D2042" s="2" t="str">
        <f t="shared" si="30"/>
        <v>Error?</v>
      </c>
    </row>
    <row r="2043" spans="1:4" x14ac:dyDescent="0.2">
      <c r="A2043" s="5">
        <v>1982</v>
      </c>
      <c r="B2043" s="138">
        <f>'Cap Outlay Deprec 26'!I16</f>
        <v>473517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122121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122121</v>
      </c>
      <c r="C2049" s="2" t="s">
        <v>594</v>
      </c>
      <c r="D2049" s="2" t="str">
        <f t="shared" si="31"/>
        <v>Error?</v>
      </c>
    </row>
    <row r="2050" spans="1:4" x14ac:dyDescent="0.2">
      <c r="A2050" s="10">
        <v>1989</v>
      </c>
      <c r="D2050" s="2" t="str">
        <f t="shared" si="31"/>
        <v>OK</v>
      </c>
    </row>
    <row r="2051" spans="1:4" x14ac:dyDescent="0.2">
      <c r="A2051" s="5">
        <v>1990</v>
      </c>
      <c r="B2051" s="138">
        <f>'Cap Outlay Deprec 26'!K8</f>
        <v>6689249</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1835012</v>
      </c>
      <c r="C2053" s="2" t="s">
        <v>594</v>
      </c>
      <c r="D2053" s="2" t="str">
        <f t="shared" si="31"/>
        <v>Error?</v>
      </c>
    </row>
    <row r="2054" spans="1:4" x14ac:dyDescent="0.2">
      <c r="A2054" s="5">
        <v>1993</v>
      </c>
      <c r="B2054" s="138">
        <f>'Cap Outlay Deprec 26'!K13</f>
        <v>249552</v>
      </c>
      <c r="C2054" s="2" t="s">
        <v>594</v>
      </c>
      <c r="D2054" s="2" t="str">
        <f t="shared" si="31"/>
        <v>Error?</v>
      </c>
    </row>
    <row r="2055" spans="1:4" x14ac:dyDescent="0.2">
      <c r="A2055" s="5">
        <v>1994</v>
      </c>
      <c r="B2055" s="138">
        <f>'Cap Outlay Deprec 26'!K16</f>
        <v>8773813</v>
      </c>
      <c r="C2055" s="2" t="s">
        <v>594</v>
      </c>
      <c r="D2055" s="2" t="str">
        <f t="shared" si="31"/>
        <v>Error?</v>
      </c>
    </row>
    <row r="2056" spans="1:4" x14ac:dyDescent="0.2">
      <c r="A2056" s="5">
        <v>1995</v>
      </c>
      <c r="B2056" s="138">
        <f>'Cap Outlay Deprec 26'!L5</f>
        <v>137311</v>
      </c>
      <c r="C2056" s="2" t="s">
        <v>594</v>
      </c>
      <c r="D2056" s="2" t="str">
        <f t="shared" si="31"/>
        <v>Error?</v>
      </c>
    </row>
    <row r="2057" spans="1:4" x14ac:dyDescent="0.2">
      <c r="A2057" s="5">
        <v>1996</v>
      </c>
      <c r="B2057" s="138">
        <f>'Cap Outlay Deprec 26'!L8</f>
        <v>11289894</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5343</v>
      </c>
      <c r="C2059" s="2" t="s">
        <v>594</v>
      </c>
      <c r="D2059" s="2" t="str">
        <f t="shared" si="31"/>
        <v>Error?</v>
      </c>
    </row>
    <row r="2060" spans="1:4" x14ac:dyDescent="0.2">
      <c r="A2060" s="5">
        <v>1999</v>
      </c>
      <c r="B2060" s="138">
        <f>'Cap Outlay Deprec 26'!L13</f>
        <v>69884</v>
      </c>
      <c r="C2060" s="2" t="s">
        <v>594</v>
      </c>
      <c r="D2060" s="2" t="str">
        <f t="shared" si="31"/>
        <v>Error?</v>
      </c>
    </row>
    <row r="2061" spans="1:4" x14ac:dyDescent="0.2">
      <c r="A2061" s="5">
        <v>2000</v>
      </c>
      <c r="B2061" s="138">
        <f>'Cap Outlay Deprec 26'!L16</f>
        <v>11502432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226269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469801</v>
      </c>
      <c r="C2088" s="2" t="s">
        <v>594</v>
      </c>
      <c r="D2088" s="2" t="str">
        <f t="shared" si="31"/>
        <v>Error?</v>
      </c>
    </row>
    <row r="2089" spans="1:4" x14ac:dyDescent="0.2">
      <c r="A2089" s="5">
        <v>2028</v>
      </c>
      <c r="B2089" s="138">
        <f>'Expenditures 15-22'!K92</f>
        <v>251326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189882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3091753</v>
      </c>
      <c r="C2551" s="2" t="s">
        <v>594</v>
      </c>
      <c r="D2551" s="2" t="str">
        <f t="shared" si="38"/>
        <v>Error?</v>
      </c>
    </row>
    <row r="2552" spans="1:4" x14ac:dyDescent="0.2">
      <c r="A2552" s="10">
        <v>2491</v>
      </c>
      <c r="D2552" s="2" t="str">
        <f t="shared" si="38"/>
        <v>OK</v>
      </c>
    </row>
    <row r="2553" spans="1:4" x14ac:dyDescent="0.2">
      <c r="A2553" s="5">
        <v>2492</v>
      </c>
      <c r="B2553" s="138">
        <f>'Acct Summary 7-8'!C6</f>
        <v>3270232</v>
      </c>
      <c r="C2553" s="2" t="s">
        <v>594</v>
      </c>
      <c r="D2553" s="2" t="str">
        <f t="shared" si="38"/>
        <v>Error?</v>
      </c>
    </row>
    <row r="2554" spans="1:4" x14ac:dyDescent="0.2">
      <c r="A2554" s="5">
        <v>2493</v>
      </c>
      <c r="B2554" s="138">
        <f>'Acct Summary 7-8'!C7</f>
        <v>845692</v>
      </c>
      <c r="C2554" s="2" t="s">
        <v>594</v>
      </c>
      <c r="D2554" s="2" t="str">
        <f t="shared" si="38"/>
        <v>Error?</v>
      </c>
    </row>
    <row r="2555" spans="1:4" x14ac:dyDescent="0.2">
      <c r="A2555" s="5">
        <v>2494</v>
      </c>
      <c r="B2555" s="138">
        <f>'Acct Summary 7-8'!C8</f>
        <v>7450209</v>
      </c>
      <c r="C2555" s="2" t="s">
        <v>594</v>
      </c>
      <c r="D2555" s="2" t="str">
        <f t="shared" si="38"/>
        <v>Error?</v>
      </c>
    </row>
    <row r="2556" spans="1:4" x14ac:dyDescent="0.2">
      <c r="A2556" s="5">
        <v>2495</v>
      </c>
      <c r="B2556" s="138">
        <f>'Acct Summary 7-8'!C12</f>
        <v>3944540</v>
      </c>
      <c r="C2556" s="2" t="s">
        <v>594</v>
      </c>
      <c r="D2556" s="2" t="str">
        <f t="shared" si="38"/>
        <v>Error?</v>
      </c>
    </row>
    <row r="2557" spans="1:4" x14ac:dyDescent="0.2">
      <c r="A2557" s="5">
        <v>2496</v>
      </c>
      <c r="B2557" s="138">
        <f>'Acct Summary 7-8'!C13</f>
        <v>1858987</v>
      </c>
      <c r="C2557" s="2" t="s">
        <v>594</v>
      </c>
      <c r="D2557" s="2" t="str">
        <f t="shared" si="38"/>
        <v>Error?</v>
      </c>
    </row>
    <row r="2558" spans="1:4" x14ac:dyDescent="0.2">
      <c r="A2558" s="5">
        <v>2497</v>
      </c>
      <c r="B2558" s="138">
        <f>'Acct Summary 7-8'!C14</f>
        <v>200956</v>
      </c>
      <c r="C2558" s="2" t="s">
        <v>594</v>
      </c>
      <c r="D2558" s="2" t="str">
        <f t="shared" si="38"/>
        <v>Error?</v>
      </c>
    </row>
    <row r="2559" spans="1:4" x14ac:dyDescent="0.2">
      <c r="A2559" s="5">
        <v>2498</v>
      </c>
      <c r="B2559" s="138">
        <f>'Acct Summary 7-8'!C15</f>
        <v>721127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6725610</v>
      </c>
      <c r="C2561" s="2" t="s">
        <v>594</v>
      </c>
      <c r="D2561" s="2" t="str">
        <f t="shared" si="39"/>
        <v>Error?</v>
      </c>
    </row>
    <row r="2562" spans="1:4" x14ac:dyDescent="0.2">
      <c r="A2562" s="5">
        <v>2501</v>
      </c>
      <c r="B2562" s="138">
        <f>'Acct Summary 7-8'!C20</f>
        <v>724599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491501</v>
      </c>
      <c r="C2564" s="2" t="s">
        <v>594</v>
      </c>
      <c r="D2564" s="2" t="str">
        <f t="shared" si="39"/>
        <v>Error?</v>
      </c>
    </row>
    <row r="2565" spans="1:4" x14ac:dyDescent="0.2">
      <c r="A2565" s="10">
        <v>2504</v>
      </c>
      <c r="D2565" s="2" t="str">
        <f t="shared" si="39"/>
        <v>OK</v>
      </c>
    </row>
    <row r="2566" spans="1:4" x14ac:dyDescent="0.2">
      <c r="A2566" s="5">
        <v>2505</v>
      </c>
      <c r="B2566" s="138">
        <f>'Acct Summary 7-8'!D6</f>
        <v>191382</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682883</v>
      </c>
      <c r="C2568" s="2" t="s">
        <v>594</v>
      </c>
      <c r="D2568" s="2" t="str">
        <f t="shared" si="39"/>
        <v>Error?</v>
      </c>
    </row>
    <row r="2569" spans="1:4" x14ac:dyDescent="0.2">
      <c r="A2569" s="5">
        <v>2508</v>
      </c>
      <c r="B2569" s="138">
        <f>'Acct Summary 7-8'!D13</f>
        <v>597839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597839</v>
      </c>
      <c r="C2573" s="2" t="s">
        <v>594</v>
      </c>
      <c r="D2573" s="2" t="str">
        <f t="shared" si="39"/>
        <v>Error?</v>
      </c>
    </row>
    <row r="2574" spans="1:4" x14ac:dyDescent="0.2">
      <c r="A2574" s="5">
        <v>2513</v>
      </c>
      <c r="B2574" s="138">
        <f>'Acct Summary 7-8'!D20</f>
        <v>85044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391874</v>
      </c>
      <c r="C2591" s="2" t="s">
        <v>594</v>
      </c>
      <c r="D2591" s="2" t="str">
        <f t="shared" si="39"/>
        <v>Error?</v>
      </c>
    </row>
    <row r="2592" spans="1:4" x14ac:dyDescent="0.2">
      <c r="A2592" s="10">
        <v>2531</v>
      </c>
      <c r="D2592" s="2" t="str">
        <f t="shared" si="39"/>
        <v>OK</v>
      </c>
    </row>
    <row r="2593" spans="1:4" x14ac:dyDescent="0.2">
      <c r="A2593" s="5">
        <v>2532</v>
      </c>
      <c r="B2593" s="138">
        <f>'Acct Summary 7-8'!F6</f>
        <v>470867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862741</v>
      </c>
      <c r="C2595" s="2" t="s">
        <v>594</v>
      </c>
      <c r="D2595" s="2" t="str">
        <f t="shared" si="39"/>
        <v>Error?</v>
      </c>
    </row>
    <row r="2596" spans="1:4" x14ac:dyDescent="0.2">
      <c r="A2596" s="5">
        <v>2535</v>
      </c>
      <c r="B2596" s="138">
        <f>'Acct Summary 7-8'!F13</f>
        <v>1599562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1599562</v>
      </c>
      <c r="C2600" s="2" t="s">
        <v>594</v>
      </c>
      <c r="D2600" s="2" t="str">
        <f t="shared" si="39"/>
        <v>Error?</v>
      </c>
    </row>
    <row r="2601" spans="1:4" x14ac:dyDescent="0.2">
      <c r="A2601" s="5">
        <v>2540</v>
      </c>
      <c r="B2601" s="138">
        <f>'Acct Summary 7-8'!F20</f>
        <v>-736821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481013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481013</v>
      </c>
      <c r="C2606" s="2" t="s">
        <v>594</v>
      </c>
      <c r="D2606" s="2" t="str">
        <f t="shared" si="39"/>
        <v>Error?</v>
      </c>
    </row>
    <row r="2607" spans="1:4" x14ac:dyDescent="0.2">
      <c r="A2607" s="5">
        <v>2546</v>
      </c>
      <c r="B2607" s="138">
        <f>'Acct Summary 7-8'!G12</f>
        <v>127660</v>
      </c>
      <c r="C2607" s="2" t="s">
        <v>594</v>
      </c>
      <c r="D2607" s="2" t="str">
        <f t="shared" si="39"/>
        <v>Error?</v>
      </c>
    </row>
    <row r="2608" spans="1:4" x14ac:dyDescent="0.2">
      <c r="A2608" s="5">
        <v>2547</v>
      </c>
      <c r="B2608" s="138">
        <f>'Acct Summary 7-8'!G13</f>
        <v>242346</v>
      </c>
      <c r="C2608" s="2" t="s">
        <v>594</v>
      </c>
      <c r="D2608" s="2" t="str">
        <f t="shared" si="39"/>
        <v>Error?</v>
      </c>
    </row>
    <row r="2609" spans="1:4" x14ac:dyDescent="0.2">
      <c r="A2609" s="5">
        <v>2548</v>
      </c>
      <c r="B2609" s="138">
        <f>'Acct Summary 7-8'!G14</f>
        <v>20279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391332</v>
      </c>
      <c r="C2612" s="2" t="s">
        <v>594</v>
      </c>
      <c r="D2612" s="2" t="str">
        <f t="shared" si="39"/>
        <v>Error?</v>
      </c>
    </row>
    <row r="2613" spans="1:4" x14ac:dyDescent="0.2">
      <c r="A2613" s="5">
        <v>2552</v>
      </c>
      <c r="B2613" s="138">
        <f>'Acct Summary 7-8'!G20</f>
        <v>89681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1275694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1275694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1653432</v>
      </c>
      <c r="C2634" s="2" t="s">
        <v>594</v>
      </c>
      <c r="D2634" s="2" t="str">
        <f t="shared" si="40"/>
        <v>Error?</v>
      </c>
    </row>
    <row r="2635" spans="1:4" x14ac:dyDescent="0.2">
      <c r="A2635" s="5">
        <v>2574</v>
      </c>
      <c r="B2635" s="138">
        <f>'Acct Summary 7-8'!E17</f>
        <v>1653432</v>
      </c>
      <c r="C2635" s="2" t="s">
        <v>594</v>
      </c>
      <c r="D2635" s="2" t="str">
        <f t="shared" si="40"/>
        <v>Error?</v>
      </c>
    </row>
    <row r="2636" spans="1:4" x14ac:dyDescent="0.2">
      <c r="A2636" s="5">
        <v>2575</v>
      </c>
      <c r="B2636" s="138">
        <f>'Acct Summary 7-8'!E20</f>
        <v>-377738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211505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211505</v>
      </c>
      <c r="C2661" s="2" t="s">
        <v>594</v>
      </c>
      <c r="D2661" s="2" t="str">
        <f t="shared" si="40"/>
        <v>Error?</v>
      </c>
    </row>
    <row r="2662" spans="1:4" x14ac:dyDescent="0.2">
      <c r="A2662" s="5">
        <v>2601</v>
      </c>
      <c r="B2662" s="138">
        <f>'Acct Summary 7-8'!H20</f>
        <v>-211505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14252</v>
      </c>
      <c r="D2718" s="2" t="str">
        <f t="shared" si="41"/>
        <v>Error?</v>
      </c>
    </row>
    <row r="2719" spans="1:4" x14ac:dyDescent="0.2">
      <c r="A2719" s="5">
        <v>2658</v>
      </c>
      <c r="B2719" s="138">
        <f>'Expenditures 15-22'!D51</f>
        <v>1537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81</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15870</v>
      </c>
      <c r="C2724" s="2" t="s">
        <v>594</v>
      </c>
      <c r="D2724" s="2" t="str">
        <f t="shared" si="41"/>
        <v>Error?</v>
      </c>
    </row>
    <row r="2725" spans="1:4" x14ac:dyDescent="0.2">
      <c r="A2725" s="5">
        <v>2664</v>
      </c>
      <c r="B2725" s="138">
        <f>'Expenditures 15-22'!D247</f>
        <v>2637</v>
      </c>
      <c r="D2725" s="2" t="str">
        <f t="shared" si="41"/>
        <v>Error?</v>
      </c>
    </row>
    <row r="2726" spans="1:4" x14ac:dyDescent="0.2">
      <c r="A2726" s="5">
        <v>2665</v>
      </c>
      <c r="B2726" s="138">
        <f>'Expenditures 15-22'!K247</f>
        <v>2637</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243532</v>
      </c>
      <c r="C2789" s="2" t="s">
        <v>594</v>
      </c>
      <c r="D2789" s="2" t="str">
        <f t="shared" si="42"/>
        <v>Error?</v>
      </c>
    </row>
    <row r="2790" spans="1:4" x14ac:dyDescent="0.2">
      <c r="A2790" s="5">
        <v>2729</v>
      </c>
      <c r="B2790" s="138">
        <f>'Expenditures 15-22'!E102</f>
        <v>243532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459995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47821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459995</v>
      </c>
      <c r="D2912" s="2" t="str">
        <f t="shared" si="44"/>
        <v>Error?</v>
      </c>
    </row>
    <row r="2913" spans="1:4" x14ac:dyDescent="0.2">
      <c r="A2913" s="5">
        <v>2852</v>
      </c>
      <c r="B2913" s="138">
        <f>'Assets-Liab 5-6'!I41</f>
        <v>459995</v>
      </c>
      <c r="C2913" s="2" t="s">
        <v>594</v>
      </c>
      <c r="D2913" s="2" t="str">
        <f t="shared" si="44"/>
        <v>Error?</v>
      </c>
    </row>
    <row r="2914" spans="1:4" x14ac:dyDescent="0.2">
      <c r="A2914" s="5">
        <v>2853</v>
      </c>
      <c r="B2914" s="138">
        <f>'Assets-Liab 5-6'!L33</f>
        <v>47821</v>
      </c>
      <c r="D2914" s="2" t="str">
        <f t="shared" si="44"/>
        <v>Error?</v>
      </c>
    </row>
    <row r="2915" spans="1:4" x14ac:dyDescent="0.2">
      <c r="A2915" s="10">
        <v>2854</v>
      </c>
      <c r="D2915" s="2" t="str">
        <f t="shared" si="44"/>
        <v>OK</v>
      </c>
    </row>
    <row r="2916" spans="1:4" x14ac:dyDescent="0.2">
      <c r="A2916" s="5">
        <v>2855</v>
      </c>
      <c r="B2916" s="138">
        <f>'Assets-Liab 5-6'!L34</f>
        <v>47821</v>
      </c>
      <c r="C2916" s="2" t="s">
        <v>594</v>
      </c>
      <c r="D2916" s="2" t="str">
        <f t="shared" si="44"/>
        <v>Error?</v>
      </c>
    </row>
    <row r="2917" spans="1:4" x14ac:dyDescent="0.2">
      <c r="A2917" s="5">
        <v>2856</v>
      </c>
      <c r="B2917" s="138">
        <f>'Assets-Liab 5-6'!L41</f>
        <v>47821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243532</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16979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209290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243532</v>
      </c>
      <c r="C2973" s="2" t="s">
        <v>594</v>
      </c>
      <c r="D2973" s="2" t="str">
        <f t="shared" si="45"/>
        <v>Error?</v>
      </c>
    </row>
    <row r="2974" spans="1:4" x14ac:dyDescent="0.2">
      <c r="A2974" s="5">
        <v>2913</v>
      </c>
      <c r="B2974" s="138">
        <f>'Expenditures 15-22'!K79</f>
        <v>16979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209290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175227</v>
      </c>
      <c r="D3055" s="2" t="str">
        <f t="shared" si="46"/>
        <v>Error?</v>
      </c>
    </row>
    <row r="3056" spans="1:4" x14ac:dyDescent="0.2">
      <c r="A3056" s="5">
        <v>2995</v>
      </c>
      <c r="B3056" s="138">
        <f>'Expenditures 15-22'!D10</f>
        <v>21056</v>
      </c>
      <c r="D3056" s="2" t="str">
        <f t="shared" si="46"/>
        <v>Error?</v>
      </c>
    </row>
    <row r="3057" spans="1:4" x14ac:dyDescent="0.2">
      <c r="A3057" s="5">
        <v>2996</v>
      </c>
      <c r="B3057" s="138">
        <f>'Expenditures 15-22'!E10</f>
        <v>17421</v>
      </c>
      <c r="D3057" s="2" t="str">
        <f t="shared" si="46"/>
        <v>Error?</v>
      </c>
    </row>
    <row r="3058" spans="1:4" x14ac:dyDescent="0.2">
      <c r="A3058" s="5">
        <v>2997</v>
      </c>
      <c r="B3058" s="138">
        <f>'Expenditures 15-22'!F10</f>
        <v>73540</v>
      </c>
      <c r="D3058" s="2" t="str">
        <f t="shared" si="46"/>
        <v>Error?</v>
      </c>
    </row>
    <row r="3059" spans="1:4" x14ac:dyDescent="0.2">
      <c r="A3059" s="5">
        <v>2998</v>
      </c>
      <c r="B3059" s="138">
        <f>'Expenditures 15-22'!G10</f>
        <v>1599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288843</v>
      </c>
      <c r="C3062" s="2" t="s">
        <v>594</v>
      </c>
      <c r="D3062" s="2" t="str">
        <f t="shared" si="46"/>
        <v>Error?</v>
      </c>
    </row>
    <row r="3063" spans="1:4" x14ac:dyDescent="0.2">
      <c r="A3063" s="10">
        <v>3002</v>
      </c>
      <c r="D3063" s="2" t="str">
        <f t="shared" si="46"/>
        <v>OK</v>
      </c>
    </row>
    <row r="3064" spans="1:4" x14ac:dyDescent="0.2">
      <c r="A3064" s="5">
        <v>3003</v>
      </c>
      <c r="B3064" s="138">
        <f>'Expenditures 15-22'!D219</f>
        <v>18678</v>
      </c>
      <c r="D3064" s="2" t="str">
        <f t="shared" si="46"/>
        <v>Error?</v>
      </c>
    </row>
    <row r="3065" spans="1:4" x14ac:dyDescent="0.2">
      <c r="A3065" s="5">
        <v>3004</v>
      </c>
      <c r="B3065" s="138">
        <f>'Expenditures 15-22'!K219</f>
        <v>18678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1096814</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60810</v>
      </c>
      <c r="C3225" s="2" t="s">
        <v>594</v>
      </c>
      <c r="D3225" s="2" t="str">
        <f t="shared" si="49"/>
        <v>Error?</v>
      </c>
    </row>
    <row r="3226" spans="1:4" x14ac:dyDescent="0.2">
      <c r="A3226" s="5">
        <v>3165</v>
      </c>
      <c r="B3226" s="138">
        <f>'Acct Summary 7-8'!I8</f>
        <v>60810</v>
      </c>
      <c r="C3226" s="2" t="s">
        <v>594</v>
      </c>
      <c r="D3226" s="2" t="str">
        <f t="shared" si="49"/>
        <v>Error?</v>
      </c>
    </row>
    <row r="3227" spans="1:4" x14ac:dyDescent="0.2">
      <c r="A3227" s="5">
        <v>3166</v>
      </c>
      <c r="B3227" s="138">
        <f>'Acct Summary 7-8'!I20</f>
        <v>60810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724599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11155</v>
      </c>
      <c r="C3237" s="2" t="s">
        <v>594</v>
      </c>
      <c r="D3237" s="2" t="str">
        <f t="shared" si="49"/>
        <v>Error?</v>
      </c>
    </row>
    <row r="3238" spans="1:4" x14ac:dyDescent="0.2">
      <c r="A3238" s="5">
        <v>3177</v>
      </c>
      <c r="B3238" s="138">
        <f>'Acct Summary 7-8'!D77</f>
        <v>-11155</v>
      </c>
      <c r="C3238" s="2" t="s">
        <v>594</v>
      </c>
      <c r="D3238" s="2" t="str">
        <f t="shared" si="49"/>
        <v>Error?</v>
      </c>
    </row>
    <row r="3239" spans="1:4" x14ac:dyDescent="0.2">
      <c r="A3239" s="5">
        <v>3178</v>
      </c>
      <c r="B3239" s="138">
        <f>'Acct Summary 7-8'!D78</f>
        <v>73889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1096814</v>
      </c>
      <c r="C3252" s="2" t="s">
        <v>594</v>
      </c>
      <c r="D3252" s="2" t="str">
        <f t="shared" si="49"/>
        <v>Error?</v>
      </c>
    </row>
    <row r="3253" spans="1:4" x14ac:dyDescent="0.2">
      <c r="A3253" s="5">
        <v>3192</v>
      </c>
      <c r="B3253" s="138">
        <f>'Acct Summary 7-8'!F75</f>
        <v>181072</v>
      </c>
      <c r="D3253" s="2" t="str">
        <f t="shared" si="49"/>
        <v>Error?</v>
      </c>
    </row>
    <row r="3254" spans="1:4" x14ac:dyDescent="0.2">
      <c r="A3254" s="5">
        <v>3193</v>
      </c>
      <c r="B3254" s="138">
        <f>'Acct Summary 7-8'!F76</f>
        <v>181072</v>
      </c>
      <c r="C3254" s="2" t="s">
        <v>594</v>
      </c>
      <c r="D3254" s="2" t="str">
        <f t="shared" si="49"/>
        <v>Error?</v>
      </c>
    </row>
    <row r="3255" spans="1:4" x14ac:dyDescent="0.2">
      <c r="A3255" s="5">
        <v>3194</v>
      </c>
      <c r="B3255" s="138">
        <f>'Acct Summary 7-8'!F77</f>
        <v>915742</v>
      </c>
      <c r="C3255" s="2" t="s">
        <v>594</v>
      </c>
      <c r="D3255" s="2" t="str">
        <f t="shared" si="49"/>
        <v>Error?</v>
      </c>
    </row>
    <row r="3256" spans="1:4" x14ac:dyDescent="0.2">
      <c r="A3256" s="5">
        <v>3195</v>
      </c>
      <c r="B3256" s="138">
        <f>'Acct Summary 7-8'!F78</f>
        <v>178921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89681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380287</v>
      </c>
      <c r="D3273" s="2" t="str">
        <f t="shared" si="50"/>
        <v>Error?</v>
      </c>
    </row>
    <row r="3274" spans="1:4" x14ac:dyDescent="0.2">
      <c r="A3274" s="5">
        <v>3213</v>
      </c>
      <c r="B3274" s="138">
        <f>'Acct Summary 7-8'!E44</f>
        <v>391442</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391442</v>
      </c>
      <c r="C3277" s="2" t="s">
        <v>594</v>
      </c>
      <c r="D3277" s="2" t="str">
        <f t="shared" si="50"/>
        <v>Error?</v>
      </c>
    </row>
    <row r="3278" spans="1:4" x14ac:dyDescent="0.2">
      <c r="A3278" s="5">
        <v>3217</v>
      </c>
      <c r="B3278" s="138">
        <f>'Acct Summary 7-8'!E78</f>
        <v>13704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-211505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60810</v>
      </c>
      <c r="C3320" s="2" t="s">
        <v>594</v>
      </c>
      <c r="D3320" s="2" t="str">
        <f t="shared" si="50"/>
        <v>Error?</v>
      </c>
    </row>
    <row r="3321" spans="1:4" x14ac:dyDescent="0.2">
      <c r="A3321" s="5">
        <v>3260</v>
      </c>
      <c r="B3321" s="138">
        <f>'Acct Summary 7-8'!I79</f>
        <v>399185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459995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852431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168789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13754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9215</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1034974</v>
      </c>
      <c r="C3380" s="2" t="s">
        <v>594</v>
      </c>
      <c r="D3380" s="2" t="str">
        <f t="shared" si="51"/>
        <v>Error?</v>
      </c>
    </row>
    <row r="3381" spans="1:4" x14ac:dyDescent="0.2">
      <c r="A3381" s="5">
        <v>3320</v>
      </c>
      <c r="B3381" s="138">
        <f>'Expenditures 15-22'!K19</f>
        <v>9215</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44486</v>
      </c>
      <c r="D3387" s="2" t="str">
        <f t="shared" si="51"/>
        <v>Error?</v>
      </c>
    </row>
    <row r="3388" spans="1:4" x14ac:dyDescent="0.2">
      <c r="A3388" s="5">
        <v>3327</v>
      </c>
      <c r="B3388" s="138">
        <f>'Expenditures 15-22'!D217</f>
        <v>54374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44486</v>
      </c>
      <c r="C3390" s="2" t="s">
        <v>594</v>
      </c>
      <c r="D3390" s="2" t="str">
        <f t="shared" si="51"/>
        <v>Error?</v>
      </c>
    </row>
    <row r="3391" spans="1:4" x14ac:dyDescent="0.2">
      <c r="A3391" s="5">
        <v>3330</v>
      </c>
      <c r="B3391" s="138">
        <f>'Expenditures 15-22'!K217</f>
        <v>54374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242532</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1701324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243041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443684</v>
      </c>
      <c r="D3417" s="2" t="str">
        <f t="shared" si="52"/>
        <v>Error?</v>
      </c>
    </row>
    <row r="3418" spans="1:4" x14ac:dyDescent="0.2">
      <c r="A3418" s="10">
        <v>3357</v>
      </c>
      <c r="D3418" s="2" t="str">
        <f t="shared" si="52"/>
        <v>OK</v>
      </c>
    </row>
    <row r="3419" spans="1:4" x14ac:dyDescent="0.2">
      <c r="A3419" s="5">
        <v>3358</v>
      </c>
      <c r="B3419" s="138">
        <f>'Assets-Liab 5-6'!F4</f>
        <v>411628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246145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287622</v>
      </c>
      <c r="D3425" s="2" t="str">
        <f t="shared" si="52"/>
        <v>Error?</v>
      </c>
    </row>
    <row r="3426" spans="1:4" x14ac:dyDescent="0.2">
      <c r="A3426" s="10">
        <v>3365</v>
      </c>
      <c r="D3426" s="2" t="str">
        <f t="shared" si="52"/>
        <v>OK</v>
      </c>
    </row>
    <row r="3427" spans="1:4" x14ac:dyDescent="0.2">
      <c r="A3427" s="5">
        <v>3366</v>
      </c>
      <c r="B3427" s="138">
        <f>'Assets-Liab 5-6'!I4</f>
        <v>459995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47821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232178</v>
      </c>
      <c r="C3446" s="2" t="s">
        <v>594</v>
      </c>
      <c r="D3446" s="2" t="str">
        <f t="shared" si="52"/>
        <v>Error?</v>
      </c>
    </row>
    <row r="3447" spans="1:4" x14ac:dyDescent="0.2">
      <c r="A3447" s="5">
        <v>3386</v>
      </c>
      <c r="B3447" s="138">
        <f>'Tax Sched 23'!D16</f>
        <v>232178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205028</v>
      </c>
      <c r="C3449" s="2" t="s">
        <v>594</v>
      </c>
      <c r="D3449" s="2" t="str">
        <f t="shared" si="52"/>
        <v>Error?</v>
      </c>
    </row>
    <row r="3450" spans="1:4" x14ac:dyDescent="0.2">
      <c r="A3450" s="5">
        <v>3389</v>
      </c>
      <c r="B3450" s="138">
        <f>'Tax Sched 23'!E16</f>
        <v>205028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1110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1110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1110</v>
      </c>
      <c r="D3567" s="2" t="str">
        <f t="shared" si="54"/>
        <v>Error?</v>
      </c>
    </row>
    <row r="3568" spans="1:4" x14ac:dyDescent="0.2">
      <c r="A3568" s="5">
        <v>3507</v>
      </c>
      <c r="B3568" s="138">
        <f>'Assets-Liab 5-6'!K41</f>
        <v>1110</v>
      </c>
      <c r="C3568" s="2" t="s">
        <v>594</v>
      </c>
      <c r="D3568" s="2" t="str">
        <f t="shared" si="54"/>
        <v>Error?</v>
      </c>
    </row>
    <row r="3569" spans="1:4" x14ac:dyDescent="0.2">
      <c r="A3569" s="5">
        <v>3508</v>
      </c>
      <c r="B3569" s="138">
        <f>'Acct Summary 7-8'!K4</f>
        <v>62126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62126</v>
      </c>
      <c r="C3571" s="2" t="s">
        <v>594</v>
      </c>
      <c r="D3571" s="2" t="str">
        <f t="shared" si="54"/>
        <v>Error?</v>
      </c>
    </row>
    <row r="3572" spans="1:4" x14ac:dyDescent="0.2">
      <c r="A3572" s="5">
        <v>3511</v>
      </c>
      <c r="B3572" s="138">
        <f>'Acct Summary 7-8'!K13</f>
        <v>93525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93525</v>
      </c>
      <c r="C3575" s="2" t="s">
        <v>594</v>
      </c>
      <c r="D3575" s="2" t="str">
        <f t="shared" si="54"/>
        <v>Error?</v>
      </c>
    </row>
    <row r="3576" spans="1:4" x14ac:dyDescent="0.2">
      <c r="A3576" s="5">
        <v>3515</v>
      </c>
      <c r="B3576" s="138">
        <f>'Acct Summary 7-8'!K20</f>
        <v>-31399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-31399</v>
      </c>
      <c r="C3588" s="2" t="s">
        <v>594</v>
      </c>
      <c r="D3588" s="2" t="str">
        <f t="shared" si="55"/>
        <v>Error?</v>
      </c>
    </row>
    <row r="3589" spans="1:4" x14ac:dyDescent="0.2">
      <c r="A3589" s="5">
        <v>3528</v>
      </c>
      <c r="B3589" s="138">
        <f>'Acct Summary 7-8'!K79</f>
        <v>32509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1110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54899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54899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54899</v>
      </c>
      <c r="C3635" s="2" t="s">
        <v>594</v>
      </c>
      <c r="D3635" s="2" t="str">
        <f t="shared" si="55"/>
        <v>Error?</v>
      </c>
    </row>
    <row r="3636" spans="1:4" x14ac:dyDescent="0.2">
      <c r="A3636" s="5">
        <v>3575</v>
      </c>
      <c r="B3636" s="138">
        <f>'Expenditures 15-22'!E367</f>
        <v>54899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38626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38626</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38626</v>
      </c>
      <c r="C3649" s="2" t="s">
        <v>594</v>
      </c>
      <c r="D3649" s="2" t="str">
        <f t="shared" si="56"/>
        <v>Error?</v>
      </c>
    </row>
    <row r="3650" spans="1:4" x14ac:dyDescent="0.2">
      <c r="A3650" s="5">
        <v>3589</v>
      </c>
      <c r="B3650" s="138">
        <f>'Expenditures 15-22'!G367</f>
        <v>38626</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93525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93525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93525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93525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-31399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1047</v>
      </c>
      <c r="D3721" s="2" t="str">
        <f t="shared" si="57"/>
        <v>Error?</v>
      </c>
    </row>
    <row r="3722" spans="1:4" x14ac:dyDescent="0.2">
      <c r="A3722" s="5">
        <v>3661</v>
      </c>
      <c r="B3722" s="138">
        <f>'Expenditures 15-22'!D285</f>
        <v>1047</v>
      </c>
      <c r="C3722" s="2" t="s">
        <v>594</v>
      </c>
      <c r="D3722" s="2" t="str">
        <f t="shared" si="57"/>
        <v>Error?</v>
      </c>
    </row>
    <row r="3723" spans="1:4" x14ac:dyDescent="0.2">
      <c r="A3723" s="5">
        <v>3662</v>
      </c>
      <c r="B3723" s="138">
        <f>'Expenditures 15-22'!K283</f>
        <v>1047</v>
      </c>
      <c r="C3723" s="2" t="s">
        <v>594</v>
      </c>
      <c r="D3723" s="2" t="str">
        <f t="shared" si="57"/>
        <v>Error?</v>
      </c>
    </row>
    <row r="3724" spans="1:4" x14ac:dyDescent="0.2">
      <c r="A3724" s="5">
        <v>3663</v>
      </c>
      <c r="B3724" s="138">
        <f>'Expenditures 15-22'!K285</f>
        <v>1047</v>
      </c>
      <c r="C3724" s="2" t="s">
        <v>594</v>
      </c>
      <c r="D3724" s="2" t="str">
        <f t="shared" si="57"/>
        <v>Error?</v>
      </c>
    </row>
    <row r="3725" spans="1:4" x14ac:dyDescent="0.2">
      <c r="A3725" s="5">
        <v>3664</v>
      </c>
      <c r="B3725" s="138">
        <f>'Tax Sched 23'!B13</f>
        <v>60810</v>
      </c>
      <c r="C3725" s="2" t="s">
        <v>594</v>
      </c>
      <c r="D3725" s="2" t="str">
        <f t="shared" si="57"/>
        <v>Error?</v>
      </c>
    </row>
    <row r="3726" spans="1:4" x14ac:dyDescent="0.2">
      <c r="A3726" s="5">
        <v>3665</v>
      </c>
      <c r="B3726" s="138">
        <f>'Tax Sched 23'!D13</f>
        <v>60810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64596</v>
      </c>
      <c r="C3728" s="2" t="s">
        <v>594</v>
      </c>
      <c r="D3728" s="2" t="str">
        <f t="shared" si="57"/>
        <v>Error?</v>
      </c>
    </row>
    <row r="3729" spans="1:4" x14ac:dyDescent="0.2">
      <c r="A3729" s="5">
        <v>3668</v>
      </c>
      <c r="B3729" s="138">
        <f>'Tax Sched 23'!E13</f>
        <v>64596</v>
      </c>
      <c r="D3729" s="2" t="str">
        <f t="shared" si="57"/>
        <v>Error?</v>
      </c>
    </row>
    <row r="3730" spans="1:4" x14ac:dyDescent="0.2">
      <c r="A3730" s="5">
        <v>3669</v>
      </c>
      <c r="B3730" s="138">
        <f>'ICR Computation 30'!E10</f>
        <v>422854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2852290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10302499</v>
      </c>
      <c r="C4122" s="2" t="s">
        <v>594</v>
      </c>
      <c r="D4122" s="2" t="str">
        <f t="shared" si="63"/>
        <v>Error?</v>
      </c>
    </row>
    <row r="4123" spans="1:4" x14ac:dyDescent="0.2">
      <c r="A4123" s="5">
        <v>4062</v>
      </c>
      <c r="B4123" s="138">
        <f>'Acct Summary 7-8'!D10</f>
        <v>682883</v>
      </c>
      <c r="C4123" s="2" t="s">
        <v>594</v>
      </c>
      <c r="D4123" s="2" t="str">
        <f t="shared" si="63"/>
        <v>Error?</v>
      </c>
    </row>
    <row r="4124" spans="1:4" x14ac:dyDescent="0.2">
      <c r="A4124" s="5">
        <v>4063</v>
      </c>
      <c r="B4124" s="138">
        <f>'Acct Summary 7-8'!E10</f>
        <v>1275694</v>
      </c>
      <c r="C4124" s="2" t="s">
        <v>594</v>
      </c>
      <c r="D4124" s="2" t="str">
        <f t="shared" si="63"/>
        <v>Error?</v>
      </c>
    </row>
    <row r="4125" spans="1:4" x14ac:dyDescent="0.2">
      <c r="A4125" s="5">
        <v>4064</v>
      </c>
      <c r="B4125" s="138">
        <f>'Acct Summary 7-8'!F10</f>
        <v>862741</v>
      </c>
      <c r="C4125" s="2" t="s">
        <v>594</v>
      </c>
      <c r="D4125" s="2" t="str">
        <f t="shared" si="63"/>
        <v>Error?</v>
      </c>
    </row>
    <row r="4126" spans="1:4" x14ac:dyDescent="0.2">
      <c r="A4126" s="5">
        <v>4065</v>
      </c>
      <c r="B4126" s="138">
        <f>'Acct Summary 7-8'!G10</f>
        <v>481013</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60810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62126</v>
      </c>
      <c r="C4130" s="2" t="s">
        <v>594</v>
      </c>
      <c r="D4130" s="2" t="str">
        <f t="shared" si="63"/>
        <v>Error?</v>
      </c>
    </row>
    <row r="4131" spans="1:4" x14ac:dyDescent="0.2">
      <c r="A4131" s="5">
        <v>4070</v>
      </c>
      <c r="B4131" s="138">
        <f>'Acct Summary 7-8'!C18</f>
        <v>2852290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9577900</v>
      </c>
      <c r="C4136" s="2" t="s">
        <v>594</v>
      </c>
      <c r="D4136" s="2" t="str">
        <f t="shared" si="63"/>
        <v>Error?</v>
      </c>
    </row>
    <row r="4137" spans="1:4" x14ac:dyDescent="0.2">
      <c r="A4137" s="5">
        <v>4076</v>
      </c>
      <c r="B4137" s="138">
        <f>'Acct Summary 7-8'!D19</f>
        <v>597839</v>
      </c>
      <c r="C4137" s="2" t="s">
        <v>594</v>
      </c>
      <c r="D4137" s="2" t="str">
        <f t="shared" si="63"/>
        <v>Error?</v>
      </c>
    </row>
    <row r="4138" spans="1:4" x14ac:dyDescent="0.2">
      <c r="A4138" s="5">
        <v>4077</v>
      </c>
      <c r="B4138" s="138">
        <f>'Acct Summary 7-8'!E19</f>
        <v>1653432</v>
      </c>
      <c r="C4138" s="2" t="s">
        <v>594</v>
      </c>
      <c r="D4138" s="2" t="str">
        <f t="shared" si="63"/>
        <v>Error?</v>
      </c>
    </row>
    <row r="4139" spans="1:4" x14ac:dyDescent="0.2">
      <c r="A4139" s="5">
        <v>4078</v>
      </c>
      <c r="B4139" s="138">
        <f>'Acct Summary 7-8'!F19</f>
        <v>1599562</v>
      </c>
      <c r="C4139" s="2" t="s">
        <v>594</v>
      </c>
      <c r="D4139" s="2" t="str">
        <f t="shared" si="63"/>
        <v>Error?</v>
      </c>
    </row>
    <row r="4140" spans="1:4" x14ac:dyDescent="0.2">
      <c r="A4140" s="5">
        <v>4079</v>
      </c>
      <c r="B4140" s="138">
        <f>'Acct Summary 7-8'!G19</f>
        <v>391332</v>
      </c>
      <c r="C4140" s="2" t="s">
        <v>594</v>
      </c>
      <c r="D4140" s="2" t="str">
        <f t="shared" si="63"/>
        <v>Error?</v>
      </c>
    </row>
    <row r="4141" spans="1:4" x14ac:dyDescent="0.2">
      <c r="A4141" s="5">
        <v>4080</v>
      </c>
      <c r="B4141" s="138">
        <f>'Acct Summary 7-8'!H19</f>
        <v>211505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93525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7146802</v>
      </c>
      <c r="C4171" s="2" t="s">
        <v>594</v>
      </c>
      <c r="D4171" s="2" t="str">
        <f t="shared" si="64"/>
        <v>Error?</v>
      </c>
    </row>
    <row r="4172" spans="1:4" x14ac:dyDescent="0.2">
      <c r="A4172" s="5">
        <v>4111</v>
      </c>
      <c r="B4172" s="138">
        <f>'Short-Term Long-Term Debt 24'!J49</f>
        <v>6703118</v>
      </c>
      <c r="C4172" s="2" t="s">
        <v>594</v>
      </c>
      <c r="D4172" s="2" t="str">
        <f t="shared" si="64"/>
        <v>Error?</v>
      </c>
    </row>
    <row r="4173" spans="1:4" x14ac:dyDescent="0.2">
      <c r="A4173" s="5">
        <v>4112</v>
      </c>
      <c r="B4173" s="138">
        <f>'Short-Term Long-Term Debt 24'!H49</f>
        <v>1351592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1416749</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1904.2</v>
      </c>
      <c r="C4265" s="2" t="s">
        <v>594</v>
      </c>
      <c r="D4265" s="2" t="str">
        <f t="shared" si="65"/>
        <v>Error?</v>
      </c>
      <c r="E4265" s="128"/>
    </row>
    <row r="4266" spans="1:5" x14ac:dyDescent="0.2">
      <c r="A4266" s="12">
        <v>4205</v>
      </c>
      <c r="B4266" s="138">
        <f>('FP Info 3'!F10)*100000</f>
        <v>344.5</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2369</v>
      </c>
      <c r="C4268" s="2" t="s">
        <v>594</v>
      </c>
      <c r="D4268" s="2" t="str">
        <f t="shared" si="65"/>
        <v>Error?</v>
      </c>
    </row>
    <row r="4269" spans="1:5" x14ac:dyDescent="0.2">
      <c r="A4269" s="12">
        <v>4208</v>
      </c>
      <c r="B4269" s="138">
        <f>'FP Info 3'!J16</f>
        <v>2812320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28315</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16204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25053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3210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28836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129192327</v>
      </c>
      <c r="D4995" s="2" t="str">
        <f t="shared" si="77"/>
        <v>Error?</v>
      </c>
    </row>
    <row r="4996" spans="1:4" x14ac:dyDescent="0.2">
      <c r="A4996" s="12">
        <v>4935</v>
      </c>
      <c r="B4996" s="138">
        <f>'FP Info 3'!H31</f>
        <v>8914270.563000001</v>
      </c>
      <c r="D4996" s="2" t="str">
        <f t="shared" si="77"/>
        <v>Error?</v>
      </c>
    </row>
    <row r="4997" spans="1:4" x14ac:dyDescent="0.2">
      <c r="A4997" s="12">
        <v>4936</v>
      </c>
      <c r="B4997" s="138">
        <f>'FP Info 3'!H37</f>
        <v>7146802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2347296</v>
      </c>
      <c r="D5061" s="2" t="str">
        <f t="shared" si="78"/>
        <v>Error?</v>
      </c>
    </row>
    <row r="5062" spans="1:4" x14ac:dyDescent="0.2">
      <c r="A5062" s="10">
        <v>5001</v>
      </c>
      <c r="D5062" s="2" t="str">
        <f t="shared" si="78"/>
        <v>OK</v>
      </c>
    </row>
    <row r="5063" spans="1:4" x14ac:dyDescent="0.2">
      <c r="A5063" s="5">
        <v>5002</v>
      </c>
      <c r="B5063" s="138">
        <f>'Revenues 9-14'!C7</f>
        <v>24326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2371622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148327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148327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35534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35534</v>
      </c>
      <c r="C5090" s="2" t="s">
        <v>594</v>
      </c>
      <c r="D5090" s="2" t="str">
        <f t="shared" si="78"/>
        <v>Error?</v>
      </c>
    </row>
    <row r="5091" spans="1:4" x14ac:dyDescent="0.2">
      <c r="A5091" s="5">
        <v>5030</v>
      </c>
      <c r="B5091" s="138">
        <f>'Revenues 9-14'!C70</f>
        <v>10300</v>
      </c>
      <c r="D5091" s="2" t="str">
        <f t="shared" si="78"/>
        <v>Error?</v>
      </c>
    </row>
    <row r="5092" spans="1:4" x14ac:dyDescent="0.2">
      <c r="A5092" s="5">
        <v>5031</v>
      </c>
      <c r="B5092" s="138">
        <f>'Revenues 9-14'!C71</f>
        <v>5935</v>
      </c>
      <c r="D5092" s="2" t="str">
        <f t="shared" si="78"/>
        <v>Error?</v>
      </c>
    </row>
    <row r="5093" spans="1:4" x14ac:dyDescent="0.2">
      <c r="A5093" s="5">
        <v>5032</v>
      </c>
      <c r="B5093" s="138">
        <f>'Revenues 9-14'!C72</f>
        <v>14485</v>
      </c>
      <c r="D5093" s="2" t="str">
        <f t="shared" si="78"/>
        <v>Error?</v>
      </c>
    </row>
    <row r="5094" spans="1:4" x14ac:dyDescent="0.2">
      <c r="A5094" s="5">
        <v>5033</v>
      </c>
      <c r="B5094" s="138">
        <f>'Revenues 9-14'!C73</f>
        <v>8355</v>
      </c>
      <c r="D5094" s="2" t="str">
        <f t="shared" si="78"/>
        <v>Error?</v>
      </c>
    </row>
    <row r="5095" spans="1:4" x14ac:dyDescent="0.2">
      <c r="A5095" s="5">
        <v>5034</v>
      </c>
      <c r="B5095" s="138">
        <f>'Revenues 9-14'!C74</f>
        <v>34300</v>
      </c>
      <c r="D5095" s="2" t="str">
        <f t="shared" si="78"/>
        <v>Error?</v>
      </c>
    </row>
    <row r="5096" spans="1:4" x14ac:dyDescent="0.2">
      <c r="A5096" s="5">
        <v>5035</v>
      </c>
      <c r="B5096" s="138">
        <f>'Revenues 9-14'!C75</f>
        <v>130335</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48664</v>
      </c>
      <c r="D5101" s="2" t="str">
        <f t="shared" si="78"/>
        <v>Error?</v>
      </c>
    </row>
    <row r="5102" spans="1:4" x14ac:dyDescent="0.2">
      <c r="A5102" s="5">
        <v>5041</v>
      </c>
      <c r="B5102" s="138">
        <f>'Revenues 9-14'!C82</f>
        <v>48664</v>
      </c>
      <c r="C5102" s="2" t="s">
        <v>594</v>
      </c>
      <c r="D5102" s="2" t="str">
        <f t="shared" si="78"/>
        <v>Error?</v>
      </c>
    </row>
    <row r="5103" spans="1:4" x14ac:dyDescent="0.2">
      <c r="A5103" s="5">
        <v>5042</v>
      </c>
      <c r="B5103" s="138">
        <f>'Revenues 9-14'!C84</f>
        <v>17748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17748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10942</v>
      </c>
      <c r="D5118" s="2" t="str">
        <f t="shared" si="78"/>
        <v>Error?</v>
      </c>
    </row>
    <row r="5119" spans="1:4" x14ac:dyDescent="0.2">
      <c r="A5119" s="5">
        <v>5058</v>
      </c>
      <c r="B5119" s="138">
        <f>'Revenues 9-14'!C107</f>
        <v>22851</v>
      </c>
      <c r="D5119" s="2" t="str">
        <f t="shared" ref="D5119:D5182" si="79">IF(ISBLANK(B5119),"OK",IF(A5119-B5119=0,"OK","Error?"))</f>
        <v>Error?</v>
      </c>
    </row>
    <row r="5120" spans="1:4" x14ac:dyDescent="0.2">
      <c r="A5120" s="5">
        <v>5059</v>
      </c>
      <c r="B5120" s="138">
        <f>'Revenues 9-14'!C108</f>
        <v>339523</v>
      </c>
      <c r="C5120" s="2" t="s">
        <v>594</v>
      </c>
      <c r="D5120" s="2" t="str">
        <f t="shared" si="79"/>
        <v>Error?</v>
      </c>
    </row>
    <row r="5121" spans="1:4" x14ac:dyDescent="0.2">
      <c r="A5121" s="5">
        <v>5060</v>
      </c>
      <c r="B5121" s="138">
        <f>'Revenues 9-14'!C109</f>
        <v>3091753</v>
      </c>
      <c r="C5121" s="2" t="s">
        <v>594</v>
      </c>
      <c r="D5121" s="2" t="str">
        <f t="shared" si="79"/>
        <v>Error?</v>
      </c>
    </row>
    <row r="5122" spans="1:4" x14ac:dyDescent="0.2">
      <c r="A5122" s="5">
        <v>5061</v>
      </c>
      <c r="B5122" s="138">
        <f>'Revenues 9-14'!C111</f>
        <v>242532</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242532</v>
      </c>
      <c r="C5125" s="2" t="s">
        <v>594</v>
      </c>
      <c r="D5125" s="2" t="str">
        <f t="shared" si="79"/>
        <v>Error?</v>
      </c>
    </row>
    <row r="5126" spans="1:4" x14ac:dyDescent="0.2">
      <c r="A5126" s="5">
        <v>5065</v>
      </c>
      <c r="B5126" s="138">
        <f>'Revenues 9-14'!C117</f>
        <v>2014663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2014663</v>
      </c>
      <c r="C5132" s="2" t="s">
        <v>594</v>
      </c>
      <c r="D5132" s="2" t="str">
        <f t="shared" si="79"/>
        <v>Error?</v>
      </c>
    </row>
    <row r="5133" spans="1:4" x14ac:dyDescent="0.2">
      <c r="A5133" s="5">
        <v>5072</v>
      </c>
      <c r="B5133" s="138">
        <f>'Revenues 9-14'!C124</f>
        <v>23415</v>
      </c>
      <c r="D5133" s="2" t="str">
        <f t="shared" si="79"/>
        <v>Error?</v>
      </c>
    </row>
    <row r="5134" spans="1:4" x14ac:dyDescent="0.2">
      <c r="A5134" s="5">
        <v>5073</v>
      </c>
      <c r="B5134" s="138">
        <f>'Revenues 9-14'!C125</f>
        <v>55391</v>
      </c>
      <c r="D5134" s="2" t="str">
        <f t="shared" si="79"/>
        <v>Error?</v>
      </c>
    </row>
    <row r="5135" spans="1:4" x14ac:dyDescent="0.2">
      <c r="A5135" s="5">
        <v>5074</v>
      </c>
      <c r="B5135" s="138">
        <f>'Revenues 9-14'!C126</f>
        <v>78095</v>
      </c>
      <c r="D5135" s="2" t="str">
        <f t="shared" si="79"/>
        <v>Error?</v>
      </c>
    </row>
    <row r="5136" spans="1:4" x14ac:dyDescent="0.2">
      <c r="A5136" s="10">
        <v>5075</v>
      </c>
      <c r="D5136" s="2" t="str">
        <f t="shared" si="79"/>
        <v>OK</v>
      </c>
    </row>
    <row r="5137" spans="1:4" x14ac:dyDescent="0.2">
      <c r="A5137" s="5">
        <v>5076</v>
      </c>
      <c r="B5137" s="138">
        <f>'Revenues 9-14'!C127</f>
        <v>27983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1047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185931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4252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1063886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1255569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3270232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217152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74527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319994</v>
      </c>
      <c r="C5246" s="2" t="s">
        <v>594</v>
      </c>
      <c r="D5246" s="2" t="str">
        <f t="shared" si="80"/>
        <v>Error?</v>
      </c>
    </row>
    <row r="5247" spans="1:4" x14ac:dyDescent="0.2">
      <c r="A5247" s="5">
        <v>5186</v>
      </c>
      <c r="B5247" s="138">
        <f>'Revenues 9-14'!C203</f>
        <v>265614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3210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265614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186781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186781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845692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845692</v>
      </c>
      <c r="C5326" s="2" t="s">
        <v>594</v>
      </c>
      <c r="D5326" s="2" t="str">
        <f t="shared" si="82"/>
        <v>Error?</v>
      </c>
    </row>
    <row r="5327" spans="1:4" x14ac:dyDescent="0.2">
      <c r="A5327" s="5">
        <v>5266</v>
      </c>
      <c r="B5327" s="138">
        <f>'Revenues 9-14'!C275</f>
        <v>7450209</v>
      </c>
      <c r="C5327" s="2" t="s">
        <v>594</v>
      </c>
      <c r="D5327" s="2" t="str">
        <f t="shared" si="82"/>
        <v>Error?</v>
      </c>
    </row>
    <row r="5328" spans="1:4" x14ac:dyDescent="0.2">
      <c r="A5328" s="5">
        <v>5267</v>
      </c>
      <c r="B5328" s="138">
        <f>'Revenues 9-14'!D5</f>
        <v>425677</v>
      </c>
      <c r="D5328" s="2" t="str">
        <f t="shared" si="82"/>
        <v>Error?</v>
      </c>
    </row>
    <row r="5329" spans="1:4" x14ac:dyDescent="0.2">
      <c r="A5329" s="10">
        <v>5268</v>
      </c>
      <c r="D5329" s="2" t="str">
        <f t="shared" si="82"/>
        <v>OK</v>
      </c>
    </row>
    <row r="5330" spans="1:4" x14ac:dyDescent="0.2">
      <c r="A5330" s="5">
        <v>5269</v>
      </c>
      <c r="B5330" s="138">
        <f>'Revenues 9-14'!D6</f>
        <v>60810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486487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5014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5014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491501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191382</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191382</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191382</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682883</v>
      </c>
      <c r="C5508" s="2" t="s">
        <v>594</v>
      </c>
      <c r="D5508" s="2" t="str">
        <f t="shared" si="85"/>
        <v>Error?</v>
      </c>
    </row>
    <row r="5509" spans="1:4" x14ac:dyDescent="0.2">
      <c r="A5509" s="5">
        <v>5448</v>
      </c>
      <c r="B5509" s="138">
        <f>'Revenues 9-14'!E5</f>
        <v>1275694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1275694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1275694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1275694</v>
      </c>
      <c r="C5552" s="2" t="s">
        <v>594</v>
      </c>
      <c r="D5552" s="2" t="str">
        <f t="shared" si="85"/>
        <v>Error?</v>
      </c>
    </row>
    <row r="5553" spans="1:4" x14ac:dyDescent="0.2">
      <c r="A5553" s="5">
        <v>5492</v>
      </c>
      <c r="B5553" s="138">
        <f>'Revenues 9-14'!F5</f>
        <v>145947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145947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121734</v>
      </c>
      <c r="D5564" s="2" t="str">
        <f t="shared" si="85"/>
        <v>Error?</v>
      </c>
    </row>
    <row r="5565" spans="1:4" x14ac:dyDescent="0.2">
      <c r="A5565" s="5">
        <v>5504</v>
      </c>
      <c r="B5565" s="138">
        <f>'Revenues 9-14'!F44</f>
        <v>8474</v>
      </c>
      <c r="D5565" s="2" t="str">
        <f t="shared" si="85"/>
        <v>Error?</v>
      </c>
    </row>
    <row r="5566" spans="1:4" x14ac:dyDescent="0.2">
      <c r="A5566" s="5">
        <v>5505</v>
      </c>
      <c r="B5566" s="138">
        <f>'Revenues 9-14'!F45</f>
        <v>18858</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51045</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200111</v>
      </c>
      <c r="C5579" s="2" t="s">
        <v>594</v>
      </c>
      <c r="D5579" s="2" t="str">
        <f t="shared" si="86"/>
        <v>Error?</v>
      </c>
    </row>
    <row r="5580" spans="1:4" x14ac:dyDescent="0.2">
      <c r="A5580" s="5">
        <v>5519</v>
      </c>
      <c r="B5580" s="138">
        <f>'Revenues 9-14'!F65</f>
        <v>7102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7102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38714</v>
      </c>
      <c r="D5586" s="2" t="str">
        <f t="shared" si="86"/>
        <v>Error?</v>
      </c>
    </row>
    <row r="5587" spans="1:4" x14ac:dyDescent="0.2">
      <c r="A5587" s="5">
        <v>5526</v>
      </c>
      <c r="B5587" s="138">
        <f>'Revenues 9-14'!F108</f>
        <v>38714</v>
      </c>
      <c r="C5587" s="2" t="s">
        <v>594</v>
      </c>
      <c r="D5587" s="2" t="str">
        <f t="shared" si="86"/>
        <v>Error?</v>
      </c>
    </row>
    <row r="5588" spans="1:4" x14ac:dyDescent="0.2">
      <c r="A5588" s="5">
        <v>5527</v>
      </c>
      <c r="B5588" s="138">
        <f>'Revenues 9-14'!F109</f>
        <v>391874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90000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90000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238388</v>
      </c>
      <c r="D5615" s="2" t="str">
        <f t="shared" si="86"/>
        <v>Error?</v>
      </c>
    </row>
    <row r="5616" spans="1:4" x14ac:dyDescent="0.2">
      <c r="A5616" s="10">
        <v>5555</v>
      </c>
      <c r="D5616" s="2" t="str">
        <f t="shared" si="86"/>
        <v>OK</v>
      </c>
    </row>
    <row r="5617" spans="1:4" x14ac:dyDescent="0.2">
      <c r="A5617" s="5">
        <v>5556</v>
      </c>
      <c r="B5617" s="138">
        <f>'Revenues 9-14'!F152</f>
        <v>142479</v>
      </c>
      <c r="D5617" s="2" t="str">
        <f t="shared" si="86"/>
        <v>Error?</v>
      </c>
    </row>
    <row r="5618" spans="1:4" x14ac:dyDescent="0.2">
      <c r="A5618" s="5">
        <v>5557</v>
      </c>
      <c r="B5618" s="138">
        <f>'Revenues 9-14'!F154</f>
        <v>380867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380867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470867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862741</v>
      </c>
      <c r="C5720" s="2" t="s">
        <v>594</v>
      </c>
      <c r="D5720" s="2" t="str">
        <f t="shared" si="88"/>
        <v>Error?</v>
      </c>
    </row>
    <row r="5721" spans="1:4" x14ac:dyDescent="0.2">
      <c r="A5721" s="5">
        <v>5660</v>
      </c>
      <c r="B5721" s="138">
        <f>'Revenues 9-14'!G5</f>
        <v>232178</v>
      </c>
      <c r="D5721" s="2" t="str">
        <f t="shared" si="88"/>
        <v>Error?</v>
      </c>
    </row>
    <row r="5722" spans="1:4" x14ac:dyDescent="0.2">
      <c r="A5722" s="5">
        <v>5661</v>
      </c>
      <c r="B5722" s="138">
        <f>'Revenues 9-14'!G7</f>
        <v>0</v>
      </c>
      <c r="D5722" s="2" t="str">
        <f t="shared" si="88"/>
        <v>Error?</v>
      </c>
    </row>
    <row r="5723" spans="1:4" x14ac:dyDescent="0.2">
      <c r="A5723" s="5">
        <v>5662</v>
      </c>
      <c r="B5723" s="138">
        <f>'Revenues 9-14'!G8</f>
        <v>232178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464356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16000</v>
      </c>
      <c r="C5730" s="2" t="s">
        <v>594</v>
      </c>
      <c r="D5730" s="2" t="str">
        <f t="shared" si="88"/>
        <v>Error?</v>
      </c>
    </row>
    <row r="5731" spans="1:4" x14ac:dyDescent="0.2">
      <c r="A5731" s="5">
        <v>5670</v>
      </c>
      <c r="B5731" s="138">
        <f>'Revenues 9-14'!G65</f>
        <v>657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657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481013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60810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60810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60810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60810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60810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1316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1316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62126</v>
      </c>
      <c r="C6023" s="2" t="s">
        <v>594</v>
      </c>
      <c r="D6023" s="2" t="str">
        <f t="shared" si="93"/>
        <v>Error?</v>
      </c>
    </row>
    <row r="6024" spans="1:5" x14ac:dyDescent="0.2">
      <c r="A6024" s="5">
        <v>5963</v>
      </c>
      <c r="B6024" s="138">
        <f>'Revenues 9-14'!G109</f>
        <v>481013</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60810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62126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56960</v>
      </c>
      <c r="D6031" s="2" t="str">
        <f t="shared" si="93"/>
        <v>Error?</v>
      </c>
    </row>
    <row r="6032" spans="1:5" x14ac:dyDescent="0.2">
      <c r="A6032" s="5">
        <v>5971</v>
      </c>
      <c r="B6032" s="138">
        <f>'Acct Summary 7-8'!G15</f>
        <v>1047</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28315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761.99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165127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165127</v>
      </c>
      <c r="D6215" s="2" t="str">
        <f t="shared" si="96"/>
        <v>Error?</v>
      </c>
      <c r="E6215" s="2" t="s">
        <v>199</v>
      </c>
    </row>
    <row r="6216" spans="1:5" x14ac:dyDescent="0.2">
      <c r="A6216">
        <v>6155</v>
      </c>
      <c r="B6216" s="138">
        <f>'Assets-Liab 5-6'!J41</f>
        <v>165127</v>
      </c>
      <c r="D6216" s="2" t="str">
        <f t="shared" si="96"/>
        <v>Error?</v>
      </c>
      <c r="E6216" s="2" t="s">
        <v>199</v>
      </c>
    </row>
    <row r="6217" spans="1:5" x14ac:dyDescent="0.2">
      <c r="A6217">
        <v>6156</v>
      </c>
      <c r="B6217" s="138">
        <f>'Assets-Liab 5-6'!J4</f>
        <v>165127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926274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926274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926274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840938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840938</v>
      </c>
      <c r="D6229" s="2" t="str">
        <f t="shared" si="96"/>
        <v>Error?</v>
      </c>
      <c r="E6229" s="2" t="s">
        <v>199</v>
      </c>
    </row>
    <row r="6230" spans="1:5" x14ac:dyDescent="0.2">
      <c r="A6230">
        <v>6169</v>
      </c>
      <c r="B6230" s="138">
        <f>'Acct Summary 7-8'!J20</f>
        <v>85336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85336</v>
      </c>
      <c r="D6263" s="2" t="str">
        <f t="shared" si="96"/>
        <v>Error?</v>
      </c>
      <c r="E6263" s="2" t="s">
        <v>199</v>
      </c>
    </row>
    <row r="6264" spans="1:5" x14ac:dyDescent="0.2">
      <c r="A6264">
        <v>6203</v>
      </c>
      <c r="B6264" s="138">
        <f>'Acct Summary 7-8'!J79</f>
        <v>79791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165127</v>
      </c>
      <c r="D6266" s="2" t="str">
        <f t="shared" si="96"/>
        <v>Error?</v>
      </c>
      <c r="E6266" s="2" t="s">
        <v>199</v>
      </c>
    </row>
    <row r="6267" spans="1:5" x14ac:dyDescent="0.2">
      <c r="A6267">
        <v>6206</v>
      </c>
      <c r="B6267" s="138">
        <f>'Acct Summary 7-8'!C82</f>
        <v>724599</v>
      </c>
      <c r="D6267" s="2" t="str">
        <f t="shared" si="96"/>
        <v>Error?</v>
      </c>
      <c r="E6267" s="2" t="s">
        <v>199</v>
      </c>
    </row>
    <row r="6268" spans="1:5" x14ac:dyDescent="0.2">
      <c r="A6268">
        <v>6207</v>
      </c>
      <c r="B6268" s="138">
        <f>'Acct Summary 7-8'!D82</f>
        <v>73889</v>
      </c>
      <c r="D6268" s="2" t="str">
        <f t="shared" si="96"/>
        <v>Error?</v>
      </c>
      <c r="E6268" s="2" t="s">
        <v>199</v>
      </c>
    </row>
    <row r="6269" spans="1:5" x14ac:dyDescent="0.2">
      <c r="A6269">
        <v>6208</v>
      </c>
      <c r="B6269" s="138">
        <f>'Acct Summary 7-8'!E82</f>
        <v>13704</v>
      </c>
      <c r="D6269" s="2" t="str">
        <f t="shared" si="96"/>
        <v>Error?</v>
      </c>
      <c r="E6269" s="2" t="s">
        <v>199</v>
      </c>
    </row>
    <row r="6270" spans="1:5" x14ac:dyDescent="0.2">
      <c r="A6270">
        <v>6209</v>
      </c>
      <c r="B6270" s="138">
        <f>'Acct Summary 7-8'!F82</f>
        <v>178921</v>
      </c>
      <c r="D6270" s="2" t="str">
        <f t="shared" si="96"/>
        <v>Error?</v>
      </c>
      <c r="E6270" s="2" t="s">
        <v>199</v>
      </c>
    </row>
    <row r="6271" spans="1:5" x14ac:dyDescent="0.2">
      <c r="A6271">
        <v>6210</v>
      </c>
      <c r="B6271" s="138">
        <f>'Acct Summary 7-8'!G82</f>
        <v>89681</v>
      </c>
      <c r="D6271" s="2" t="str">
        <f t="shared" ref="D6271:D6334" si="97">IF(ISBLANK(B6271),"OK",IF(A6271-B6271=0,"OK","Error?"))</f>
        <v>Error?</v>
      </c>
      <c r="E6271" s="2" t="s">
        <v>199</v>
      </c>
    </row>
    <row r="6272" spans="1:5" x14ac:dyDescent="0.2">
      <c r="A6272">
        <v>6211</v>
      </c>
      <c r="B6272" s="138">
        <f>'Acct Summary 7-8'!H82</f>
        <v>-211505</v>
      </c>
      <c r="D6272" s="2" t="str">
        <f t="shared" si="97"/>
        <v>Error?</v>
      </c>
      <c r="E6272" s="2" t="s">
        <v>199</v>
      </c>
    </row>
    <row r="6273" spans="1:5" x14ac:dyDescent="0.2">
      <c r="A6273">
        <v>6212</v>
      </c>
      <c r="B6273" s="138">
        <f>'Acct Summary 7-8'!I82</f>
        <v>60810</v>
      </c>
      <c r="D6273" s="2" t="str">
        <f t="shared" si="97"/>
        <v>Error?</v>
      </c>
      <c r="E6273" s="2" t="s">
        <v>199</v>
      </c>
    </row>
    <row r="6274" spans="1:5" x14ac:dyDescent="0.2">
      <c r="A6274">
        <v>6213</v>
      </c>
      <c r="B6274" s="138">
        <f>'Acct Summary 7-8'!J82</f>
        <v>85336</v>
      </c>
      <c r="D6274" s="2" t="str">
        <f t="shared" si="97"/>
        <v>Error?</v>
      </c>
      <c r="E6274" s="2" t="s">
        <v>199</v>
      </c>
    </row>
    <row r="6275" spans="1:5" x14ac:dyDescent="0.2">
      <c r="A6275">
        <v>6214</v>
      </c>
      <c r="B6275" s="138">
        <f>'Acct Summary 7-8'!K82</f>
        <v>-31399</v>
      </c>
      <c r="D6275" s="2" t="str">
        <f t="shared" si="97"/>
        <v>Error?</v>
      </c>
      <c r="E6275" s="2" t="s">
        <v>199</v>
      </c>
    </row>
    <row r="6276" spans="1:5" x14ac:dyDescent="0.2">
      <c r="A6276">
        <v>6215</v>
      </c>
      <c r="B6276" s="138">
        <f>'Acct Summary 7-8'!C83</f>
        <v>0.42655185973570936</v>
      </c>
      <c r="D6276" s="2" t="str">
        <f t="shared" si="97"/>
        <v>Error?</v>
      </c>
      <c r="E6276" s="2" t="s">
        <v>199</v>
      </c>
    </row>
    <row r="6277" spans="1:5" x14ac:dyDescent="0.2">
      <c r="A6277">
        <v>6216</v>
      </c>
      <c r="B6277" s="138">
        <f>'Acct Summary 7-8'!D83</f>
        <v>0.30401866351767809</v>
      </c>
      <c r="D6277" s="2" t="str">
        <f t="shared" si="97"/>
        <v>Error?</v>
      </c>
      <c r="E6277" s="2" t="s">
        <v>199</v>
      </c>
    </row>
    <row r="6278" spans="1:5" x14ac:dyDescent="0.2">
      <c r="A6278">
        <v>6217</v>
      </c>
      <c r="B6278" s="138">
        <f>'Acct Summary 7-8'!E83</f>
        <v>3.0886847395894375E-2</v>
      </c>
      <c r="D6278" s="2" t="str">
        <f t="shared" si="97"/>
        <v>Error?</v>
      </c>
      <c r="E6278" s="2" t="s">
        <v>199</v>
      </c>
    </row>
    <row r="6279" spans="1:5" x14ac:dyDescent="0.2">
      <c r="A6279">
        <v>6218</v>
      </c>
      <c r="B6279" s="138">
        <f>'Acct Summary 7-8'!F83</f>
        <v>0.43581018541071931</v>
      </c>
      <c r="D6279" s="2" t="str">
        <f t="shared" si="97"/>
        <v>Error?</v>
      </c>
      <c r="E6279" s="2" t="s">
        <v>199</v>
      </c>
    </row>
    <row r="6280" spans="1:5" x14ac:dyDescent="0.2">
      <c r="A6280">
        <v>6219</v>
      </c>
      <c r="B6280" s="138">
        <f>'Acct Summary 7-8'!G83</f>
        <v>0.36434215604623293</v>
      </c>
      <c r="D6280" s="2" t="str">
        <f t="shared" si="97"/>
        <v>Error?</v>
      </c>
      <c r="E6280" s="2" t="s">
        <v>199</v>
      </c>
    </row>
    <row r="6281" spans="1:5" x14ac:dyDescent="0.2">
      <c r="A6281">
        <v>6220</v>
      </c>
      <c r="B6281" s="138">
        <f>'Acct Summary 7-8'!H83</f>
        <v>-0.73535751785329351</v>
      </c>
      <c r="D6281" s="2" t="str">
        <f t="shared" si="97"/>
        <v>Error?</v>
      </c>
      <c r="E6281" s="2" t="s">
        <v>199</v>
      </c>
    </row>
    <row r="6282" spans="1:5" x14ac:dyDescent="0.2">
      <c r="A6282">
        <v>6221</v>
      </c>
      <c r="B6282" s="138">
        <f>'Acct Summary 7-8'!I83</f>
        <v>0.13219708909879455</v>
      </c>
      <c r="D6282" s="2" t="str">
        <f t="shared" si="97"/>
        <v>Error?</v>
      </c>
      <c r="E6282" s="2" t="s">
        <v>199</v>
      </c>
    </row>
    <row r="6283" spans="1:5" x14ac:dyDescent="0.2">
      <c r="A6283">
        <v>6222</v>
      </c>
      <c r="B6283" s="138">
        <f>'Acct Summary 7-8'!J83</f>
        <v>0.51679010700854489</v>
      </c>
      <c r="D6283" s="2" t="str">
        <f t="shared" si="97"/>
        <v>Error?</v>
      </c>
      <c r="E6283" s="2" t="s">
        <v>199</v>
      </c>
    </row>
    <row r="6284" spans="1:5" x14ac:dyDescent="0.2">
      <c r="A6284">
        <v>6223</v>
      </c>
      <c r="B6284" s="138">
        <f>'Acct Summary 7-8'!K83</f>
        <v>-28.287387387387387</v>
      </c>
      <c r="D6284" s="2" t="str">
        <f t="shared" si="97"/>
        <v>Error?</v>
      </c>
      <c r="E6284" s="2" t="s">
        <v>199</v>
      </c>
    </row>
    <row r="6285" spans="1:5" x14ac:dyDescent="0.2">
      <c r="A6285">
        <v>6224</v>
      </c>
      <c r="B6285" s="138">
        <f>'Acct Summary 7-8'!E37</f>
        <v>10520</v>
      </c>
      <c r="D6285" s="2" t="str">
        <f t="shared" si="97"/>
        <v>Error?</v>
      </c>
      <c r="E6285" s="2" t="s">
        <v>199</v>
      </c>
    </row>
    <row r="6286" spans="1:5" x14ac:dyDescent="0.2">
      <c r="A6286">
        <v>6225</v>
      </c>
      <c r="B6286" s="138">
        <f>'Acct Summary 7-8'!E38</f>
        <v>635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926274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926274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305730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926274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165156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235885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251326</v>
      </c>
      <c r="D6983" s="2" t="str">
        <f t="shared" si="108"/>
        <v>Error?</v>
      </c>
    </row>
    <row r="6984" spans="1:4" x14ac:dyDescent="0.2">
      <c r="A6984">
        <v>6923</v>
      </c>
      <c r="B6984" s="138">
        <f>'Expenditures 15-22'!K86</f>
        <v>251326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251326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840938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926274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8316</v>
      </c>
      <c r="D7073" s="2" t="str">
        <f t="shared" si="109"/>
        <v>Error?</v>
      </c>
    </row>
    <row r="7074" spans="1:4" x14ac:dyDescent="0.2">
      <c r="A7074">
        <v>7013</v>
      </c>
      <c r="B7074" s="138">
        <f>'Expenditures 15-22'!K216</f>
        <v>8316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68956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68956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32649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32649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89228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89228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93805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93805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556300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556300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556300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284638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840938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556300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284638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840938</v>
      </c>
      <c r="D7224" s="2" t="str">
        <f t="shared" si="111"/>
        <v>Error?</v>
      </c>
    </row>
    <row r="7225" spans="1:4" x14ac:dyDescent="0.2">
      <c r="A7225">
        <v>7164</v>
      </c>
      <c r="B7225" s="138">
        <f>'Expenditures 15-22'!K343</f>
        <v>85336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38437</v>
      </c>
      <c r="D7246" s="2" t="str">
        <f t="shared" si="112"/>
        <v>Error?</v>
      </c>
    </row>
    <row r="7247" spans="1:4" x14ac:dyDescent="0.2">
      <c r="A7247">
        <f t="shared" si="113"/>
        <v>7186</v>
      </c>
      <c r="B7247" s="138">
        <f>'Expenditures 15-22'!E7</f>
        <v>1611</v>
      </c>
      <c r="D7247" s="2" t="str">
        <f t="shared" si="112"/>
        <v>Error?</v>
      </c>
    </row>
    <row r="7248" spans="1:4" x14ac:dyDescent="0.2">
      <c r="A7248">
        <f t="shared" si="113"/>
        <v>7187</v>
      </c>
      <c r="B7248" s="138">
        <f>'Expenditures 15-22'!F7</f>
        <v>10385</v>
      </c>
      <c r="D7248" s="2" t="str">
        <f t="shared" si="112"/>
        <v>Error?</v>
      </c>
    </row>
    <row r="7249" spans="1:4" x14ac:dyDescent="0.2">
      <c r="A7249">
        <f t="shared" si="113"/>
        <v>7188</v>
      </c>
      <c r="B7249" s="138">
        <f>'Expenditures 15-22'!G7</f>
        <v>20296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473517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10520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635</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24326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1</v>
      </c>
      <c r="D7797" s="2" t="str">
        <f t="shared" si="127"/>
        <v>Error?</v>
      </c>
      <c r="E7797" s="4" t="s">
        <v>2017</v>
      </c>
    </row>
    <row r="7798" spans="1:5" x14ac:dyDescent="0.2">
      <c r="A7798">
        <v>7737</v>
      </c>
      <c r="B7798" s="138">
        <f>'Contracts Paid in CY 29'!F141</f>
        <v>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showGridLines="0" showZeros="0" topLeftCell="S1" zoomScale="110" zoomScaleNormal="110" workbookViewId="0">
      <selection activeCell="AF38" sqref="AF3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Harmony-Emge SD 175</v>
      </c>
      <c r="B7" s="2422"/>
      <c r="C7" s="2422"/>
      <c r="D7" s="2423"/>
      <c r="E7" s="2424">
        <f>COVER!A13</f>
        <v>50082175002</v>
      </c>
      <c r="F7" s="2425"/>
      <c r="G7" s="2431" t="str">
        <f>COVER!T23</f>
        <v>066-005060</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DENNIS ROSE &amp; ASSOCIATES, P.C.</v>
      </c>
      <c r="H9" s="2437"/>
      <c r="I9" s="2437"/>
      <c r="J9" s="2437"/>
      <c r="K9" s="2437"/>
      <c r="L9" s="2438"/>
    </row>
    <row r="10" spans="1:29" ht="13.5" customHeight="1" x14ac:dyDescent="0.2">
      <c r="A10" s="2411">
        <f>COVER!A38</f>
        <v>0</v>
      </c>
      <c r="B10" s="2412"/>
      <c r="C10" s="2412"/>
      <c r="D10" s="2412"/>
      <c r="E10" s="2412"/>
      <c r="F10" s="2413"/>
      <c r="G10" s="2405" t="str">
        <f>COVER!T17</f>
        <v xml:space="preserve">1904 STATE STREET </v>
      </c>
      <c r="H10" s="2406"/>
      <c r="I10" s="2406"/>
      <c r="J10" s="2406"/>
      <c r="K10" s="2406"/>
      <c r="L10" s="2407"/>
    </row>
    <row r="11" spans="1:29" ht="13.5" customHeight="1" x14ac:dyDescent="0.2">
      <c r="A11" s="1185" t="s">
        <v>1599</v>
      </c>
      <c r="B11" s="1186"/>
      <c r="C11" s="1187"/>
      <c r="D11" s="1192"/>
      <c r="E11" s="1187"/>
      <c r="F11" s="1191"/>
      <c r="G11" s="2405" t="str">
        <f>COVER!T19</f>
        <v>ALTON</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DROSECPA@DRA-CPA.COM</v>
      </c>
      <c r="J13" s="2418"/>
      <c r="K13" s="2418"/>
      <c r="L13" s="2419"/>
    </row>
    <row r="14" spans="1:29" ht="13.5" customHeight="1" x14ac:dyDescent="0.2">
      <c r="A14" s="2405" t="str">
        <f>COVER!A19</f>
        <v>7401 WESTCHESTER DRIVE</v>
      </c>
      <c r="B14" s="2406"/>
      <c r="C14" s="2406"/>
      <c r="D14" s="2406"/>
      <c r="E14" s="2406"/>
      <c r="F14" s="2407"/>
      <c r="G14" s="1196" t="s">
        <v>1247</v>
      </c>
      <c r="H14" s="1194"/>
      <c r="I14" s="1194"/>
      <c r="J14" s="1194"/>
      <c r="K14" s="1194"/>
      <c r="L14" s="1195"/>
    </row>
    <row r="15" spans="1:29" ht="13.5" customHeight="1" x14ac:dyDescent="0.2">
      <c r="A15" s="2405" t="str">
        <f>COVER!A21</f>
        <v>BELLEVILLE</v>
      </c>
      <c r="B15" s="2406"/>
      <c r="C15" s="2406"/>
      <c r="D15" s="2406"/>
      <c r="E15" s="2406"/>
      <c r="F15" s="2407"/>
      <c r="G15" s="2402" t="str">
        <f>COVER!T15</f>
        <v>DENNIS ROSE</v>
      </c>
      <c r="H15" s="2403"/>
      <c r="I15" s="2403"/>
      <c r="J15" s="2403"/>
      <c r="K15" s="2403"/>
      <c r="L15" s="2404"/>
    </row>
    <row r="16" spans="1:29" ht="12.2" customHeight="1" x14ac:dyDescent="0.2">
      <c r="A16" s="2427">
        <f>COVER!A25</f>
        <v>62223</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618-465-4999</v>
      </c>
      <c r="H18" s="2422"/>
      <c r="I18" s="2422"/>
      <c r="J18" s="2422"/>
      <c r="K18" s="2421" t="str">
        <f>COVER!X21</f>
        <v>618-465-5050</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75" right="0.75" top="1" bottom="0.5" header="0.5" footer="0.5"/>
  <pageSetup scale="85" firstPageNumber="56" fitToHeight="0" orientation="portrait" useFirstPageNumber="1" r:id="rId1"/>
  <headerFooter>
    <oddHeader xml:space="preserve">&amp;C
</oddHeader>
    <oddFooter>&amp;C&amp;"Times New Roman,Regular"See Independent Auditor's Reports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topLeftCell="A82" zoomScale="125" zoomScaleNormal="125" workbookViewId="0">
      <selection activeCell="I33" sqref="I3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Harmony-Emge SD 175</v>
      </c>
      <c r="B1" s="2420"/>
      <c r="C1" s="2420"/>
      <c r="D1" s="2420"/>
    </row>
    <row r="2" spans="1:11" s="1215" customFormat="1" ht="12.75" x14ac:dyDescent="0.2">
      <c r="A2" s="2444">
        <f>'Single Audit Cover'!E7</f>
        <v>50082175002</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rintOptions horizontalCentered="1"/>
  <pageMargins left="0.75" right="0.75" top="1" bottom="0.5" header="0.5" footer="0.5"/>
  <pageSetup scale="64" firstPageNumber="36" fitToHeight="0" orientation="portrait" r:id="rId5"/>
  <headerFoot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Harmony-Emge SD 175</v>
      </c>
      <c r="B1" s="2447"/>
      <c r="C1" s="2447"/>
      <c r="D1" s="2447"/>
      <c r="E1" s="2447"/>
    </row>
    <row r="2" spans="1:5" x14ac:dyDescent="0.2">
      <c r="A2" s="2448">
        <f>'Single Audit Cover'!E7</f>
        <v>50082175002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845692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v>28315</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-25053</v>
      </c>
    </row>
    <row r="19" spans="1:4" ht="13.5" thickBot="1" x14ac:dyDescent="0.25">
      <c r="A19" s="1265" t="s">
        <v>1297</v>
      </c>
      <c r="D19" s="1266">
        <f>SUM(D10:D17)</f>
        <v>848954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848954</v>
      </c>
    </row>
    <row r="33" spans="1:4" x14ac:dyDescent="0.2">
      <c r="D33" s="1269"/>
    </row>
    <row r="34" spans="1:4" x14ac:dyDescent="0.2">
      <c r="A34" s="317" t="s">
        <v>1294</v>
      </c>
    </row>
    <row r="35" spans="1:4" x14ac:dyDescent="0.2">
      <c r="A35" s="317" t="s">
        <v>1293</v>
      </c>
      <c r="B35" s="1258" t="s">
        <v>1292</v>
      </c>
      <c r="D35" s="1270">
        <v>820639</v>
      </c>
    </row>
    <row r="37" spans="1:4" x14ac:dyDescent="0.2">
      <c r="A37" s="1260" t="s">
        <v>1291</v>
      </c>
    </row>
    <row r="39" spans="1:4" ht="13.35" customHeight="1" x14ac:dyDescent="0.2">
      <c r="A39" s="1267" t="s">
        <v>1290</v>
      </c>
    </row>
    <row r="40" spans="1:4" x14ac:dyDescent="0.2">
      <c r="A40" s="2446" t="s">
        <v>2098</v>
      </c>
      <c r="B40" s="2446"/>
      <c r="D40" s="1268">
        <v>28315</v>
      </c>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848954</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75" right="0.75" top="1" bottom="0.5" header="0.5" footer="0.5"/>
  <pageSetup scale="95" firstPageNumber="37" orientation="portrait" r:id="rId1"/>
  <headerFooter>
    <oddHeader xml:space="preserve">&amp;C
</oddHead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Harmony-Emge SD 175</v>
      </c>
      <c r="B1" s="2460"/>
      <c r="C1" s="2460"/>
      <c r="D1" s="2460"/>
      <c r="E1" s="2460"/>
      <c r="F1" s="2460"/>
    </row>
    <row r="2" spans="1:7" ht="13.5" customHeight="1" x14ac:dyDescent="0.2">
      <c r="A2" s="2461">
        <f>'Single Audit Cover'!E7</f>
        <v>50082175002</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2099</v>
      </c>
      <c r="B7" s="2459"/>
      <c r="C7" s="2459"/>
      <c r="D7" s="2459"/>
      <c r="E7" s="2459"/>
      <c r="F7" s="2459"/>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2135</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t="s">
        <v>2100</v>
      </c>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2101</v>
      </c>
      <c r="B32" s="2453"/>
      <c r="C32" s="2453"/>
      <c r="D32" s="2453"/>
      <c r="E32" s="2453"/>
      <c r="F32" s="2453"/>
    </row>
    <row r="33" spans="1:6" ht="13.5" customHeight="1" x14ac:dyDescent="0.2">
      <c r="A33" s="328" t="s">
        <v>1509</v>
      </c>
      <c r="B33" s="328"/>
      <c r="C33" s="1288">
        <v>24817</v>
      </c>
      <c r="D33" s="1928"/>
      <c r="E33" s="1286"/>
    </row>
    <row r="34" spans="1:6" ht="13.5" customHeight="1" x14ac:dyDescent="0.2">
      <c r="A34" s="328" t="s">
        <v>1946</v>
      </c>
      <c r="B34" s="328"/>
      <c r="C34" s="1289">
        <v>3498</v>
      </c>
      <c r="D34" s="1928" t="s">
        <v>1671</v>
      </c>
      <c r="E34" s="2454">
        <f>+C33+C34</f>
        <v>28315</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101</v>
      </c>
      <c r="D38" s="1928"/>
      <c r="E38" s="1286"/>
    </row>
    <row r="39" spans="1:6" ht="14.25" customHeight="1" x14ac:dyDescent="0.2">
      <c r="A39" s="328"/>
      <c r="B39" s="328" t="s">
        <v>1511</v>
      </c>
      <c r="C39" s="1292" t="s">
        <v>101</v>
      </c>
      <c r="D39" s="1928"/>
      <c r="E39" s="1286"/>
    </row>
    <row r="40" spans="1:6" ht="14.25" customHeight="1" x14ac:dyDescent="0.2">
      <c r="A40" s="328"/>
      <c r="B40" s="328" t="s">
        <v>1512</v>
      </c>
      <c r="C40" s="1292" t="s">
        <v>101</v>
      </c>
      <c r="D40" s="1928"/>
      <c r="E40" s="1286"/>
    </row>
    <row r="41" spans="1:6" ht="14.25" customHeight="1" x14ac:dyDescent="0.2">
      <c r="A41" s="328"/>
      <c r="B41" s="328" t="s">
        <v>1513</v>
      </c>
      <c r="C41" s="1292" t="s">
        <v>101</v>
      </c>
      <c r="D41" s="1928"/>
      <c r="E41" s="1286"/>
    </row>
    <row r="42" spans="1:6" ht="14.25" customHeight="1" x14ac:dyDescent="0.2">
      <c r="A42" s="328" t="s">
        <v>1514</v>
      </c>
      <c r="B42" s="328"/>
      <c r="C42" s="1926" t="s">
        <v>101</v>
      </c>
      <c r="D42" s="1928"/>
      <c r="E42" s="1286"/>
    </row>
    <row r="43" spans="1:6" ht="14.25" customHeight="1" x14ac:dyDescent="0.2">
      <c r="A43" s="328" t="s">
        <v>1515</v>
      </c>
      <c r="B43" s="328"/>
      <c r="C43" s="1293" t="s">
        <v>101</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1" bottom="0.5" header="0.5" footer="0.5"/>
  <pageSetup scale="79" firstPageNumber="39" orientation="portrait" r:id="rId1"/>
  <headerFooter>
    <oddHeader xml:space="preserve">&amp;C
</oddHead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C19" sqref="C1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Harmony-Emge SD 175</v>
      </c>
      <c r="C1" s="2464"/>
      <c r="D1" s="2464"/>
      <c r="E1" s="2464"/>
      <c r="F1" s="2464"/>
      <c r="G1" s="2464"/>
      <c r="H1" s="2464"/>
      <c r="I1" s="2464"/>
      <c r="J1" s="2464"/>
      <c r="K1" s="2464"/>
      <c r="L1" s="2464"/>
      <c r="M1" s="2464"/>
    </row>
    <row r="2" spans="2:14" ht="15" x14ac:dyDescent="0.2">
      <c r="B2" s="2461">
        <f>'Single Audit Cover'!E7</f>
        <v>50082175002</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2102</v>
      </c>
      <c r="C11" s="1338"/>
      <c r="D11" s="1339"/>
      <c r="E11" s="1340"/>
      <c r="F11" s="1340"/>
      <c r="G11" s="1340"/>
      <c r="H11" s="1340"/>
      <c r="I11" s="1340"/>
      <c r="J11" s="1340"/>
      <c r="K11" s="1340"/>
      <c r="L11" s="1340"/>
      <c r="M11" s="1340"/>
    </row>
    <row r="12" spans="2:14" ht="20.100000000000001" customHeight="1" x14ac:dyDescent="0.2">
      <c r="B12" s="1337" t="s">
        <v>2103</v>
      </c>
      <c r="C12" s="1341"/>
      <c r="D12" s="1342"/>
      <c r="E12" s="1343"/>
      <c r="F12" s="1343"/>
      <c r="G12" s="1343"/>
      <c r="H12" s="1343"/>
      <c r="I12" s="1343"/>
      <c r="J12" s="1343"/>
      <c r="K12" s="1343"/>
      <c r="L12" s="1340"/>
      <c r="M12" s="1343"/>
    </row>
    <row r="13" spans="2:14" ht="20.100000000000001" customHeight="1" x14ac:dyDescent="0.2">
      <c r="B13" s="1337" t="s">
        <v>2104</v>
      </c>
      <c r="C13" s="1341" t="s">
        <v>2105</v>
      </c>
      <c r="D13" s="1342" t="s">
        <v>2106</v>
      </c>
      <c r="E13" s="1343">
        <v>181481</v>
      </c>
      <c r="F13" s="1343">
        <v>76895</v>
      </c>
      <c r="G13" s="1343">
        <v>209975</v>
      </c>
      <c r="H13" s="1343"/>
      <c r="I13" s="1343">
        <v>48401</v>
      </c>
      <c r="J13" s="1343"/>
      <c r="K13" s="1343"/>
      <c r="L13" s="1340">
        <f t="shared" ref="L13:L27" si="0">+G13+I13+K13</f>
        <v>258376</v>
      </c>
      <c r="M13" s="1343">
        <v>265414</v>
      </c>
    </row>
    <row r="14" spans="2:14" ht="20.100000000000001" customHeight="1" x14ac:dyDescent="0.2">
      <c r="B14" s="1337" t="s">
        <v>2104</v>
      </c>
      <c r="C14" s="1341" t="s">
        <v>2105</v>
      </c>
      <c r="D14" s="1342" t="s">
        <v>2107</v>
      </c>
      <c r="E14" s="1343"/>
      <c r="F14" s="1343">
        <v>188719</v>
      </c>
      <c r="G14" s="1343"/>
      <c r="H14" s="1343"/>
      <c r="I14" s="1343">
        <v>208979</v>
      </c>
      <c r="J14" s="1343"/>
      <c r="K14" s="1343"/>
      <c r="L14" s="1340">
        <f t="shared" si="0"/>
        <v>208979</v>
      </c>
      <c r="M14" s="1343">
        <v>244431</v>
      </c>
    </row>
    <row r="15" spans="2:14" ht="20.100000000000001" customHeight="1" x14ac:dyDescent="0.2">
      <c r="B15" s="1337" t="s">
        <v>2108</v>
      </c>
      <c r="C15" s="1341" t="s">
        <v>2109</v>
      </c>
      <c r="D15" s="1342" t="s">
        <v>2110</v>
      </c>
      <c r="E15" s="1343">
        <v>23046</v>
      </c>
      <c r="F15" s="1343">
        <v>5060</v>
      </c>
      <c r="G15" s="1343">
        <v>25724</v>
      </c>
      <c r="H15" s="1343"/>
      <c r="I15" s="1343">
        <v>2382</v>
      </c>
      <c r="J15" s="1343"/>
      <c r="K15" s="1343"/>
      <c r="L15" s="1340">
        <f t="shared" si="0"/>
        <v>28106</v>
      </c>
      <c r="M15" s="1343">
        <v>28106</v>
      </c>
    </row>
    <row r="16" spans="2:14" ht="20.100000000000001" customHeight="1" x14ac:dyDescent="0.2">
      <c r="B16" s="1337" t="s">
        <v>2108</v>
      </c>
      <c r="C16" s="1341" t="s">
        <v>2109</v>
      </c>
      <c r="D16" s="1342" t="s">
        <v>2111</v>
      </c>
      <c r="E16" s="1343"/>
      <c r="F16" s="1343">
        <v>23776</v>
      </c>
      <c r="G16" s="1343"/>
      <c r="H16" s="1343"/>
      <c r="I16" s="1343">
        <v>27751</v>
      </c>
      <c r="J16" s="1343"/>
      <c r="K16" s="1343">
        <v>3250</v>
      </c>
      <c r="L16" s="1340">
        <f t="shared" si="0"/>
        <v>31001</v>
      </c>
      <c r="M16" s="1343">
        <v>36334</v>
      </c>
    </row>
    <row r="17" spans="2:14" ht="20.100000000000001" customHeight="1" x14ac:dyDescent="0.2">
      <c r="B17" s="1337" t="s">
        <v>2166</v>
      </c>
      <c r="C17" s="1341">
        <v>84.424000000000007</v>
      </c>
      <c r="D17" s="1342" t="s">
        <v>2130</v>
      </c>
      <c r="E17" s="1343"/>
      <c r="F17" s="1343">
        <v>3210</v>
      </c>
      <c r="G17" s="1343"/>
      <c r="H17" s="1343"/>
      <c r="I17" s="1343">
        <v>3838</v>
      </c>
      <c r="J17" s="1343"/>
      <c r="K17" s="1343">
        <v>2691</v>
      </c>
      <c r="L17" s="1340">
        <f t="shared" si="0"/>
        <v>6529</v>
      </c>
      <c r="M17" s="1343">
        <v>10000</v>
      </c>
    </row>
    <row r="18" spans="2:14" ht="20.100000000000001" customHeight="1" x14ac:dyDescent="0.2">
      <c r="B18" s="1337" t="s">
        <v>2112</v>
      </c>
      <c r="C18" s="1341"/>
      <c r="D18" s="1342"/>
      <c r="E18" s="1343">
        <f>SUM(E13:E17)</f>
        <v>204527</v>
      </c>
      <c r="F18" s="1343">
        <f>SUM(F13:F17)</f>
        <v>297660</v>
      </c>
      <c r="G18" s="1343">
        <f>SUM(G13:G17)</f>
        <v>235699</v>
      </c>
      <c r="H18" s="1343"/>
      <c r="I18" s="1343">
        <f>SUM(I13:I17)</f>
        <v>291351</v>
      </c>
      <c r="J18" s="1343"/>
      <c r="K18" s="1343">
        <f>SUM(K13:K17)</f>
        <v>5941</v>
      </c>
      <c r="L18" s="1340">
        <f t="shared" si="0"/>
        <v>532991</v>
      </c>
      <c r="M18" s="1343"/>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t="s">
        <v>2131</v>
      </c>
      <c r="C20" s="1341"/>
      <c r="D20" s="1342"/>
      <c r="E20" s="1343"/>
      <c r="F20" s="1343"/>
      <c r="G20" s="1343"/>
      <c r="H20" s="1343"/>
      <c r="I20" s="1343"/>
      <c r="J20" s="1343"/>
      <c r="K20" s="1343"/>
      <c r="L20" s="1340"/>
      <c r="M20" s="1343"/>
    </row>
    <row r="21" spans="2:14" ht="20.100000000000001" customHeight="1" x14ac:dyDescent="0.2">
      <c r="B21" s="1337" t="s">
        <v>2146</v>
      </c>
      <c r="C21" s="1341">
        <v>84.027000000000001</v>
      </c>
      <c r="D21" s="1342" t="s">
        <v>2128</v>
      </c>
      <c r="E21" s="1343">
        <v>181571</v>
      </c>
      <c r="F21" s="1343">
        <v>11035</v>
      </c>
      <c r="G21" s="1343">
        <v>192606</v>
      </c>
      <c r="H21" s="1343"/>
      <c r="I21" s="1343"/>
      <c r="J21" s="1343"/>
      <c r="K21" s="1343"/>
      <c r="L21" s="1340">
        <f t="shared" si="0"/>
        <v>192606</v>
      </c>
      <c r="M21" s="1343">
        <v>192606</v>
      </c>
    </row>
    <row r="22" spans="2:14" ht="20.100000000000001" customHeight="1" x14ac:dyDescent="0.2">
      <c r="B22" s="1337" t="s">
        <v>2146</v>
      </c>
      <c r="C22" s="1341">
        <v>84.027000000000001</v>
      </c>
      <c r="D22" s="1342" t="s">
        <v>2129</v>
      </c>
      <c r="E22" s="1343"/>
      <c r="F22" s="1343">
        <v>175297</v>
      </c>
      <c r="G22" s="1343"/>
      <c r="H22" s="1343"/>
      <c r="I22" s="1343">
        <v>175297</v>
      </c>
      <c r="J22" s="1343"/>
      <c r="K22" s="1343"/>
      <c r="L22" s="1340">
        <f t="shared" si="0"/>
        <v>175297</v>
      </c>
      <c r="M22" s="1343">
        <v>175297</v>
      </c>
    </row>
    <row r="23" spans="2:14" ht="20.100000000000001" customHeight="1" x14ac:dyDescent="0.2">
      <c r="B23" s="1337" t="s">
        <v>2147</v>
      </c>
      <c r="C23" s="1341">
        <v>84.027000000000001</v>
      </c>
      <c r="D23" s="1342" t="s">
        <v>2133</v>
      </c>
      <c r="E23" s="1343"/>
      <c r="F23" s="1343">
        <v>449</v>
      </c>
      <c r="G23" s="1343"/>
      <c r="H23" s="1343"/>
      <c r="I23" s="1343">
        <v>449</v>
      </c>
      <c r="J23" s="1343"/>
      <c r="K23" s="1343"/>
      <c r="L23" s="1340">
        <f t="shared" si="0"/>
        <v>449</v>
      </c>
      <c r="M23" s="1343">
        <v>449</v>
      </c>
    </row>
    <row r="24" spans="2:14" ht="20.100000000000001" customHeight="1" x14ac:dyDescent="0.2">
      <c r="B24" s="1337" t="s">
        <v>2132</v>
      </c>
      <c r="C24" s="1341"/>
      <c r="D24" s="1342"/>
      <c r="E24" s="1343">
        <f>SUM(E21:E23)</f>
        <v>181571</v>
      </c>
      <c r="F24" s="1343">
        <f>SUM(F21:F23)</f>
        <v>186781</v>
      </c>
      <c r="G24" s="1343">
        <f>SUM(G21:G23)</f>
        <v>192606</v>
      </c>
      <c r="H24" s="1343"/>
      <c r="I24" s="1343">
        <f>SUM(I21:I23)</f>
        <v>175746</v>
      </c>
      <c r="J24" s="1343"/>
      <c r="K24" s="1343"/>
      <c r="L24" s="1340">
        <f t="shared" si="0"/>
        <v>368352</v>
      </c>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t="s">
        <v>2134</v>
      </c>
      <c r="C27" s="1341"/>
      <c r="D27" s="1342"/>
      <c r="E27" s="1343">
        <f>E18+E24</f>
        <v>386098</v>
      </c>
      <c r="F27" s="1343">
        <f>F18+F24</f>
        <v>484441</v>
      </c>
      <c r="G27" s="1343">
        <f>G18+G24</f>
        <v>428305</v>
      </c>
      <c r="H27" s="1343"/>
      <c r="I27" s="1343">
        <f>I18+I24</f>
        <v>467097</v>
      </c>
      <c r="J27" s="1343"/>
      <c r="K27" s="1343">
        <f>K18+K24</f>
        <v>5941</v>
      </c>
      <c r="L27" s="1340">
        <f t="shared" si="0"/>
        <v>901343</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1" bottom="0.5" header="0.5" footer="0.5"/>
  <pageSetup scale="70" firstPageNumber="38" orientation="landscape" r:id="rId1"/>
  <headerFoot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6" sqref="I1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Harmony-Emge SD 175</v>
      </c>
      <c r="C1" s="2464"/>
      <c r="D1" s="2464"/>
      <c r="E1" s="2464"/>
      <c r="F1" s="2464"/>
      <c r="G1" s="2464"/>
      <c r="H1" s="2464"/>
      <c r="I1" s="2464"/>
      <c r="J1" s="2464"/>
      <c r="K1" s="2464"/>
      <c r="L1" s="2464"/>
      <c r="M1" s="2464"/>
    </row>
    <row r="2" spans="2:14" ht="15" x14ac:dyDescent="0.2">
      <c r="B2" s="2461">
        <f>'Single Audit Cover'!E7</f>
        <v>50082175002</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2116</v>
      </c>
      <c r="C11" s="1338"/>
      <c r="D11" s="1339"/>
      <c r="E11" s="1340"/>
      <c r="F11" s="1340"/>
      <c r="G11" s="1340"/>
      <c r="H11" s="1340"/>
      <c r="I11" s="1340"/>
      <c r="J11" s="1340"/>
      <c r="K11" s="1340"/>
      <c r="L11" s="1340"/>
      <c r="M11" s="1340"/>
    </row>
    <row r="12" spans="2:14" ht="20.100000000000001" customHeight="1" x14ac:dyDescent="0.2">
      <c r="B12" s="1337" t="s">
        <v>2103</v>
      </c>
      <c r="C12" s="1341"/>
      <c r="D12" s="1342"/>
      <c r="E12" s="1343"/>
      <c r="F12" s="1343"/>
      <c r="G12" s="1343"/>
      <c r="H12" s="1343"/>
      <c r="I12" s="1343"/>
      <c r="J12" s="1343"/>
      <c r="K12" s="1343"/>
      <c r="L12" s="1340"/>
      <c r="M12" s="1343"/>
    </row>
    <row r="13" spans="2:14" ht="20.100000000000001" customHeight="1" x14ac:dyDescent="0.2">
      <c r="B13" s="1337" t="s">
        <v>2117</v>
      </c>
      <c r="C13" s="1341">
        <v>10.555</v>
      </c>
      <c r="D13" s="1342" t="s">
        <v>2120</v>
      </c>
      <c r="E13" s="1343">
        <v>151634</v>
      </c>
      <c r="F13" s="1343">
        <v>67601</v>
      </c>
      <c r="G13" s="1343">
        <v>177366</v>
      </c>
      <c r="H13" s="1343"/>
      <c r="I13" s="1343">
        <v>41869</v>
      </c>
      <c r="J13" s="1343"/>
      <c r="K13" s="1343"/>
      <c r="L13" s="1340">
        <f t="shared" ref="L13:L22" si="0">+G13+I13+K13</f>
        <v>219235</v>
      </c>
      <c r="M13" s="1343"/>
    </row>
    <row r="14" spans="2:14" ht="20.100000000000001" customHeight="1" x14ac:dyDescent="0.2">
      <c r="B14" s="1337" t="s">
        <v>2117</v>
      </c>
      <c r="C14" s="1341">
        <v>10.555</v>
      </c>
      <c r="D14" s="1342" t="s">
        <v>2121</v>
      </c>
      <c r="E14" s="1343"/>
      <c r="F14" s="1343">
        <v>149551</v>
      </c>
      <c r="G14" s="1343"/>
      <c r="H14" s="1343"/>
      <c r="I14" s="1343">
        <v>149551</v>
      </c>
      <c r="J14" s="1343"/>
      <c r="K14" s="1343"/>
      <c r="L14" s="1340">
        <f t="shared" si="0"/>
        <v>149551</v>
      </c>
      <c r="M14" s="1343"/>
    </row>
    <row r="15" spans="2:14" ht="20.100000000000001" customHeight="1" x14ac:dyDescent="0.2">
      <c r="B15" s="1337" t="s">
        <v>2118</v>
      </c>
      <c r="C15" s="1341">
        <v>10.553000000000001</v>
      </c>
      <c r="D15" s="1342" t="s">
        <v>2122</v>
      </c>
      <c r="E15" s="1343">
        <v>52578</v>
      </c>
      <c r="F15" s="1343">
        <v>21408</v>
      </c>
      <c r="G15" s="1343">
        <v>61101</v>
      </c>
      <c r="H15" s="1343"/>
      <c r="I15" s="1343">
        <v>12885</v>
      </c>
      <c r="J15" s="1343"/>
      <c r="K15" s="1343"/>
      <c r="L15" s="1340">
        <f t="shared" si="0"/>
        <v>73986</v>
      </c>
      <c r="M15" s="1343"/>
    </row>
    <row r="16" spans="2:14" ht="20.100000000000001" customHeight="1" x14ac:dyDescent="0.2">
      <c r="B16" s="1337" t="s">
        <v>2118</v>
      </c>
      <c r="C16" s="1341">
        <v>10.553000000000001</v>
      </c>
      <c r="D16" s="1342" t="s">
        <v>2123</v>
      </c>
      <c r="E16" s="1343"/>
      <c r="F16" s="1343">
        <v>53119</v>
      </c>
      <c r="G16" s="1343"/>
      <c r="H16" s="1343"/>
      <c r="I16" s="1343">
        <v>53119</v>
      </c>
      <c r="J16" s="1343"/>
      <c r="K16" s="1343"/>
      <c r="L16" s="1340">
        <f t="shared" si="0"/>
        <v>53119</v>
      </c>
      <c r="M16" s="1343"/>
    </row>
    <row r="17" spans="2:14" ht="20.100000000000001" customHeight="1" x14ac:dyDescent="0.2">
      <c r="B17" s="1337" t="s">
        <v>2119</v>
      </c>
      <c r="C17" s="1341">
        <v>10.555</v>
      </c>
      <c r="D17" s="1342" t="s">
        <v>2124</v>
      </c>
      <c r="E17" s="1343"/>
      <c r="F17" s="1343">
        <v>24817</v>
      </c>
      <c r="G17" s="1343"/>
      <c r="H17" s="1343"/>
      <c r="I17" s="1343">
        <v>24817</v>
      </c>
      <c r="J17" s="1343"/>
      <c r="K17" s="1343"/>
      <c r="L17" s="1340">
        <f t="shared" si="0"/>
        <v>24817</v>
      </c>
      <c r="M17" s="1343"/>
    </row>
    <row r="18" spans="2:14" ht="20.100000000000001" customHeight="1" x14ac:dyDescent="0.2">
      <c r="B18" s="1337"/>
      <c r="C18" s="1341"/>
      <c r="D18" s="1342"/>
      <c r="E18" s="1343"/>
      <c r="F18" s="1343"/>
      <c r="G18" s="1343"/>
      <c r="H18" s="1343"/>
      <c r="I18" s="1343"/>
      <c r="J18" s="1343"/>
      <c r="K18" s="1343"/>
      <c r="L18" s="1340"/>
      <c r="M18" s="1343"/>
    </row>
    <row r="19" spans="2:14" ht="20.100000000000001" customHeight="1" x14ac:dyDescent="0.2">
      <c r="B19" s="1337" t="s">
        <v>2125</v>
      </c>
      <c r="C19" s="1341"/>
      <c r="D19" s="1342"/>
      <c r="E19" s="1343">
        <f>SUM(E13:E17)</f>
        <v>204212</v>
      </c>
      <c r="F19" s="1343">
        <f>SUM(F13:F17)</f>
        <v>316496</v>
      </c>
      <c r="G19" s="1343">
        <f>SUM(G13:G17)</f>
        <v>238467</v>
      </c>
      <c r="H19" s="1343"/>
      <c r="I19" s="1343">
        <f>SUM(I13:I17)</f>
        <v>282241</v>
      </c>
      <c r="J19" s="1343"/>
      <c r="K19" s="1343"/>
      <c r="L19" s="1340">
        <f t="shared" si="0"/>
        <v>520708</v>
      </c>
      <c r="M19" s="1343"/>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t="s">
        <v>2126</v>
      </c>
      <c r="C21" s="1341"/>
      <c r="D21" s="1342"/>
      <c r="E21" s="1343"/>
      <c r="F21" s="1343"/>
      <c r="G21" s="1343"/>
      <c r="H21" s="1343"/>
      <c r="I21" s="1343"/>
      <c r="J21" s="1343"/>
      <c r="K21" s="1343"/>
      <c r="L21" s="1340"/>
      <c r="M21" s="1343"/>
    </row>
    <row r="22" spans="2:14" ht="20.100000000000001" customHeight="1" x14ac:dyDescent="0.2">
      <c r="B22" s="1337" t="s">
        <v>2119</v>
      </c>
      <c r="C22" s="1341">
        <v>10.555</v>
      </c>
      <c r="D22" s="1342" t="s">
        <v>2124</v>
      </c>
      <c r="E22" s="1343"/>
      <c r="F22" s="1343">
        <v>3498</v>
      </c>
      <c r="G22" s="1343"/>
      <c r="H22" s="1343"/>
      <c r="I22" s="1343">
        <v>3498</v>
      </c>
      <c r="J22" s="1343"/>
      <c r="K22" s="1343"/>
      <c r="L22" s="1340">
        <f t="shared" si="0"/>
        <v>3498</v>
      </c>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1" bottom="0.5" header="0.5" footer="0.5"/>
  <pageSetup scale="70" firstPageNumber="38" orientation="landscape" r:id="rId1"/>
  <headerFoot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L17" sqref="L17:L2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Harmony-Emge SD 175</v>
      </c>
      <c r="C1" s="2464"/>
      <c r="D1" s="2464"/>
      <c r="E1" s="2464"/>
      <c r="F1" s="2464"/>
      <c r="G1" s="2464"/>
      <c r="H1" s="2464"/>
      <c r="I1" s="2464"/>
      <c r="J1" s="2464"/>
      <c r="K1" s="2464"/>
      <c r="L1" s="2464"/>
      <c r="M1" s="2464"/>
    </row>
    <row r="2" spans="2:14" ht="15" x14ac:dyDescent="0.2">
      <c r="B2" s="2461">
        <f>'Single Audit Cover'!E7</f>
        <v>50082175002</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2113</v>
      </c>
      <c r="C11" s="1338"/>
      <c r="D11" s="1339"/>
      <c r="E11" s="1340"/>
      <c r="F11" s="1340"/>
      <c r="G11" s="1340"/>
      <c r="H11" s="1340"/>
      <c r="I11" s="1340"/>
      <c r="J11" s="1340"/>
      <c r="K11" s="1340"/>
      <c r="L11" s="1340"/>
      <c r="M11" s="1340"/>
    </row>
    <row r="12" spans="2:14" ht="20.100000000000001" customHeight="1" x14ac:dyDescent="0.2">
      <c r="B12" s="1337" t="s">
        <v>2114</v>
      </c>
      <c r="C12" s="1341"/>
      <c r="D12" s="1342"/>
      <c r="E12" s="1343"/>
      <c r="F12" s="1343"/>
      <c r="G12" s="1343"/>
      <c r="H12" s="1343"/>
      <c r="I12" s="1343"/>
      <c r="J12" s="1343"/>
      <c r="K12" s="1343"/>
      <c r="L12" s="1340"/>
      <c r="M12" s="1343"/>
    </row>
    <row r="13" spans="2:14" ht="20.100000000000001" customHeight="1" x14ac:dyDescent="0.2">
      <c r="B13" s="1337" t="s">
        <v>2115</v>
      </c>
      <c r="C13" s="1341">
        <v>93.778000000000006</v>
      </c>
      <c r="D13" s="1342">
        <v>2018</v>
      </c>
      <c r="E13" s="1343"/>
      <c r="F13" s="1343">
        <v>16204</v>
      </c>
      <c r="G13" s="1343"/>
      <c r="H13" s="1343"/>
      <c r="I13" s="1343">
        <v>16204</v>
      </c>
      <c r="J13" s="1343"/>
      <c r="K13" s="1343"/>
      <c r="L13" s="1340">
        <f t="shared" ref="L13:L16" si="0">+G13+I13+K13</f>
        <v>16204</v>
      </c>
      <c r="M13" s="1343"/>
    </row>
    <row r="14" spans="2:14" ht="20.100000000000001" customHeight="1" x14ac:dyDescent="0.2">
      <c r="B14" s="1337"/>
      <c r="C14" s="1341"/>
      <c r="D14" s="1342"/>
      <c r="E14" s="1343"/>
      <c r="F14" s="1343"/>
      <c r="G14" s="1343"/>
      <c r="H14" s="1343"/>
      <c r="I14" s="1343"/>
      <c r="J14" s="1343"/>
      <c r="K14" s="1343"/>
      <c r="L14" s="1340"/>
      <c r="M14" s="1343"/>
    </row>
    <row r="15" spans="2:14" ht="20.100000000000001" customHeight="1" x14ac:dyDescent="0.2">
      <c r="B15" s="1337" t="s">
        <v>1231</v>
      </c>
      <c r="C15" s="1341"/>
      <c r="D15" s="1342"/>
      <c r="E15" s="1343"/>
      <c r="F15" s="1343"/>
      <c r="G15" s="1343"/>
      <c r="H15" s="1343"/>
      <c r="I15" s="1343"/>
      <c r="J15" s="1343"/>
      <c r="K15" s="1343"/>
      <c r="L15" s="1340"/>
      <c r="M15" s="1343"/>
    </row>
    <row r="16" spans="2:14" ht="20.100000000000001" customHeight="1" x14ac:dyDescent="0.2">
      <c r="B16" s="1337" t="s">
        <v>2127</v>
      </c>
      <c r="C16" s="1341"/>
      <c r="D16" s="1342"/>
      <c r="E16" s="1343">
        <f>' SEFA'!E27+' SEFA (2)'!E19+' SEFA (2)'!E22+' SEFA (3)'!E13</f>
        <v>590310</v>
      </c>
      <c r="F16" s="1343">
        <f>' SEFA'!F27+' SEFA (2)'!F19+' SEFA (2)'!F22+' SEFA (3)'!F13</f>
        <v>820639</v>
      </c>
      <c r="G16" s="1343">
        <f>' SEFA'!G27+' SEFA (2)'!G19+' SEFA (2)'!G22+' SEFA (3)'!G13</f>
        <v>666772</v>
      </c>
      <c r="H16" s="1343"/>
      <c r="I16" s="1343">
        <f>' SEFA'!I27+' SEFA (2)'!I19+' SEFA (2)'!I22+' SEFA (3)'!I13</f>
        <v>769040</v>
      </c>
      <c r="J16" s="1343"/>
      <c r="K16" s="1343">
        <f>' SEFA'!K27+' SEFA (2)'!K19+' SEFA (2)'!K22+' SEFA (3)'!K13</f>
        <v>5941</v>
      </c>
      <c r="L16" s="1340">
        <f t="shared" si="0"/>
        <v>1441753</v>
      </c>
      <c r="M16" s="1343"/>
    </row>
    <row r="17" spans="2:14" ht="20.100000000000001" customHeight="1" x14ac:dyDescent="0.2">
      <c r="B17" s="1337"/>
      <c r="C17" s="1341"/>
      <c r="D17" s="1342"/>
      <c r="E17" s="1343"/>
      <c r="F17" s="1343"/>
      <c r="G17" s="1343"/>
      <c r="H17" s="1343"/>
      <c r="I17" s="1343"/>
      <c r="J17" s="1343"/>
      <c r="K17" s="1343"/>
      <c r="L17" s="1340"/>
      <c r="M17" s="1343"/>
    </row>
    <row r="18" spans="2:14" ht="20.100000000000001" customHeight="1" x14ac:dyDescent="0.2">
      <c r="B18" s="1337"/>
      <c r="C18" s="1341"/>
      <c r="D18" s="1342"/>
      <c r="E18" s="1343"/>
      <c r="F18" s="1343"/>
      <c r="G18" s="1343"/>
      <c r="H18" s="1343"/>
      <c r="I18" s="1343"/>
      <c r="J18" s="1343"/>
      <c r="K18" s="1343"/>
      <c r="L18" s="1340"/>
      <c r="M18" s="1343"/>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c r="C21" s="1341"/>
      <c r="D21" s="1342"/>
      <c r="E21" s="1343"/>
      <c r="F21" s="1343"/>
      <c r="G21" s="1343"/>
      <c r="H21" s="1343"/>
      <c r="I21" s="1343"/>
      <c r="J21" s="1343"/>
      <c r="K21" s="1343"/>
      <c r="L21" s="1340"/>
      <c r="M21" s="1343"/>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1" bottom="0.5" header="0.5" footer="0.5"/>
  <pageSetup scale="70" firstPageNumber="38" orientation="landscape" r:id="rId1"/>
  <headerFoot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5" sqref="I2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Harmony-Emge SD 175</v>
      </c>
      <c r="C1" s="2464"/>
      <c r="D1" s="2464"/>
      <c r="E1" s="2464"/>
      <c r="F1" s="2464"/>
      <c r="G1" s="2464"/>
      <c r="H1" s="2464"/>
      <c r="I1" s="2464"/>
      <c r="J1" s="2464"/>
      <c r="K1" s="2464"/>
      <c r="L1" s="2464"/>
      <c r="M1" s="2464"/>
    </row>
    <row r="2" spans="2:14" ht="15" x14ac:dyDescent="0.2">
      <c r="B2" s="2461">
        <f>'Single Audit Cover'!E7</f>
        <v>50082175002</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2136</v>
      </c>
      <c r="C11" s="1338"/>
      <c r="D11" s="1339"/>
      <c r="E11" s="1340"/>
      <c r="F11" s="1340"/>
      <c r="G11" s="1340"/>
      <c r="H11" s="1340"/>
      <c r="I11" s="1340"/>
      <c r="J11" s="1340"/>
      <c r="K11" s="1340"/>
      <c r="L11" s="1340"/>
      <c r="M11" s="1340"/>
    </row>
    <row r="12" spans="2:14" ht="20.100000000000001" customHeight="1" x14ac:dyDescent="0.2">
      <c r="B12" s="1337" t="s">
        <v>2137</v>
      </c>
      <c r="C12" s="1341"/>
      <c r="D12" s="1342"/>
      <c r="E12" s="1343">
        <f>' SEFA'!E13+' SEFA'!E14</f>
        <v>181481</v>
      </c>
      <c r="F12" s="1343">
        <f>' SEFA'!F13+' SEFA'!F14</f>
        <v>265614</v>
      </c>
      <c r="G12" s="1343">
        <f>' SEFA'!G13+' SEFA'!G14</f>
        <v>209975</v>
      </c>
      <c r="H12" s="1343"/>
      <c r="I12" s="1343">
        <f>' SEFA'!I13+' SEFA'!I14</f>
        <v>257380</v>
      </c>
      <c r="J12" s="1343"/>
      <c r="K12" s="1343">
        <f>' SEFA'!K13+' SEFA'!K14</f>
        <v>0</v>
      </c>
      <c r="L12" s="1340">
        <f t="shared" ref="L12:L25" si="0">+G12+I12+K12</f>
        <v>467355</v>
      </c>
      <c r="M12" s="1343"/>
    </row>
    <row r="13" spans="2:14" ht="20.100000000000001" customHeight="1" x14ac:dyDescent="0.2">
      <c r="B13" s="1337" t="s">
        <v>2138</v>
      </c>
      <c r="C13" s="1341"/>
      <c r="D13" s="1342"/>
      <c r="E13" s="1343">
        <f>' SEFA'!E15+' SEFA'!E16</f>
        <v>23046</v>
      </c>
      <c r="F13" s="1343">
        <f>' SEFA'!F15+' SEFA'!F16</f>
        <v>28836</v>
      </c>
      <c r="G13" s="1343">
        <f>' SEFA'!G15+' SEFA'!G16</f>
        <v>25724</v>
      </c>
      <c r="H13" s="1343"/>
      <c r="I13" s="1343">
        <f>' SEFA'!I15+' SEFA'!I16</f>
        <v>30133</v>
      </c>
      <c r="J13" s="1343"/>
      <c r="K13" s="1343">
        <f>' SEFA'!K15+' SEFA'!K16</f>
        <v>3250</v>
      </c>
      <c r="L13" s="1340">
        <f t="shared" si="0"/>
        <v>59107</v>
      </c>
      <c r="M13" s="1343"/>
    </row>
    <row r="14" spans="2:14" ht="20.100000000000001" customHeight="1" x14ac:dyDescent="0.2">
      <c r="B14" s="1337" t="s">
        <v>2139</v>
      </c>
      <c r="C14" s="1341"/>
      <c r="D14" s="1342"/>
      <c r="E14" s="1343">
        <f>' SEFA'!E17</f>
        <v>0</v>
      </c>
      <c r="F14" s="1343">
        <f>' SEFA'!F17</f>
        <v>3210</v>
      </c>
      <c r="G14" s="1343">
        <f>' SEFA'!G17</f>
        <v>0</v>
      </c>
      <c r="H14" s="1343"/>
      <c r="I14" s="1343">
        <f>' SEFA'!I17</f>
        <v>3838</v>
      </c>
      <c r="J14" s="1343"/>
      <c r="K14" s="1343">
        <f>' SEFA'!K17</f>
        <v>2691</v>
      </c>
      <c r="L14" s="1340">
        <f t="shared" si="0"/>
        <v>6529</v>
      </c>
      <c r="M14" s="1343"/>
    </row>
    <row r="15" spans="2:14" ht="20.100000000000001" customHeight="1" x14ac:dyDescent="0.2">
      <c r="B15" s="1337" t="s">
        <v>2140</v>
      </c>
      <c r="C15" s="1341"/>
      <c r="D15" s="1342"/>
      <c r="E15" s="1343">
        <f>' SEFA'!E21+' SEFA'!E22+' SEFA'!E23</f>
        <v>181571</v>
      </c>
      <c r="F15" s="1343">
        <f>' SEFA'!F21+' SEFA'!F22+' SEFA'!F23</f>
        <v>186781</v>
      </c>
      <c r="G15" s="1343">
        <f>' SEFA'!G21+' SEFA'!G22+' SEFA'!G23</f>
        <v>192606</v>
      </c>
      <c r="H15" s="1343"/>
      <c r="I15" s="1343">
        <f>' SEFA'!I21+' SEFA'!I22+' SEFA'!I23</f>
        <v>175746</v>
      </c>
      <c r="J15" s="1343"/>
      <c r="K15" s="1343">
        <f>' SEFA'!K21+' SEFA'!K22+' SEFA'!K23</f>
        <v>0</v>
      </c>
      <c r="L15" s="1340">
        <f t="shared" si="0"/>
        <v>368352</v>
      </c>
      <c r="M15" s="1343"/>
    </row>
    <row r="16" spans="2:14" ht="20.100000000000001" customHeight="1" x14ac:dyDescent="0.2">
      <c r="B16" s="1337" t="s">
        <v>2141</v>
      </c>
      <c r="C16" s="1341"/>
      <c r="D16" s="1342"/>
      <c r="E16" s="1343">
        <f>' SEFA (2)'!E13+' SEFA (2)'!E14+' SEFA (2)'!E17+' SEFA (2)'!E22</f>
        <v>151634</v>
      </c>
      <c r="F16" s="1343">
        <f>' SEFA (2)'!F13+' SEFA (2)'!F14+' SEFA (2)'!F17+' SEFA (2)'!F22</f>
        <v>245467</v>
      </c>
      <c r="G16" s="1343">
        <f>' SEFA (2)'!G13+' SEFA (2)'!G14+' SEFA (2)'!G17+' SEFA (2)'!G22</f>
        <v>177366</v>
      </c>
      <c r="H16" s="1343"/>
      <c r="I16" s="1343">
        <f>' SEFA (2)'!I13+' SEFA (2)'!I14+' SEFA (2)'!I17+' SEFA (2)'!I22</f>
        <v>219735</v>
      </c>
      <c r="J16" s="1343"/>
      <c r="K16" s="1343">
        <f>' SEFA (2)'!K13+' SEFA (2)'!K14+' SEFA (2)'!K17+' SEFA (2)'!K22</f>
        <v>0</v>
      </c>
      <c r="L16" s="1340">
        <f t="shared" si="0"/>
        <v>397101</v>
      </c>
      <c r="M16" s="1343"/>
    </row>
    <row r="17" spans="2:14" ht="20.100000000000001" customHeight="1" x14ac:dyDescent="0.2">
      <c r="B17" s="1337" t="s">
        <v>2142</v>
      </c>
      <c r="C17" s="1341"/>
      <c r="D17" s="1342"/>
      <c r="E17" s="1343">
        <f>' SEFA (2)'!E15+' SEFA (2)'!E16</f>
        <v>52578</v>
      </c>
      <c r="F17" s="1343">
        <f>' SEFA (2)'!F15+' SEFA (2)'!F16</f>
        <v>74527</v>
      </c>
      <c r="G17" s="1343">
        <f>' SEFA (2)'!G15+' SEFA (2)'!G16</f>
        <v>61101</v>
      </c>
      <c r="H17" s="1343"/>
      <c r="I17" s="1343">
        <f>' SEFA (2)'!I15+' SEFA (2)'!I16</f>
        <v>66004</v>
      </c>
      <c r="J17" s="1343"/>
      <c r="K17" s="1343">
        <f>' SEFA (2)'!K15+' SEFA (2)'!K16</f>
        <v>0</v>
      </c>
      <c r="L17" s="1340">
        <f t="shared" si="0"/>
        <v>127105</v>
      </c>
      <c r="M17" s="1343"/>
    </row>
    <row r="18" spans="2:14" ht="20.100000000000001" customHeight="1" x14ac:dyDescent="0.2">
      <c r="B18" s="1337" t="s">
        <v>2143</v>
      </c>
      <c r="C18" s="1341"/>
      <c r="D18" s="1342"/>
      <c r="E18" s="1343">
        <f>' SEFA (3)'!E13</f>
        <v>0</v>
      </c>
      <c r="F18" s="1343">
        <f>' SEFA (3)'!F13</f>
        <v>16204</v>
      </c>
      <c r="G18" s="1343">
        <f>' SEFA (3)'!G13</f>
        <v>0</v>
      </c>
      <c r="H18" s="1343"/>
      <c r="I18" s="1343">
        <f>' SEFA (3)'!I13</f>
        <v>16204</v>
      </c>
      <c r="J18" s="1343"/>
      <c r="K18" s="1343">
        <f>' SEFA (3)'!K13</f>
        <v>0</v>
      </c>
      <c r="L18" s="1340">
        <f t="shared" si="0"/>
        <v>16204</v>
      </c>
      <c r="M18" s="1343"/>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t="s">
        <v>2144</v>
      </c>
      <c r="C21" s="1341"/>
      <c r="D21" s="1342"/>
      <c r="E21" s="1343">
        <f>SUM(E12:E18)</f>
        <v>590310</v>
      </c>
      <c r="F21" s="1343">
        <f>SUM(F12:F18)</f>
        <v>820639</v>
      </c>
      <c r="G21" s="1343">
        <f>SUM(G12:G18)</f>
        <v>666772</v>
      </c>
      <c r="H21" s="1343"/>
      <c r="I21" s="1343">
        <f>SUM(I12:I18)</f>
        <v>769040</v>
      </c>
      <c r="J21" s="1343"/>
      <c r="K21" s="1343">
        <f>SUM(K12:K18)</f>
        <v>5941</v>
      </c>
      <c r="L21" s="1340">
        <f t="shared" si="0"/>
        <v>1441753</v>
      </c>
      <c r="M21" s="1343"/>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t="s">
        <v>2151</v>
      </c>
      <c r="C24" s="1341"/>
      <c r="D24" s="1342"/>
      <c r="E24" s="1343"/>
      <c r="F24" s="1343"/>
      <c r="G24" s="1343"/>
      <c r="H24" s="1343"/>
      <c r="I24" s="1343"/>
      <c r="J24" s="1343"/>
      <c r="K24" s="1343"/>
      <c r="L24" s="1340"/>
      <c r="M24" s="1343"/>
    </row>
    <row r="25" spans="2:14" ht="20.100000000000001" customHeight="1" x14ac:dyDescent="0.2">
      <c r="B25" s="1337" t="s">
        <v>2152</v>
      </c>
      <c r="C25" s="1341"/>
      <c r="D25" s="1342"/>
      <c r="E25" s="1343">
        <f>E16+E17</f>
        <v>204212</v>
      </c>
      <c r="F25" s="1343">
        <f>F16+F17</f>
        <v>319994</v>
      </c>
      <c r="G25" s="1343">
        <f>G16+G17</f>
        <v>238467</v>
      </c>
      <c r="H25" s="1343"/>
      <c r="I25" s="1343">
        <f>I16+I17</f>
        <v>285739</v>
      </c>
      <c r="J25" s="1343"/>
      <c r="K25" s="1343"/>
      <c r="L25" s="1340">
        <f t="shared" si="0"/>
        <v>524206</v>
      </c>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1" bottom="0.5" header="0.5" footer="0.5"/>
  <pageSetup scale="70" firstPageNumber="38" orientation="landscape" r:id="rId1"/>
  <headerFoot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P35" sqref="P35"/>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Harmony-Emge SD 175</v>
      </c>
      <c r="C1" s="2479"/>
      <c r="D1" s="2479"/>
      <c r="E1" s="2479"/>
      <c r="F1" s="2479"/>
      <c r="G1" s="2479"/>
      <c r="H1" s="2479"/>
      <c r="I1" s="2479"/>
      <c r="J1" s="1422"/>
    </row>
    <row r="2" spans="2:10" s="317" customFormat="1" ht="12.75" customHeight="1" x14ac:dyDescent="0.2">
      <c r="B2" s="2480">
        <f>'Single Audit Cover'!E7</f>
        <v>50082175002</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t="s">
        <v>2149</v>
      </c>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2074</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2074</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2074</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2074</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t="s">
        <v>2150</v>
      </c>
      <c r="E29" s="2485"/>
      <c r="F29" s="2485"/>
      <c r="G29" s="2485"/>
      <c r="H29" s="2485"/>
      <c r="I29" s="2485"/>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2074</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86" t="s">
        <v>1851</v>
      </c>
      <c r="D37" s="2487"/>
      <c r="E37" s="2487"/>
      <c r="F37" s="2488"/>
      <c r="G37" s="2486" t="s">
        <v>1674</v>
      </c>
      <c r="H37" s="2487"/>
      <c r="I37" s="2488"/>
    </row>
    <row r="38" spans="2:9" ht="16.5" customHeight="1" x14ac:dyDescent="0.2">
      <c r="B38" s="1444" t="s">
        <v>2105</v>
      </c>
      <c r="C38" s="2474" t="s">
        <v>2145</v>
      </c>
      <c r="D38" s="2475"/>
      <c r="E38" s="2475"/>
      <c r="F38" s="2476"/>
      <c r="G38" s="2489">
        <v>257380</v>
      </c>
      <c r="H38" s="2490"/>
      <c r="I38" s="2491"/>
    </row>
    <row r="39" spans="2:9" ht="16.5" customHeight="1" x14ac:dyDescent="0.2">
      <c r="B39" s="1444">
        <v>84.027000000000001</v>
      </c>
      <c r="C39" s="2474" t="s">
        <v>2148</v>
      </c>
      <c r="D39" s="2475"/>
      <c r="E39" s="2475"/>
      <c r="F39" s="2476"/>
      <c r="G39" s="2477">
        <v>175746</v>
      </c>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433126</v>
      </c>
      <c r="H43" s="2470"/>
      <c r="I43" s="2470"/>
    </row>
    <row r="44" spans="2:9" ht="12.75" customHeight="1" x14ac:dyDescent="0.2"/>
    <row r="45" spans="2:9" ht="12.75" customHeight="1" x14ac:dyDescent="0.2">
      <c r="B45" s="1435" t="s">
        <v>1949</v>
      </c>
      <c r="D45" s="2471">
        <v>769040</v>
      </c>
      <c r="E45" s="2472"/>
    </row>
    <row r="46" spans="2:9" ht="5.25" customHeight="1" x14ac:dyDescent="0.2">
      <c r="B46" s="1445"/>
      <c r="D46" s="1446"/>
      <c r="E46" s="1447"/>
    </row>
    <row r="47" spans="2:9" ht="12.75" customHeight="1" x14ac:dyDescent="0.2">
      <c r="B47" s="1300" t="s">
        <v>1676</v>
      </c>
      <c r="C47" s="1300"/>
      <c r="D47" s="1448">
        <f>+G43/D45</f>
        <v>0.56320347446166652</v>
      </c>
      <c r="E47" s="1449"/>
      <c r="F47" s="1450"/>
      <c r="I47" s="1451"/>
    </row>
    <row r="48" spans="2:9" ht="9.9499999999999993" customHeight="1" x14ac:dyDescent="0.2"/>
    <row r="49" spans="1:9" x14ac:dyDescent="0.2">
      <c r="B49" s="1368" t="s">
        <v>1335</v>
      </c>
      <c r="C49" s="1282"/>
      <c r="D49" s="1282"/>
      <c r="E49" s="2473">
        <v>750000</v>
      </c>
      <c r="F49" s="2473"/>
      <c r="G49" s="2473"/>
      <c r="H49" s="322"/>
    </row>
    <row r="51" spans="1:9" ht="13.5" customHeight="1" x14ac:dyDescent="0.2">
      <c r="B51" s="1368" t="s">
        <v>1334</v>
      </c>
      <c r="C51" s="1282"/>
      <c r="E51" s="1438"/>
      <c r="F51" s="1300" t="s">
        <v>940</v>
      </c>
      <c r="G51" s="1438" t="s">
        <v>2074</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75" right="0.75" top="1" bottom="0.5" header="0.5" footer="0.5"/>
  <pageSetup scale="89" firstPageNumber="40" orientation="portrait" r:id="rId1"/>
  <headerFooter>
    <oddFooter>&amp;C&amp;"Times New Roman,Regular"See Independent Auditor's Reports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5" sqref="B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Harmony-Emge SD 175</v>
      </c>
      <c r="C1" s="2478"/>
      <c r="D1" s="2478"/>
      <c r="E1" s="2478"/>
      <c r="F1" s="2478"/>
      <c r="G1" s="2478"/>
      <c r="H1" s="2478"/>
      <c r="I1" s="2478"/>
      <c r="J1" s="2478"/>
      <c r="K1" s="2478"/>
      <c r="L1" s="1374"/>
      <c r="M1" s="1374"/>
    </row>
    <row r="2" spans="1:13" ht="12" customHeight="1" x14ac:dyDescent="0.2">
      <c r="B2" s="2480">
        <f>'Single Audit Cover'!E7</f>
        <v>50082175002</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t="s">
        <v>2100</v>
      </c>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41" orientation="portrait" r:id="rId1"/>
  <headerFooter>
    <oddFooter>&amp;C&amp;"Times New Roman,Regular"See Independent Auditor's Reports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Harmony-Emge SD 175</v>
      </c>
      <c r="C1" s="2501"/>
      <c r="D1" s="2501"/>
      <c r="E1" s="2501"/>
      <c r="F1" s="2501"/>
      <c r="G1" s="2501"/>
      <c r="H1" s="2501"/>
      <c r="I1" s="2501"/>
      <c r="J1" s="2501"/>
      <c r="K1" s="2501"/>
      <c r="L1" s="1465"/>
    </row>
    <row r="2" spans="1:12" ht="12.75" customHeight="1" x14ac:dyDescent="0.2">
      <c r="B2" s="2502">
        <f>'Single Audit Cover'!E7</f>
        <v>50082175002</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t="s">
        <v>2100</v>
      </c>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 bottom="0.5" header="0.5" footer="0.5"/>
  <pageSetup scale="85" firstPageNumber="42" orientation="portrait" r:id="rId1"/>
  <headerFooter>
    <oddFooter>&amp;C&amp;"Times New Roman,Regular"See Independent Auditor's Reports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Harmony-Emge SD 175</v>
      </c>
      <c r="C1" s="2478"/>
      <c r="D1" s="2478"/>
      <c r="E1" s="1491"/>
    </row>
    <row r="2" spans="2:5" s="1282" customFormat="1" ht="12.75" customHeight="1" x14ac:dyDescent="0.2">
      <c r="B2" s="2480">
        <f>'Single Audit Cover'!E7</f>
        <v>50082175002</v>
      </c>
      <c r="C2" s="2480"/>
      <c r="D2" s="2480"/>
      <c r="E2" s="1492"/>
    </row>
    <row r="3" spans="2:5" ht="12.75" customHeight="1" x14ac:dyDescent="0.2">
      <c r="B3" s="2494" t="s">
        <v>1866</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t="s">
        <v>2100</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rintOptions horizontalCentered="1"/>
  <pageMargins left="0.75" right="0.75" top="1" bottom="0.5" header="0.5" footer="0.5"/>
  <pageSetup scale="90" firstPageNumber="43" orientation="portrait" r:id="rId1"/>
  <headerFooter>
    <oddFooter>&amp;C&amp;"Times New Roman,Regular"See Independent Auditor's Reports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infopath/2007/PartnerControls"/>
    <ds:schemaRef ds:uri="http://schemas.microsoft.com/office/2006/metadata/properties"/>
    <ds:schemaRef ds:uri="d21dc803-237d-4c68-8692-8d731fd29118"/>
    <ds:schemaRef ds:uri="http://schemas.microsoft.com/office/2006/documentManagement/types"/>
    <ds:schemaRef ds:uri="http://purl.org/dc/terms/"/>
    <ds:schemaRef ds:uri="http://schemas.openxmlformats.org/package/2006/metadata/core-properties"/>
    <ds:schemaRef ds:uri="4d435f69-8686-490b-bd6d-b153bf22ab50"/>
    <ds:schemaRef ds:uri="6ce3111e-7420-4802-b50a-75d4e9a0b980"/>
    <ds:schemaRef ds:uri="http://purl.org/dc/elements/1.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SF&amp;QC Sec-1</vt:lpstr>
      <vt:lpstr>SF&amp;QC Sec-2</vt:lpstr>
      <vt:lpstr>SF&amp;QC Sec-3</vt:lpstr>
      <vt:lpstr>SSPAF</vt:lpstr>
      <vt:lpstr>' SEFA'!Print_Area</vt:lpstr>
      <vt:lpstr>' SEFA (2)'!Print_Area</vt:lpstr>
      <vt:lpstr>' SEFA (3)'!Print_Area</vt:lpstr>
      <vt:lpstr>' SEFA (4)'!Print_Area</vt:lpstr>
      <vt:lpstr>'Aud Quest 2'!Print_Area</vt:lpstr>
      <vt:lpstr>'ICR Computation 30'!Print_Area</vt:lpstr>
      <vt:lpstr>'Itemization 33'!Print_Area</vt:lpstr>
      <vt:lpstr>'PCTC-OEPP 27-28'!Print_Area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2018-08-23T15:37:19Z</cp:lastPrinted>
  <dcterms:created xsi:type="dcterms:W3CDTF">2003-10-29T19:06:34Z</dcterms:created>
  <dcterms:modified xsi:type="dcterms:W3CDTF">2018-12-10T20:15:22Z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