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07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C25" i="3" l="1"/>
  <c r="I13" i="11" l="1"/>
  <c r="I10" i="11"/>
  <c r="H6" i="12"/>
  <c r="J32" i="8"/>
  <c r="D268" i="29"/>
  <c r="D267" i="29"/>
  <c r="D266" i="29"/>
  <c r="D264" i="29"/>
  <c r="D246" i="29"/>
  <c r="D245" i="29"/>
  <c r="D234" i="29"/>
  <c r="D223" i="29"/>
  <c r="D219" i="29"/>
  <c r="H171" i="29"/>
  <c r="F63" i="29"/>
  <c r="E61" i="29"/>
  <c r="E60" i="29"/>
  <c r="D63" i="29"/>
  <c r="C63" i="29"/>
  <c r="F50" i="29"/>
  <c r="E50" i="29"/>
  <c r="F46" i="29"/>
  <c r="F44" i="29"/>
  <c r="C38" i="29"/>
  <c r="E14" i="29"/>
  <c r="D10" i="29"/>
  <c r="D14" i="29"/>
  <c r="C10" i="29"/>
  <c r="D107" i="5"/>
  <c r="C77" i="5"/>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c r="B5106" i="106"/>
  <c r="D5106" i="106" s="1"/>
  <c r="B5107" i="106"/>
  <c r="D5107" i="106" s="1"/>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s="1"/>
  <c r="B5124" i="106"/>
  <c r="D5124" i="106" s="1"/>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s="1"/>
  <c r="B6308" i="106"/>
  <c r="D6308" i="106" s="1"/>
  <c r="B6309" i="106"/>
  <c r="D6309" i="106"/>
  <c r="B6310" i="106"/>
  <c r="D6310" i="106" s="1"/>
  <c r="B6311" i="106"/>
  <c r="D6311" i="106"/>
  <c r="B6312" i="106"/>
  <c r="D6312" i="106" s="1"/>
  <c r="B6313" i="106"/>
  <c r="D6313" i="106"/>
  <c r="B6314" i="106"/>
  <c r="D6314" i="106" s="1"/>
  <c r="B6315" i="106"/>
  <c r="D6315" i="106"/>
  <c r="B6316" i="106"/>
  <c r="D6316" i="106" s="1"/>
  <c r="B6317" i="106"/>
  <c r="D6317" i="106"/>
  <c r="B6319" i="106"/>
  <c r="D6319" i="106" s="1"/>
  <c r="B6320" i="106"/>
  <c r="D6320" i="106"/>
  <c r="B6321" i="106"/>
  <c r="D6321" i="106" s="1"/>
  <c r="B6322" i="106"/>
  <c r="D6322" i="106"/>
  <c r="B6323" i="106"/>
  <c r="D6323" i="106" s="1"/>
  <c r="B6324" i="106"/>
  <c r="D6324" i="106"/>
  <c r="B6325" i="106"/>
  <c r="D6325" i="106" s="1"/>
  <c r="B6326" i="106"/>
  <c r="D6326" i="106"/>
  <c r="B6327" i="106"/>
  <c r="D6327" i="106" s="1"/>
  <c r="B6328" i="106"/>
  <c r="D6328" i="106"/>
  <c r="B6329" i="106"/>
  <c r="D6329" i="106" s="1"/>
  <c r="B6330" i="106"/>
  <c r="D6330" i="106"/>
  <c r="B6331" i="106"/>
  <c r="D6331" i="106" s="1"/>
  <c r="B6332" i="106"/>
  <c r="D6332" i="106"/>
  <c r="B6333" i="106"/>
  <c r="D6333" i="106" s="1"/>
  <c r="B6334" i="106"/>
  <c r="D6334" i="106"/>
  <c r="B6335" i="106"/>
  <c r="D6335" i="106" s="1"/>
  <c r="B6336" i="106"/>
  <c r="D6336" i="106"/>
  <c r="B6337" i="106"/>
  <c r="D6337" i="106" s="1"/>
  <c r="B6338" i="106"/>
  <c r="D6338" i="106"/>
  <c r="B6339" i="106"/>
  <c r="D6339" i="106" s="1"/>
  <c r="B6340" i="106"/>
  <c r="D6340" i="106"/>
  <c r="B6341" i="106"/>
  <c r="D6341" i="106" s="1"/>
  <c r="B6342" i="106"/>
  <c r="D6342" i="106"/>
  <c r="B6343" i="106"/>
  <c r="D6343" i="106" s="1"/>
  <c r="B6344" i="106"/>
  <c r="D6344" i="106"/>
  <c r="B6345" i="106"/>
  <c r="D6345" i="106" s="1"/>
  <c r="B6346" i="106"/>
  <c r="D6346" i="106"/>
  <c r="B6347" i="106"/>
  <c r="D6347" i="106" s="1"/>
  <c r="B6348" i="106"/>
  <c r="D6348" i="106"/>
  <c r="B6349" i="106"/>
  <c r="D6349" i="106" s="1"/>
  <c r="B6350" i="106"/>
  <c r="D6350" i="106"/>
  <c r="B6353" i="106"/>
  <c r="D6353" i="106" s="1"/>
  <c r="B6354" i="106"/>
  <c r="D6354" i="106"/>
  <c r="B6355" i="106"/>
  <c r="D6355" i="106" s="1"/>
  <c r="B6356" i="106"/>
  <c r="D6356" i="106"/>
  <c r="B6358" i="106"/>
  <c r="D6358" i="106" s="1"/>
  <c r="B6359" i="106"/>
  <c r="D6359" i="106"/>
  <c r="B6360" i="106"/>
  <c r="D6360" i="106" s="1"/>
  <c r="B6361" i="106"/>
  <c r="D6361" i="106"/>
  <c r="B6362" i="106"/>
  <c r="D6362" i="106" s="1"/>
  <c r="B6363" i="106"/>
  <c r="D6363" i="106"/>
  <c r="B6364" i="106"/>
  <c r="D6364" i="106" s="1"/>
  <c r="B6365" i="106"/>
  <c r="D6365" i="106"/>
  <c r="B6366" i="106"/>
  <c r="D6366" i="106" s="1"/>
  <c r="B6367" i="106"/>
  <c r="D6367" i="106"/>
  <c r="B6368" i="106"/>
  <c r="D6368" i="106" s="1"/>
  <c r="B6369" i="106"/>
  <c r="D6369" i="106"/>
  <c r="B6370" i="106"/>
  <c r="D6370" i="106" s="1"/>
  <c r="B6371" i="106"/>
  <c r="D6371" i="106"/>
  <c r="B6372" i="106"/>
  <c r="D6372" i="106" s="1"/>
  <c r="B6373" i="106"/>
  <c r="D6373" i="106"/>
  <c r="B6374" i="106"/>
  <c r="D6374" i="106" s="1"/>
  <c r="B6375" i="106"/>
  <c r="D6375" i="106"/>
  <c r="B6376" i="106"/>
  <c r="D6376" i="106" s="1"/>
  <c r="B6377" i="106"/>
  <c r="D6377" i="106"/>
  <c r="B6378" i="106"/>
  <c r="D6378" i="106" s="1"/>
  <c r="B6379" i="106"/>
  <c r="D6379" i="106"/>
  <c r="B6380" i="106"/>
  <c r="D6380" i="106" s="1"/>
  <c r="B6381" i="106"/>
  <c r="D6381" i="106"/>
  <c r="B6382" i="106"/>
  <c r="D6382" i="106" s="1"/>
  <c r="B6383" i="106"/>
  <c r="D6383" i="106"/>
  <c r="B6384" i="106"/>
  <c r="D6384" i="106" s="1"/>
  <c r="B6385" i="106"/>
  <c r="D6385" i="106"/>
  <c r="B6386" i="106"/>
  <c r="D6386" i="106" s="1"/>
  <c r="B6387" i="106"/>
  <c r="D6387" i="106"/>
  <c r="B6388" i="106"/>
  <c r="D6388" i="106" s="1"/>
  <c r="B6389" i="106"/>
  <c r="D6389" i="106"/>
  <c r="B6390" i="106"/>
  <c r="D6390" i="106" s="1"/>
  <c r="B6391" i="106"/>
  <c r="D6391" i="106"/>
  <c r="B6392" i="106"/>
  <c r="D6392" i="106" s="1"/>
  <c r="B6393" i="106"/>
  <c r="D6393" i="106"/>
  <c r="B6394" i="106"/>
  <c r="D6394" i="106" s="1"/>
  <c r="B6395" i="106"/>
  <c r="D6395" i="106"/>
  <c r="B6398" i="106"/>
  <c r="D6398" i="106" s="1"/>
  <c r="B6399" i="106"/>
  <c r="D6399" i="106"/>
  <c r="B6401" i="106"/>
  <c r="D6401" i="106" s="1"/>
  <c r="B6402" i="106"/>
  <c r="D6402" i="106"/>
  <c r="B6403" i="106"/>
  <c r="D6403" i="106" s="1"/>
  <c r="B6404" i="106"/>
  <c r="D6404" i="106"/>
  <c r="B6405" i="106"/>
  <c r="D6405" i="106" s="1"/>
  <c r="B6406" i="106"/>
  <c r="D6406" i="106"/>
  <c r="B6407" i="106"/>
  <c r="D6407" i="106" s="1"/>
  <c r="B6408" i="106"/>
  <c r="D6408" i="106"/>
  <c r="B6410" i="106"/>
  <c r="D6410" i="106" s="1"/>
  <c r="B6411" i="106"/>
  <c r="D6411" i="106"/>
  <c r="B6412" i="106"/>
  <c r="D6412" i="106" s="1"/>
  <c r="B6413"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c r="B6619" i="106"/>
  <c r="D6619" i="106" s="1"/>
  <c r="B6620" i="106"/>
  <c r="D6620" i="106"/>
  <c r="B6621" i="106"/>
  <c r="D6621" i="106" s="1"/>
  <c r="B6622" i="106"/>
  <c r="D6622" i="106"/>
  <c r="B6623" i="106"/>
  <c r="D6623" i="106" s="1"/>
  <c r="B6624" i="106"/>
  <c r="D6624" i="106"/>
  <c r="B6625" i="106"/>
  <c r="D6625" i="106" s="1"/>
  <c r="B6626" i="106"/>
  <c r="D6626" i="106"/>
  <c r="B6627" i="106"/>
  <c r="D6627" i="106" s="1"/>
  <c r="B6628" i="106"/>
  <c r="D6628" i="106"/>
  <c r="B6629" i="106"/>
  <c r="D6629" i="106" s="1"/>
  <c r="B6630" i="106"/>
  <c r="D6630" i="106"/>
  <c r="B6631" i="106"/>
  <c r="D6631" i="106" s="1"/>
  <c r="B6632" i="106"/>
  <c r="D6632" i="106"/>
  <c r="B6633" i="106"/>
  <c r="D6633" i="106" s="1"/>
  <c r="B6634" i="106"/>
  <c r="D6634" i="106"/>
  <c r="B6635" i="106"/>
  <c r="D6635" i="106" s="1"/>
  <c r="B6636" i="106"/>
  <c r="D6636" i="106"/>
  <c r="B6637" i="106"/>
  <c r="D6637" i="106" s="1"/>
  <c r="B6638" i="106"/>
  <c r="D6638" i="106"/>
  <c r="B6639" i="106"/>
  <c r="D6639" i="106" s="1"/>
  <c r="B6640" i="106"/>
  <c r="D6640" i="106"/>
  <c r="B6641" i="106"/>
  <c r="D6641" i="106" s="1"/>
  <c r="B6642" i="106"/>
  <c r="D6642" i="106"/>
  <c r="B6643" i="106"/>
  <c r="D6643" i="106" s="1"/>
  <c r="B6644" i="106"/>
  <c r="D6644" i="106"/>
  <c r="B6645" i="106"/>
  <c r="D6645" i="106" s="1"/>
  <c r="B6646" i="106"/>
  <c r="D6646" i="106"/>
  <c r="B6647" i="106"/>
  <c r="D6647" i="106" s="1"/>
  <c r="B6648" i="106"/>
  <c r="D6648" i="106"/>
  <c r="B6649" i="106"/>
  <c r="D6649" i="106" s="1"/>
  <c r="B6650" i="106"/>
  <c r="D6650" i="106"/>
  <c r="B6651" i="106"/>
  <c r="D6651" i="106" s="1"/>
  <c r="B6652" i="106"/>
  <c r="D6652" i="106"/>
  <c r="B6653" i="106"/>
  <c r="D6653" i="106" s="1"/>
  <c r="B6654" i="106"/>
  <c r="D6654" i="106"/>
  <c r="B6655" i="106"/>
  <c r="D6655" i="106" s="1"/>
  <c r="B6656" i="106"/>
  <c r="D6656" i="106"/>
  <c r="B6657" i="106"/>
  <c r="D6657" i="106" s="1"/>
  <c r="B6658" i="106"/>
  <c r="D6658" i="106"/>
  <c r="B6659" i="106"/>
  <c r="D6659" i="106" s="1"/>
  <c r="B6660" i="106"/>
  <c r="D6660" i="106"/>
  <c r="B6661" i="106"/>
  <c r="D6661" i="106" s="1"/>
  <c r="B6662" i="106"/>
  <c r="D6662" i="106"/>
  <c r="B6663" i="106"/>
  <c r="D6663" i="106" s="1"/>
  <c r="B6664" i="106"/>
  <c r="D6664" i="106"/>
  <c r="B6665" i="106"/>
  <c r="D6665" i="106" s="1"/>
  <c r="B6666" i="106"/>
  <c r="D6666" i="106"/>
  <c r="B6667" i="106"/>
  <c r="D6667" i="106" s="1"/>
  <c r="B6668" i="106"/>
  <c r="D6668" i="106"/>
  <c r="B6669" i="106"/>
  <c r="D6669" i="106" s="1"/>
  <c r="B6670" i="106"/>
  <c r="D6670" i="106"/>
  <c r="B6671" i="106"/>
  <c r="D6671" i="106" s="1"/>
  <c r="B6672" i="106"/>
  <c r="D6672" i="106"/>
  <c r="B6673" i="106"/>
  <c r="D6673" i="106" s="1"/>
  <c r="B6674" i="106"/>
  <c r="D6674" i="106"/>
  <c r="B6675" i="106"/>
  <c r="D6675" i="106" s="1"/>
  <c r="B6676" i="106"/>
  <c r="D6676" i="106"/>
  <c r="B6677" i="106"/>
  <c r="D6677" i="106" s="1"/>
  <c r="B6678" i="106"/>
  <c r="D6678" i="106"/>
  <c r="B6679" i="106"/>
  <c r="D6679" i="106" s="1"/>
  <c r="B6680" i="106"/>
  <c r="D6680" i="106"/>
  <c r="B6681" i="106"/>
  <c r="D6681" i="106" s="1"/>
  <c r="B6682" i="106"/>
  <c r="D6682" i="106"/>
  <c r="B6683" i="106"/>
  <c r="D6683" i="106" s="1"/>
  <c r="B6684" i="106"/>
  <c r="D6684" i="106"/>
  <c r="B6685" i="106"/>
  <c r="D6685" i="106" s="1"/>
  <c r="B6686" i="106"/>
  <c r="D6686" i="106"/>
  <c r="B6687" i="106"/>
  <c r="D6687" i="106" s="1"/>
  <c r="B6688" i="106"/>
  <c r="D6688" i="106"/>
  <c r="B6689" i="106"/>
  <c r="D6689" i="106" s="1"/>
  <c r="B6690" i="106"/>
  <c r="D6690" i="106"/>
  <c r="B6691" i="106"/>
  <c r="D6691" i="106" s="1"/>
  <c r="B6692" i="106"/>
  <c r="D6692" i="106"/>
  <c r="B6693" i="106"/>
  <c r="D6693" i="106" s="1"/>
  <c r="B6694" i="106"/>
  <c r="D6694" i="106"/>
  <c r="B6695" i="106"/>
  <c r="D6695" i="106" s="1"/>
  <c r="B6696" i="106"/>
  <c r="D6696" i="106"/>
  <c r="B6697" i="106"/>
  <c r="D6697" i="106" s="1"/>
  <c r="B6698" i="106"/>
  <c r="D6698" i="106"/>
  <c r="B6699" i="106"/>
  <c r="D6699" i="106" s="1"/>
  <c r="B6700" i="106"/>
  <c r="D6700" i="106"/>
  <c r="B6701" i="106"/>
  <c r="D6701" i="106" s="1"/>
  <c r="B6702" i="106"/>
  <c r="D6702" i="106"/>
  <c r="B6703" i="106"/>
  <c r="D6703" i="106" s="1"/>
  <c r="B6704" i="106"/>
  <c r="D6704" i="106"/>
  <c r="B6705" i="106"/>
  <c r="D6705" i="106" s="1"/>
  <c r="B6706" i="106"/>
  <c r="D6706" i="106"/>
  <c r="B6707" i="106"/>
  <c r="D6707" i="106" s="1"/>
  <c r="B6708" i="106"/>
  <c r="D6708" i="106"/>
  <c r="B6709" i="106"/>
  <c r="D6709" i="106" s="1"/>
  <c r="B6710" i="106"/>
  <c r="D6710" i="106"/>
  <c r="B6711" i="106"/>
  <c r="D6711" i="106" s="1"/>
  <c r="B6712" i="106"/>
  <c r="D6712" i="106"/>
  <c r="B6713" i="106"/>
  <c r="D6713" i="106" s="1"/>
  <c r="B6714" i="106"/>
  <c r="D6714" i="106"/>
  <c r="B6715" i="106"/>
  <c r="D6715" i="106" s="1"/>
  <c r="B6716" i="106"/>
  <c r="D6716" i="106"/>
  <c r="B6717" i="106"/>
  <c r="D6717" i="106" s="1"/>
  <c r="B6718" i="106"/>
  <c r="D6718" i="106"/>
  <c r="B6719" i="106"/>
  <c r="D6719" i="106" s="1"/>
  <c r="B6720" i="106"/>
  <c r="D6720" i="106"/>
  <c r="B6721" i="106"/>
  <c r="D6721" i="106" s="1"/>
  <c r="B6722" i="106"/>
  <c r="D6722" i="106"/>
  <c r="B6723" i="106"/>
  <c r="D6723" i="106" s="1"/>
  <c r="B6724" i="106"/>
  <c r="D6724" i="106"/>
  <c r="B6725" i="106"/>
  <c r="D6725" i="106" s="1"/>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c r="D5120" i="106" s="1"/>
  <c r="D108" i="5"/>
  <c r="B5355" i="106" s="1"/>
  <c r="D5355" i="106" s="1"/>
  <c r="E108" i="5"/>
  <c r="B5526" i="106"/>
  <c r="D5526" i="106" s="1"/>
  <c r="F108" i="5"/>
  <c r="B5587" i="106" s="1"/>
  <c r="D5587" i="106" s="1"/>
  <c r="G108" i="5"/>
  <c r="B5737" i="106" s="1"/>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B5752" i="106" s="1"/>
  <c r="D5752" i="106" s="1"/>
  <c r="G144" i="5"/>
  <c r="B5756" i="106" s="1"/>
  <c r="D5756" i="106" s="1"/>
  <c r="G154" i="5"/>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F128" i="34" s="1"/>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D13" i="7"/>
  <c r="B3726" i="106" s="1"/>
  <c r="D3726" i="106" s="1"/>
  <c r="F136" i="34"/>
  <c r="F131" i="34"/>
  <c r="F127" i="34"/>
  <c r="F111" i="34"/>
  <c r="K274" i="5"/>
  <c r="H173" i="5"/>
  <c r="B5906" i="106" s="1"/>
  <c r="D5906" i="106" s="1"/>
  <c r="H109" i="5"/>
  <c r="B6025" i="106" s="1"/>
  <c r="D6025" i="106" s="1"/>
  <c r="F106" i="34"/>
  <c r="D7" i="7"/>
  <c r="B1763" i="106" s="1"/>
  <c r="D1763" i="106" s="1"/>
  <c r="H6" i="4"/>
  <c r="B2656" i="106" s="1"/>
  <c r="D2656" i="106" s="1"/>
  <c r="B1746" i="106"/>
  <c r="D1746" i="106" s="1"/>
  <c r="D11" i="7"/>
  <c r="B1768" i="106" s="1"/>
  <c r="D1768" i="106" s="1"/>
  <c r="D15" i="7"/>
  <c r="B1772" i="106" s="1"/>
  <c r="D1772" i="106" s="1"/>
  <c r="D5" i="7" l="1"/>
  <c r="B1761" i="106" s="1"/>
  <c r="D1761" i="106" s="1"/>
  <c r="C109" i="5"/>
  <c r="B5121" i="106" s="1"/>
  <c r="D5121" i="106" s="1"/>
  <c r="F46" i="34"/>
  <c r="D17" i="7"/>
  <c r="B4104" i="106" s="1"/>
  <c r="D4104" i="106" s="1"/>
  <c r="H4" i="4"/>
  <c r="B2655" i="106" s="1"/>
  <c r="D2655" i="106" s="1"/>
  <c r="D4" i="7"/>
  <c r="B1760" i="106" s="1"/>
  <c r="D1760" i="106" s="1"/>
  <c r="G5" i="4"/>
  <c r="B3409" i="106" s="1"/>
  <c r="D3409" i="106" s="1"/>
  <c r="G172" i="5"/>
  <c r="F130" i="34"/>
  <c r="D9" i="7"/>
  <c r="B1767" i="106" s="1"/>
  <c r="D1767" i="106" s="1"/>
  <c r="L5" i="11"/>
  <c r="B2056" i="106" s="1"/>
  <c r="D2056" i="106" s="1"/>
  <c r="K28" i="118"/>
  <c r="O27" i="118" s="1"/>
  <c r="O29" i="118" s="1"/>
  <c r="D5" i="4"/>
  <c r="B3406" i="106" s="1"/>
  <c r="D3406" i="106" s="1"/>
  <c r="J274" i="5"/>
  <c r="B7054" i="106" s="1"/>
  <c r="D7054" i="106" s="1"/>
  <c r="I173" i="5"/>
  <c r="B4216" i="106" s="1"/>
  <c r="D4216" i="106" s="1"/>
  <c r="L367" i="29"/>
  <c r="F50" i="34"/>
  <c r="F44" i="34"/>
  <c r="I24" i="12"/>
  <c r="B6191" i="106"/>
  <c r="D6191" i="106" s="1"/>
  <c r="J41" i="3"/>
  <c r="D109" i="5"/>
  <c r="B5356" i="106" s="1"/>
  <c r="D5356" i="106" s="1"/>
  <c r="B3454" i="106"/>
  <c r="D3454" i="106" s="1"/>
  <c r="L15" i="11"/>
  <c r="B3459" i="106" s="1"/>
  <c r="D3459" i="106" s="1"/>
  <c r="K173" i="5"/>
  <c r="K6" i="4" s="1"/>
  <c r="B3570" i="106" s="1"/>
  <c r="D3570" i="106" s="1"/>
  <c r="C342" i="29"/>
  <c r="B7216" i="106" s="1"/>
  <c r="D7216" i="106" s="1"/>
  <c r="B3647" i="106"/>
  <c r="D3647" i="106" s="1"/>
  <c r="G352" i="29"/>
  <c r="B3170" i="106"/>
  <c r="D3170" i="106" s="1"/>
  <c r="H76" i="4"/>
  <c r="B3298" i="106" s="1"/>
  <c r="D3298" i="106" s="1"/>
  <c r="K285" i="29"/>
  <c r="B1130" i="106"/>
  <c r="D1130" i="106" s="1"/>
  <c r="E10" i="108"/>
  <c r="B3621" i="106"/>
  <c r="D3621" i="106" s="1"/>
  <c r="C367" i="29"/>
  <c r="B1274" i="106"/>
  <c r="D1274" i="106" s="1"/>
  <c r="L13" i="11"/>
  <c r="B2060" i="106" s="1"/>
  <c r="D2060" i="106" s="1"/>
  <c r="F19" i="7"/>
  <c r="B1807" i="106" s="1"/>
  <c r="D1807" i="106" s="1"/>
  <c r="K350" i="29"/>
  <c r="B3670" i="106" s="1"/>
  <c r="D3670" i="106" s="1"/>
  <c r="L342" i="29"/>
  <c r="B1410" i="106"/>
  <c r="D1410" i="106" s="1"/>
  <c r="K184" i="29"/>
  <c r="F13" i="4" s="1"/>
  <c r="B2596" i="106" s="1"/>
  <c r="D2596" i="106" s="1"/>
  <c r="B1329" i="106"/>
  <c r="D1329" i="106" s="1"/>
  <c r="F61" i="34"/>
  <c r="D12" i="7"/>
  <c r="B1769" i="106" s="1"/>
  <c r="D1769" i="106" s="1"/>
  <c r="G109" i="5"/>
  <c r="B6024" i="106" s="1"/>
  <c r="D6024" i="106" s="1"/>
  <c r="D4" i="4"/>
  <c r="B2564" i="106" s="1"/>
  <c r="D2564" i="106" s="1"/>
  <c r="C172" i="5"/>
  <c r="B5214" i="106" s="1"/>
  <c r="D5214" i="106" s="1"/>
  <c r="B5096" i="106"/>
  <c r="D5096"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0" i="106"/>
  <c r="B7230" i="106"/>
  <c r="D7230" i="106" s="1"/>
  <c r="I352" i="29"/>
  <c r="I367" i="29"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F275" i="5"/>
  <c r="J7" i="4"/>
  <c r="H8" i="4"/>
  <c r="B7270" i="106"/>
  <c r="F73" i="34" l="1"/>
  <c r="G15" i="4"/>
  <c r="B6032" i="106" s="1"/>
  <c r="D6032" i="106" s="1"/>
  <c r="G173" i="5"/>
  <c r="B5770" i="106"/>
  <c r="D5770" i="106" s="1"/>
  <c r="H275" i="5"/>
  <c r="J16" i="4"/>
  <c r="B6226" i="106" s="1"/>
  <c r="D6226" i="106" s="1"/>
  <c r="B1996" i="106"/>
  <c r="D1996" i="106" s="1"/>
  <c r="I26" i="12"/>
  <c r="B7741" i="106" s="1"/>
  <c r="D7741" i="106" s="1"/>
  <c r="D7255" i="106"/>
  <c r="D7252" i="106"/>
  <c r="G30" i="108"/>
  <c r="B3730" i="106"/>
  <c r="D3730" i="106" s="1"/>
  <c r="E30" i="108"/>
  <c r="H367" i="29"/>
  <c r="B3660" i="106" s="1"/>
  <c r="D3660" i="106" s="1"/>
  <c r="D274" i="5"/>
  <c r="D7256" i="106"/>
  <c r="D7251" i="106"/>
  <c r="G4" i="4"/>
  <c r="B2603" i="106" s="1"/>
  <c r="D2603" i="106" s="1"/>
  <c r="K352" i="29"/>
  <c r="B3649" i="106"/>
  <c r="D3649" i="106" s="1"/>
  <c r="G367" i="29"/>
  <c r="B3650" i="106" s="1"/>
  <c r="D3650" i="106" s="1"/>
  <c r="D44" i="36"/>
  <c r="L16" i="11"/>
  <c r="B2061" i="106" s="1"/>
  <c r="D2061" i="106" s="1"/>
  <c r="D19" i="7"/>
  <c r="B1775" i="106" s="1"/>
  <c r="D1775" i="106" s="1"/>
  <c r="K342" i="29"/>
  <c r="F13" i="34" s="1"/>
  <c r="B1381" i="106"/>
  <c r="D1381" i="106" s="1"/>
  <c r="B1317" i="106"/>
  <c r="D1317" i="106" s="1"/>
  <c r="C114" i="29"/>
  <c r="B757" i="106" s="1"/>
  <c r="D757"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K13" i="4" l="1"/>
  <c r="B3572" i="106" s="1"/>
  <c r="D3572" i="106" s="1"/>
  <c r="B3672" i="106"/>
  <c r="D3672" i="106" s="1"/>
  <c r="B5778" i="106"/>
  <c r="D5778" i="106" s="1"/>
  <c r="G6" i="4"/>
  <c r="B2604" i="106" s="1"/>
  <c r="D2604" i="106" s="1"/>
  <c r="F8" i="4"/>
  <c r="K367" i="29"/>
  <c r="G41" i="108"/>
  <c r="G44" i="108" s="1"/>
  <c r="G45" i="108" s="1"/>
  <c r="E41" i="108"/>
  <c r="E44" i="108" s="1"/>
  <c r="E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<sst xmlns="http://schemas.openxmlformats.org/spreadsheetml/2006/main" count="5031" uniqueCount="2109">
  <si>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</si>
  <si>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</si>
  <si>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</si>
  <si>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</si>
  <si>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</si>
  <si>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</si>
  <si>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</si>
  <si>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</si>
  <si>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</si>
  <si>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</si>
  <si>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</si>
  <si>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</si>
  <si>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</si>
  <si>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</si>
  <si>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</si>
  <si>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</si>
  <si>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</si>
  <si>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</si>
  <si>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</si>
  <si>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</si>
  <si>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</si>
  <si>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</si>
  <si>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</si>
  <si>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</si>
  <si>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</si>
  <si>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</si>
  <si>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</si>
  <si>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</si>
  <si>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</si>
  <si>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</si>
  <si>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</si>
  <si>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</si>
  <si>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</si>
  <si>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</si>
  <si>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</si>
  <si>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</si>
  <si>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</si>
  <si>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</si>
  <si>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</si>
  <si>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</si>
  <si>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</si>
  <si>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</si>
  <si>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</si>
  <si>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</si>
  <si>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</si>
  <si>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</si>
  <si>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</si>
  <si>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</si>
  <si>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</si>
  <si>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</si>
  <si>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</si>
  <si>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</si>
  <si>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</si>
  <si>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</si>
  <si>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</si>
  <si>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</si>
  <si>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</si>
  <si>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</si>
  <si>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</si>
  <si>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</si>
  <si>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</si>
  <si>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</si>
  <si>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</si>
  <si>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</si>
  <si>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</si>
  <si>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</si>
  <si>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</si>
  <si>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</si>
  <si>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</si>
  <si>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</si>
  <si>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</si>
  <si>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</si>
  <si>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</si>
  <si>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</si>
  <si>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</si>
  <si>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</si>
  <si>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</si>
  <si>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</si>
  <si>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</si>
  <si>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</si>
  <si>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</si>
  <si>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</si>
  <si>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</si>
  <si>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</si>
  <si>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</si>
  <si>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</si>
  <si>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</si>
  <si>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</si>
  <si>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</si>
  <si>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</si>
  <si>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</si>
  <si>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</si>
  <si>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</si>
  <si>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</si>
  <si>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</si>
  <si>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</si>
  <si>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</si>
  <si>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</si>
  <si>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</si>
  <si>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</si>
  <si>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</si>
  <si>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</si>
  <si>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</si>
  <si>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</si>
  <si>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</si>
  <si>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</si>
  <si>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</si>
  <si>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</si>
  <si>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</si>
  <si>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</si>
  <si>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</si>
  <si>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</si>
  <si>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</si>
  <si>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</si>
  <si>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</si>
  <si>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</si>
  <si>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</si>
  <si>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</si>
  <si>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</si>
  <si>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</si>
  <si>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</si>
  <si>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</si>
  <si>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</si>
  <si>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</si>
  <si>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</si>
  <si>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</si>
  <si>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</si>
  <si>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</si>
  <si>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</si>
  <si>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</si>
  <si>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</si>
  <si>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</si>
  <si>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</si>
  <si>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</si>
  <si>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</si>
  <si>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</si>
  <si>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</si>
  <si>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</si>
  <si>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</si>
  <si>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</si>
  <si>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</si>
  <si>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</si>
  <si>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</si>
  <si>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</si>
  <si>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</si>
  <si>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</si>
  <si>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</si>
  <si>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</si>
  <si>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</si>
  <si>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</si>
  <si>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</si>
  <si>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</si>
  <si>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</si>
  <si>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</si>
  <si>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</si>
  <si>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</si>
  <si>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</si>
  <si>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</si>
  <si>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</si>
  <si>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</si>
  <si>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</si>
  <si>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</si>
  <si>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</si>
  <si>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</si>
  <si>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</si>
  <si>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</si>
  <si>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</si>
  <si>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</si>
  <si>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</si>
  <si>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</si>
  <si>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</si>
  <si>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</si>
  <si>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</si>
  <si>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</si>
  <si>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</si>
  <si>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</si>
  <si>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</si>
  <si>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</si>
  <si>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</si>
  <si>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</si>
  <si>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</si>
  <si>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</si>
  <si>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</si>
  <si>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</si>
  <si>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</si>
  <si>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</si>
  <si>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</si>
  <si>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</si>
  <si>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</si>
  <si>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</si>
  <si>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</si>
  <si>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</si>
  <si>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</si>
  <si>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</si>
  <si>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</si>
  <si>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</si>
  <si>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</si>
  <si>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</si>
  <si>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</si>
  <si>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</si>
  <si>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</si>
  <si>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</si>
  <si>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</si>
  <si>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</si>
  <si>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</si>
  <si>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</si>
  <si>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</si>
  <si>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</si>
  <si>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</si>
  <si>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</si>
  <si>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</si>
  <si>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</si>
  <si>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</si>
  <si>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</si>
  <si>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</si>
  <si>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</si>
  <si>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</si>
  <si>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</si>
  <si>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</si>
  <si>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</si>
  <si>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</si>
  <si>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</si>
  <si>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</si>
  <si>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</si>
  <si>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</si>
  <si>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</si>
  <si>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</si>
  <si>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</si>
  <si>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</si>
  <si>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</si>
  <si>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</si>
  <si>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</si>
  <si>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</si>
  <si>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</si>
  <si>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</si>
  <si>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</si>
  <si>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</si>
  <si>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</si>
  <si>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</si>
  <si>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</si>
  <si>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</si>
  <si>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</si>
  <si>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</si>
  <si>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</si>
  <si>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</si>
  <si>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</si>
  <si>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</si>
  <si>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</si>
  <si>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</si>
  <si>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</si>
  <si>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</si>
  <si>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</si>
  <si>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</si>
  <si>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</si>
  <si>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</si>
  <si>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</si>
  <si>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</si>
  <si>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</si>
  <si>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</si>
  <si>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</si>
  <si>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</si>
  <si>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</si>
  <si>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</si>
  <si>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</si>
  <si>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</si>
  <si>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</si>
  <si>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</si>
  <si>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</si>
  <si>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</si>
  <si>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</si>
  <si>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</si>
  <si>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</si>
  <si>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</si>
  <si>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</si>
  <si>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</si>
  <si>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</si>
  <si>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</si>
  <si>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</si>
  <si>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</si>
  <si>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</si>
  <si>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</si>
  <si>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</si>
  <si>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</si>
  <si>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</si>
  <si>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</si>
  <si>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</si>
  <si>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</si>
  <si>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</si>
  <si>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</si>
  <si>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</si>
  <si>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</si>
  <si>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</si>
  <si>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</si>
  <si>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</si>
  <si>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</si>
  <si>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</si>
  <si>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</si>
  <si>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</si>
  <si>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</si>
  <si>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</si>
  <si>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</si>
  <si>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</si>
  <si>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</si>
  <si>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</si>
  <si>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</si>
  <si>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</si>
  <si>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</si>
  <si>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</si>
  <si>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</si>
  <si>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</si>
  <si>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</si>
  <si>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</si>
  <si>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</si>
  <si>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</si>
  <si>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</si>
  <si>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</si>
  <si>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</si>
  <si>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</si>
  <si>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</si>
  <si>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</si>
  <si>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</si>
  <si>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</si>
  <si>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</si>
  <si>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</si>
  <si>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</si>
  <si>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</si>
  <si>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</si>
  <si>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</si>
  <si>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</si>
  <si>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</si>
  <si>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</si>
  <si>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</si>
  <si>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</si>
  <si>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</si>
  <si>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</si>
  <si>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</si>
  <si>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</si>
  <si>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</si>
  <si>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</si>
  <si>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</si>
  <si>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</si>
  <si>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</si>
  <si>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</si>
  <si>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</si>
  <si>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</si>
  <si>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</si>
  <si>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</si>
  <si>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</si>
  <si>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</si>
  <si>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</si>
  <si>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</si>
  <si>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</si>
  <si>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</si>
  <si>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</si>
  <si>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</si>
  <si>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</si>
  <si>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</si>
  <si>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</si>
  <si>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</si>
  <si>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</si>
  <si>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</si>
  <si>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</si>
  <si>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</si>
  <si>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</si>
  <si>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</si>
  <si>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</si>
  <si>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</si>
  <si>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</si>
  <si>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</si>
  <si>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</si>
  <si>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</si>
  <si>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</si>
  <si>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</si>
  <si>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</si>
  <si>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</si>
  <si>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</si>
  <si>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</si>
  <si>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</si>
  <si>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</si>
  <si>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</si>
  <si>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</si>
  <si>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</si>
  <si>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</si>
  <si>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</si>
  <si>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</si>
  <si>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</si>
  <si>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</si>
  <si>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</si>
  <si>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</si>
  <si>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</si>
  <si>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</si>
  <si>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</si>
  <si>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</si>
  <si>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</si>
  <si>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</si>
  <si>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</si>
  <si>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</si>
  <si>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</si>
  <si>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</si>
  <si>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</si>
  <si>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</si>
  <si>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</si>
  <si>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</si>
  <si>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</si>
  <si>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</si>
  <si>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</si>
  <si>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</si>
  <si>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</si>
  <si>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</si>
  <si>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</si>
  <si>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</si>
  <si>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</si>
  <si>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</si>
  <si>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</si>
  <si>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</si>
  <si>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</si>
  <si>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</si>
  <si>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</si>
  <si>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</si>
  <si>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</si>
  <si>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</si>
  <si>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</si>
  <si>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</si>
  <si>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</si>
  <si>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</si>
  <si>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</si>
  <si>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</si>
  <si>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</si>
  <si>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</si>
  <si>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</si>
  <si>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</si>
  <si>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</si>
  <si>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</si>
  <si>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</si>
  <si>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</si>
  <si>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</si>
  <si>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</si>
  <si>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</si>
  <si>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</si>
  <si>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</si>
  <si>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</si>
  <si>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</si>
  <si>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</si>
  <si>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</si>
  <si>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</si>
  <si>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</si>
  <si>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</si>
  <si>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</si>
  <si>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</si>
  <si>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</si>
  <si>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</si>
  <si>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</si>
  <si>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</si>
  <si>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</si>
  <si>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</si>
  <si>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</si>
  <si>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</si>
  <si>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</si>
  <si>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</si>
  <si>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</si>
  <si>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</si>
  <si>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</si>
  <si>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</si>
  <si>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</si>
  <si>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</si>
  <si>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</si>
  <si>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</si>
  <si>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</si>
  <si>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</si>
  <si>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</si>
  <si>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</si>
  <si>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</si>
  <si>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</si>
  <si>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</si>
  <si>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</si>
  <si>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</si>
  <si>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</si>
  <si>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</si>
  <si>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</si>
  <si>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</si>
  <si>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</si>
  <si>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</si>
  <si>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</si>
  <si>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</si>
  <si>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</si>
  <si>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</si>
  <si>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</si>
  <si>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</si>
  <si>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</si>
  <si>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</si>
  <si>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</si>
  <si>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</si>
  <si>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</si>
  <si>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</si>
  <si>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</si>
  <si>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</si>
  <si>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</si>
  <si>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</si>
  <si>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</si>
  <si>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</si>
  <si>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</si>
  <si>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</si>
  <si>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</si>
  <si>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</si>
  <si>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</si>
  <si>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</si>
  <si>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</si>
  <si>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</si>
  <si>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</si>
  <si>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</si>
  <si>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</si>
  <si>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</si>
  <si>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</si>
  <si>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</si>
  <si>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</si>
  <si>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</si>
  <si>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</si>
  <si>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</si>
  <si>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</si>
  <si>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</si>
  <si>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</si>
  <si>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</si>
  <si>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</si>
  <si>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</si>
  <si>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</si>
  <si>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</si>
  <si>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</si>
  <si>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</si>
  <si>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</si>
  <si>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</si>
  <si>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</si>
  <si>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</si>
  <si>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</si>
  <si>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</si>
  <si>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</si>
  <si>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</si>
  <si>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</si>
  <si>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</si>
  <si>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</si>
  <si>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</si>
  <si>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</si>
  <si>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</si>
  <si>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</si>
  <si>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</si>
  <si>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</si>
  <si>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</si>
  <si>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</si>
  <si>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</si>
  <si>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</si>
  <si>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</si>
  <si>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</si>
  <si>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</si>
  <si>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</si>
  <si>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</si>
  <si>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</si>
  <si>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</si>
  <si>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</si>
  <si>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</si>
  <si>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</si>
  <si>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</si>
  <si>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</si>
  <si>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</si>
  <si>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</si>
  <si>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</si>
  <si>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</si>
  <si>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</si>
  <si>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</si>
  <si>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</si>
  <si>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</si>
  <si>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</si>
  <si>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</si>
  <si>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</si>
  <si>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</si>
  <si>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</si>
  <si>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</si>
  <si>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</si>
  <si>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</si>
  <si>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</si>
  <si>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</si>
  <si>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</si>
  <si>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</si>
  <si>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</si>
  <si>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</si>
  <si>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</si>
  <si>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</si>
  <si>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</si>
  <si>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</si>
  <si>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</si>
  <si>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</si>
  <si>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</si>
  <si>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</si>
  <si>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</si>
  <si>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</si>
  <si>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</si>
  <si>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</si>
  <si>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</si>
  <si>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</si>
  <si>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</si>
  <si>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</si>
  <si>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</si>
  <si>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</si>
  <si>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</si>
  <si>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</si>
  <si>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</si>
  <si>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</si>
  <si>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</si>
  <si>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</si>
  <si>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</si>
  <si>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</si>
  <si>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</si>
  <si>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</si>
  <si>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</si>
  <si>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</si>
  <si>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</si>
  <si>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</si>
  <si>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</si>
  <si>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</si>
  <si>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</si>
  <si>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</si>
  <si>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</si>
  <si>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</si>
  <si>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</si>
  <si>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</si>
  <si>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</si>
  <si>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</si>
  <si>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</si>
  <si>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</si>
  <si>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</si>
  <si>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</si>
  <si>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</si>
  <si>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</si>
  <si>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</si>
  <si>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</si>
  <si>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</si>
  <si>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</si>
  <si>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</si>
  <si>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</si>
  <si>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</si>
  <si>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</si>
  <si>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</si>
  <si>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</si>
  <si>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</si>
  <si>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</si>
  <si>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</si>
  <si>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</si>
  <si>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</si>
  <si>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</si>
  <si>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</si>
  <si>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</si>
  <si>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</si>
  <si>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</si>
  <si>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</si>
  <si>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</si>
  <si>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</si>
  <si>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</si>
  <si>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</si>
  <si>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</si>
  <si>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</si>
  <si>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</si>
  <si>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</si>
  <si>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</si>
  <si>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</si>
  <si>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</si>
  <si>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</si>
  <si>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</si>
  <si>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</si>
  <si>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</si>
  <si>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</si>
  <si>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</si>
  <si>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</si>
  <si>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</si>
  <si>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</si>
  <si>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</si>
  <si>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</si>
  <si>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</si>
  <si>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</si>
  <si>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</si>
  <si>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</si>
  <si>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</si>
  <si>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</si>
  <si>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</si>
  <si>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</si>
  <si>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</si>
  <si>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</si>
  <si>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</si>
  <si>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</si>
  <si>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</si>
  <si>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</si>
  <si>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</si>
  <si>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</si>
  <si>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</si>
  <si>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</si>
  <si>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</si>
  <si>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</si>
  <si>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</si>
  <si>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</si>
  <si>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</si>
  <si>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</si>
  <si>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</si>
  <si>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</si>
  <si>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</si>
  <si>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</si>
  <si>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</si>
  <si>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</si>
  <si>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</si>
  <si>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</si>
  <si>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</si>
  <si>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</si>
  <si>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</si>
  <si>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</si>
  <si>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</si>
  <si>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</si>
  <si>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</si>
  <si>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</si>
  <si>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</si>
  <si>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</si>
  <si>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</si>
  <si>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</si>
  <si>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</si>
  <si>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</si>
  <si>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</si>
  <si>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</si>
  <si>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</si>
  <si>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</si>
  <si>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</si>
  <si>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</si>
  <si>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</si>
  <si>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</si>
  <si>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</si>
  <si>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</si>
  <si>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</si>
  <si>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</si>
  <si>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</si>
  <si>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</si>
  <si>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</si>
  <si>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</si>
  <si>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</si>
  <si>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</si>
  <si>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</si>
  <si>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</si>
  <si>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</si>
  <si>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</si>
  <si>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</si>
  <si>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</si>
  <si>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</si>
  <si>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</si>
  <si>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</si>
  <si>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</si>
  <si>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</si>
  <si>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</si>
  <si>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</si>
  <si>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</si>
  <si>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</si>
  <si>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</si>
  <si>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</si>
  <si>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</si>
  <si>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</si>
  <si>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</si>
  <si>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</si>
  <si>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</si>
  <si>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</si>
  <si>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</si>
  <si>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</si>
  <si>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</si>
  <si>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</si>
  <si>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</si>
  <si>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</si>
  <si>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</si>
  <si>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</si>
  <si>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</si>
  <si>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</si>
  <si>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</si>
  <si>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</si>
  <si>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</si>
  <si>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</si>
  <si>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</si>
  <si>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</si>
  <si>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</si>
  <si>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</si>
  <si>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</si>
  <si>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</si>
  <si>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</si>
  <si>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</si>
  <si>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</si>
  <si>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</si>
  <si>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</si>
  <si>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</si>
  <si>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</si>
  <si>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</si>
  <si>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</si>
  <si>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</si>
  <si>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</si>
  <si>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</si>
  <si>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</si>
  <si>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</si>
  <si>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</si>
  <si>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</si>
  <si>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</si>
  <si>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</si>
  <si>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</si>
  <si>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</si>
  <si>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</si>
  <si>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</si>
  <si>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</si>
  <si>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</si>
  <si>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</si>
  <si>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</si>
  <si>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</si>
  <si>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</si>
  <si>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</si>
  <si>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</si>
  <si>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</si>
  <si>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</si>
  <si>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</si>
  <si>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</si>
  <si>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</si>
  <si>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</si>
  <si>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</si>
  <si>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</si>
  <si>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</si>
  <si>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</si>
  <si>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</si>
  <si>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</si>
  <si>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</si>
  <si>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</si>
  <si>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</si>
  <si>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</si>
  <si>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</si>
  <si>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</si>
  <si>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</si>
  <si>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</si>
  <si>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</si>
  <si>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</si>
  <si>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</si>
  <si>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</si>
  <si>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</si>
  <si>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</si>
  <si>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</si>
  <si>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</si>
  <si>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</si>
  <si>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</si>
  <si>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</si>
  <si>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</si>
  <si>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</si>
  <si>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</si>
  <si>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</si>
  <si>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</si>
  <si>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</si>
  <si>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</si>
  <si>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</si>
  <si>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</si>
  <si>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</si>
  <si>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</si>
  <si>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</si>
  <si>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</si>
  <si>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</si>
  <si>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</si>
  <si>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</si>
  <si>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</si>
  <si>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</si>
  <si>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</si>
  <si>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</si>
  <si>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</si>
  <si>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</si>
  <si>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</si>
  <si>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</si>
  <si>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</si>
  <si>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</si>
  <si>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</si>
  <si>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</si>
  <si>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</si>
  <si>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</si>
  <si>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</si>
  <si>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</si>
  <si>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</si>
  <si>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</si>
  <si>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</si>
  <si>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</si>
  <si>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</si>
  <si>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</si>
  <si>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</si>
  <si>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</si>
  <si>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</si>
  <si>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</si>
  <si>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</si>
  <si>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</si>
  <si>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</si>
  <si>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</si>
  <si>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</si>
  <si>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</si>
  <si>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</si>
  <si>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</si>
  <si>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</si>
  <si>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</si>
  <si>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</si>
  <si>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</si>
  <si>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</si>
  <si>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</si>
  <si>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</si>
  <si>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</si>
  <si>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</si>
  <si>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</si>
  <si>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</si>
  <si>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</si>
  <si>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</si>
  <si>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</si>
  <si>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</si>
  <si>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</si>
  <si>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</si>
  <si>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</si>
  <si>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</si>
  <si>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</si>
  <si>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</si>
  <si>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</si>
  <si>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</si>
  <si>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</si>
  <si>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</si>
  <si>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</si>
  <si>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</si>
  <si>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</si>
  <si>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</si>
  <si>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</si>
  <si>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</si>
  <si>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</si>
  <si>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</si>
  <si>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</si>
  <si>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</si>
  <si>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</si>
  <si>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</si>
  <si>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</si>
  <si>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</si>
  <si>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</si>
  <si>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</si>
  <si>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</si>
  <si>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</si>
  <si>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</si>
  <si>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</si>
  <si>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</si>
  <si>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</si>
  <si>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</si>
  <si>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</si>
  <si>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</si>
  <si>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</si>
  <si>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</si>
  <si>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</si>
  <si>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</si>
  <si>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</si>
  <si>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</si>
  <si>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</si>
  <si>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</si>
  <si>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</si>
  <si>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</si>
  <si>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</si>
  <si>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</si>
  <si>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</si>
  <si>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</si>
  <si>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</si>
  <si>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</si>
  <si>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</si>
  <si>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</si>
  <si>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</si>
  <si>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</si>
  <si>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</si>
  <si>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</si>
  <si>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</si>
  <si>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</si>
  <si>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</si>
  <si>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</si>
  <si>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</si>
  <si>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</si>
  <si>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</si>
  <si>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</si>
  <si>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</si>
  <si>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</si>
  <si>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</si>
  <si>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</si>
  <si>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</si>
  <si>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</si>
  <si>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</si>
  <si>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</si>
  <si>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</si>
  <si>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</si>
  <si>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</si>
  <si>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</si>
  <si>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</si>
  <si>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</si>
  <si>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</si>
  <si>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</si>
  <si>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</si>
  <si>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</si>
  <si>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</si>
  <si>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</si>
  <si>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</si>
  <si>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</si>
  <si>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</si>
  <si>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</si>
  <si>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</si>
  <si>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</si>
  <si>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</si>
  <si>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</si>
  <si>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</si>
  <si>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</si>
  <si>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</si>
  <si>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</si>
  <si>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</si>
  <si>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</si>
  <si>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</si>
  <si>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</si>
  <si>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</si>
  <si>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</si>
  <si>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</si>
  <si>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</si>
  <si>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</si>
  <si>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</si>
  <si>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</si>
  <si>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</si>
  <si>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</si>
  <si>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</si>
  <si>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</si>
  <si>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</si>
  <si>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</si>
  <si>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</si>
  <si>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</si>
  <si>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</si>
  <si>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</si>
  <si>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</si>
  <si>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</si>
  <si>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</si>
  <si>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</si>
  <si>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</si>
  <si>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</si>
  <si>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</si>
  <si>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</si>
  <si>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</si>
  <si>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</si>
  <si>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</si>
  <si>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</si>
  <si>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</si>
  <si>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</si>
  <si>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</si>
  <si>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</si>
  <si>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</si>
  <si>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</si>
  <si>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</si>
  <si>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</si>
  <si>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</si>
  <si>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</si>
  <si>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</si>
  <si>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</si>
  <si>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</si>
  <si>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</si>
  <si>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</si>
  <si>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</si>
  <si>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</si>
  <si>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</si>
  <si>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</si>
  <si>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</si>
  <si>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</si>
  <si>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</si>
  <si>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</si>
  <si>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</si>
  <si>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</si>
  <si>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</si>
  <si>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</si>
  <si>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</si>
  <si>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</si>
  <si>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</si>
  <si>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</si>
  <si>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</si>
  <si>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</si>
  <si>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</si>
  <si>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</si>
  <si>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</si>
  <si>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</si>
  <si>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</si>
  <si>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</si>
  <si>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</si>
  <si>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</si>
  <si>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</si>
  <si>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</si>
  <si>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</si>
  <si>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</si>
  <si>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</si>
  <si>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</si>
  <si>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</si>
  <si>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</si>
  <si>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</si>
  <si>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</si>
  <si>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</si>
  <si>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</si>
  <si>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</si>
  <si>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</si>
  <si>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</si>
  <si>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</si>
  <si>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</si>
  <si>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</si>
  <si>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</si>
  <si>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</si>
  <si>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</si>
  <si>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</si>
  <si>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</si>
  <si>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</si>
  <si>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</si>
  <si>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</si>
  <si>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</si>
  <si>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</si>
  <si>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</si>
  <si>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</si>
  <si>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</si>
  <si>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</si>
  <si>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</si>
  <si>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</si>
  <si>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</si>
  <si>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</si>
  <si>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</si>
  <si>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</si>
  <si>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</si>
  <si>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</si>
  <si>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</si>
  <si>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</si>
  <si>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</si>
  <si>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</si>
  <si>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</si>
  <si>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</si>
  <si>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</si>
  <si>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</si>
  <si>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</si>
  <si>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</si>
  <si>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</si>
  <si>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</si>
  <si>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</si>
  <si>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</si>
  <si>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</si>
  <si>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</si>
  <si>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</si>
  <si>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</si>
  <si>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</si>
  <si>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</si>
  <si>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</si>
  <si>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</si>
  <si>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</si>
  <si>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</si>
  <si>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</si>
  <si>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</si>
  <si>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</si>
  <si>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</si>
  <si>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</si>
  <si>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</si>
  <si>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</si>
  <si>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</si>
  <si>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</si>
  <si>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</si>
  <si>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</si>
  <si>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</si>
  <si>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</si>
  <si>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</si>
  <si>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</si>
  <si>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</si>
  <si>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</si>
  <si>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</si>
  <si>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</si>
  <si>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</si>
  <si>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</si>
  <si>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</si>
  <si>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</si>
  <si>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</si>
  <si>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</si>
  <si>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</si>
  <si>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</si>
  <si>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</si>
  <si>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</si>
  <si>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</si>
  <si>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</si>
  <si>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</si>
  <si>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</si>
  <si>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</si>
  <si>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</si>
  <si>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</si>
  <si>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</si>
  <si>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</si>
  <si>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</si>
  <si>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</si>
  <si>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</si>
  <si>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</si>
  <si>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</si>
  <si>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</si>
  <si>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</si>
  <si>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</si>
  <si>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</si>
  <si>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</si>
  <si>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</si>
  <si>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</si>
  <si>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</si>
  <si>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</si>
  <si>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</si>
  <si>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</si>
  <si>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</si>
  <si>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</si>
  <si>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</si>
  <si>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</si>
  <si>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</si>
  <si>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</si>
  <si>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</si>
  <si>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</si>
  <si>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</si>
  <si>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</si>
  <si>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</si>
  <si>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</si>
  <si>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</si>
  <si>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</si>
  <si>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</si>
  <si>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</si>
  <si>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</si>
  <si>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</si>
  <si>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</si>
  <si>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</si>
  <si>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</si>
  <si>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</si>
  <si>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</si>
  <si>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</si>
  <si>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</si>
  <si>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</si>
  <si>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</si>
  <si>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</si>
  <si>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</si>
  <si>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</si>
  <si>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</si>
  <si>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</si>
  <si>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</si>
  <si>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</si>
  <si>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</si>
  <si>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</si>
  <si>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</si>
  <si>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</si>
  <si>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</si>
  <si>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</si>
  <si>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</si>
  <si>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</si>
  <si>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</si>
  <si>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</si>
  <si>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</si>
  <si>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</si>
  <si>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</si>
  <si>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</si>
  <si>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</si>
  <si>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</si>
  <si>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</si>
  <si>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</si>
  <si>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</si>
  <si>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</si>
  <si>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</si>
  <si>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</si>
  <si>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</si>
  <si>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</si>
  <si>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</si>
  <si>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</si>
  <si>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</si>
  <si>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</si>
  <si>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</si>
  <si>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</si>
  <si>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</si>
  <si>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</si>
  <si>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</si>
  <si>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</si>
  <si>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</si>
  <si>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</si>
  <si>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</si>
  <si>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</si>
  <si>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</si>
  <si>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</si>
  <si>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</si>
  <si>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</si>
  <si>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</si>
  <si>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</si>
  <si>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</si>
  <si>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</si>
  <si>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</si>
  <si>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</si>
  <si>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</si>
  <si>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</si>
  <si>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</si>
  <si>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</si>
  <si>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</si>
  <si>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</si>
  <si>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</si>
  <si>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</si>
  <si>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</si>
  <si>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</si>
  <si>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</si>
  <si>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</si>
  <si>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</si>
  <si>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</si>
  <si>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</si>
  <si>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</si>
  <si>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</si>
  <si>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</si>
  <si>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</si>
  <si>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</si>
  <si>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</si>
  <si>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</si>
  <si>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</si>
  <si>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</si>
  <si>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</si>
  <si>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</si>
  <si>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</si>
  <si>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</si>
  <si>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</si>
  <si>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</si>
  <si>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</si>
  <si>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</si>
  <si>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</si>
  <si>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</si>
  <si>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</si>
  <si>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</si>
  <si>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</si>
  <si>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</si>
  <si>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</si>
  <si>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</si>
  <si>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</si>
  <si>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</si>
  <si>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</si>
  <si>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</si>
  <si>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</si>
  <si>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</si>
  <si>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</si>
  <si>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</si>
  <si>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</si>
  <si>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</si>
  <si>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</si>
  <si>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</si>
  <si>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</si>
  <si>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</si>
  <si>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</si>
  <si>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</si>
  <si>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</si>
  <si>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</si>
  <si>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</si>
  <si>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</si>
  <si>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</si>
  <si>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</si>
  <si>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</si>
  <si>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</si>
  <si>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</si>
  <si>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</si>
  <si>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</si>
  <si>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</si>
  <si>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</si>
  <si>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</si>
  <si>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</si>
  <si>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</si>
  <si>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</si>
  <si>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</si>
  <si>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</si>
  <si>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</si>
  <si>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</si>
  <si>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</si>
  <si>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</si>
  <si>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</si>
  <si>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</si>
  <si>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</si>
  <si>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</si>
  <si>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</si>
  <si>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</si>
  <si>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</si>
  <si>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</si>
  <si>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</si>
  <si>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</si>
  <si>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</si>
  <si>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</si>
  <si>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</si>
  <si>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</si>
  <si>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</si>
  <si>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</si>
  <si>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</si>
  <si>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</si>
  <si>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</si>
  <si>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</si>
  <si>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</si>
  <si>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</si>
  <si>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</si>
  <si>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</si>
  <si>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</si>
  <si>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</si>
  <si>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</si>
  <si>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</si>
  <si>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</si>
  <si>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</si>
  <si>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</si>
  <si>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</si>
  <si>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</si>
  <si>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</si>
  <si>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</si>
  <si>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</si>
  <si>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</si>
  <si>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</si>
  <si>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</si>
  <si>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</si>
  <si>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</si>
  <si>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</si>
  <si>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</si>
  <si>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</si>
  <si>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</si>
  <si>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</si>
  <si>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</si>
  <si>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</si>
  <si>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</si>
  <si>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</si>
  <si>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</si>
  <si>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</si>
  <si>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</si>
  <si>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</si>
  <si>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</si>
  <si>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</si>
  <si>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</si>
  <si>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</si>
  <si>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</si>
  <si>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</si>
  <si>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</si>
  <si>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</si>
  <si>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</si>
  <si>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</si>
  <si>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</si>
  <si>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</si>
  <si>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</si>
  <si>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</si>
  <si>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</si>
  <si>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</si>
  <si>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</si>
  <si>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</si>
  <si>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</si>
  <si>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</si>
  <si>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</si>
  <si>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</si>
  <si>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</si>
  <si>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</si>
  <si>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</si>
  <si>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</si>
  <si>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</si>
  <si>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</si>
  <si>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</si>
  <si>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</si>
  <si>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</si>
  <si>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</si>
  <si>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</si>
  <si>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</si>
  <si>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</si>
  <si>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</si>
  <si>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</si>
  <si>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</si>
  <si>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</si>
  <si>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</si>
  <si>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</si>
  <si>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</si>
  <si>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</si>
  <si>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</si>
  <si>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</si>
  <si>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</si>
  <si>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</si>
  <si>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</si>
  <si>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</si>
  <si>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</si>
  <si>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</si>
  <si>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</si>
  <si>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</si>
  <si>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</si>
  <si>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</si>
  <si>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</si>
  <si>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</si>
  <si>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</si>
  <si>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</si>
  <si>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</si>
  <si>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</si>
  <si>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</si>
  <si>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</si>
  <si>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</si>
  <si>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</si>
  <si>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</si>
  <si>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</si>
  <si>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</si>
  <si>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</si>
  <si>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</si>
  <si>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</si>
  <si>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</si>
  <si>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</si>
  <si>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</si>
  <si>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</si>
  <si>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</si>
  <si>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</si>
  <si>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</si>
  <si>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</si>
  <si>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</si>
  <si>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</si>
  <si>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</si>
  <si>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</si>
  <si>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</si>
  <si>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</si>
  <si>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</si>
  <si>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</si>
  <si>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</si>
  <si>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</si>
  <si>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</si>
  <si>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</si>
  <si>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</si>
  <si>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</si>
  <si>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</si>
  <si>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</si>
  <si>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</si>
  <si>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</si>
  <si>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</si>
  <si>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</si>
  <si>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</si>
  <si>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</si>
  <si>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</si>
  <si>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</si>
  <si>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</si>
  <si>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</si>
  <si>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</si>
  <si>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</si>
  <si>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</si>
  <si>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</si>
  <si>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</si>
  <si>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</si>
  <si>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</si>
  <si>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</si>
  <si>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</si>
  <si>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</si>
  <si>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</si>
  <si>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</si>
  <si>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</si>
  <si>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</si>
  <si>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</si>
  <si>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</si>
  <si>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</si>
  <si>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</si>
  <si>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</si>
  <si>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</si>
  <si>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</si>
  <si>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</si>
  <si>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</si>
  <si>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</si>
  <si>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</si>
  <si>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</si>
  <si>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</si>
  <si>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</si>
  <si>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</si>
  <si>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</si>
  <si>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</si>
  <si>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</si>
  <si>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</si>
  <si>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</si>
  <si>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</si>
  <si>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</si>
  <si>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</si>
  <si>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</si>
  <si>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</si>
  <si>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</si>
  <si>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</si>
  <si>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</si>
  <si>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</si>
  <si>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</si>
  <si>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</si>
  <si>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</si>
  <si>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</si>
  <si>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</si>
  <si>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</si>
  <si>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</si>
  <si>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</si>
  <si>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</si>
  <si>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</si>
  <si>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</si>
  <si>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</si>
  <si>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</si>
  <si>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</si>
  <si>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</si>
  <si>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</si>
  <si>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</si>
  <si>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</si>
  <si>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</si>
  <si>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</si>
  <si>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</si>
  <si>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</si>
  <si>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</si>
  <si>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</si>
  <si>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</si>
  <si>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</si>
  <si>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</si>
  <si>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</si>
  <si>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</si>
  <si>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</si>
  <si>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</si>
  <si>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</si>
  <si>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</si>
  <si>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</si>
  <si>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</si>
  <si>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</si>
  <si>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</si>
  <si>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</si>
  <si>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</si>
  <si>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</si>
  <si>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</si>
  <si>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</si>
  <si>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</si>
  <si>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</si>
  <si>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</si>
  <si>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</si>
  <si>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</si>
  <si>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</si>
  <si>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</si>
  <si>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</si>
  <si>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</si>
  <si>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</si>
  <si>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</si>
  <si>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</si>
  <si>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</si>
  <si>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</si>
  <si>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</si>
  <si>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</si>
  <si>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</si>
  <si>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</si>
  <si>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</si>
  <si>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</si>
  <si>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</si>
  <si>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</si>
  <si>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</si>
  <si>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</si>
  <si>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</si>
  <si>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</si>
  <si>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</si>
  <si>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</si>
  <si>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</si>
  <si>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</si>
  <si>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</si>
  <si>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</si>
  <si>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</si>
  <si>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</si>
  <si>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</si>
  <si>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</si>
  <si>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</si>
  <si>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</si>
  <si>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</si>
  <si>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</si>
  <si>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</si>
  <si>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</si>
  <si>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</si>
  <si>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</si>
  <si>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</si>
  <si>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</si>
  <si>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</si>
  <si>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</si>
  <si>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</si>
  <si>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</si>
  <si>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</si>
  <si>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</si>
  <si>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</si>
  <si>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</si>
  <si>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</si>
  <si>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</si>
  <si>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</si>
  <si>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</si>
  <si>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</si>
  <si>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</si>
  <si>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</si>
  <si>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</si>
  <si>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</si>
  <si>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</si>
  <si>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</si>
  <si>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</si>
  <si>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</si>
  <si>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</si>
  <si>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</si>
  <si>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</si>
  <si>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</si>
  <si>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</si>
  <si>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</si>
  <si>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</si>
  <si>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</si>
  <si>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</si>
  <si>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</si>
  <si>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</si>
  <si>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</si>
  <si>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</si>
  <si>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</si>
  <si>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</si>
  <si>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</si>
  <si>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</si>
  <si>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</si>
  <si>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</si>
  <si>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</si>
  <si>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</si>
  <si>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</si>
  <si>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</si>
  <si>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</si>
  <si>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</si>
  <si>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</si>
  <si>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</si>
  <si>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</si>
  <si>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</si>
  <si>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</si>
  <si>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</si>
  <si>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</si>
  <si>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</si>
  <si>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</si>
  <si>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</si>
  <si>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</si>
  <si>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</si>
  <si>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</si>
  <si>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</si>
  <si>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</si>
  <si>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</si>
  <si>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</si>
  <si>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</si>
  <si>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</si>
  <si>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</si>
  <si>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</si>
  <si>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</si>
  <si>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</si>
  <si>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</si>
  <si>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</si>
  <si>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</si>
  <si>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</si>
  <si>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</si>
  <si>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</si>
  <si>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</si>
  <si>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</si>
  <si>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</si>
  <si>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</si>
  <si>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</si>
  <si>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</si>
  <si>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</si>
  <si>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</si>
  <si>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</si>
  <si>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</si>
  <si>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</si>
  <si>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</si>
  <si>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</si>
  <si>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</si>
  <si>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</si>
  <si>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</si>
  <si>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</si>
  <si>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</si>
  <si>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</si>
  <si>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</si>
  <si>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</si>
  <si>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</si>
  <si>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</si>
  <si>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</si>
  <si>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</si>
  <si>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</si>
  <si>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</si>
  <si>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</si>
  <si>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</si>
  <si>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</si>
  <si>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</si>
  <si>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</si>
  <si>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</si>
  <si>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</si>
  <si>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</si>
  <si>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</si>
  <si>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</si>
  <si>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</si>
  <si>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</si>
  <si>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</si>
  <si>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</si>
  <si>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</si>
  <si>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</si>
  <si>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</si>
  <si>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</si>
  <si>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</si>
  <si>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</si>
  <si>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</si>
  <si>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</si>
  <si>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</si>
  <si>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</si>
  <si>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</si>
  <si>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</si>
  <si>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</si>
  <si>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</si>
  <si>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</si>
  <si>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</si>
  <si>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</si>
  <si>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</si>
  <si>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</si>
  <si>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</si>
  <si>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</si>
  <si>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</si>
  <si>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</si>
  <si>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</si>
  <si>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</si>
  <si>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</si>
  <si>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</si>
  <si>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</si>
  <si>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</si>
  <si>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</si>
  <si>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</si>
  <si>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</si>
  <si>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</si>
  <si>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</si>
  <si>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</si>
  <si>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</si>
  <si>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</si>
  <si>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</si>
  <si>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</si>
  <si>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</si>
  <si>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</si>
  <si>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</si>
  <si>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</si>
  <si>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</si>
  <si>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</si>
  <si>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</si>
  <si>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</si>
  <si>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</si>
  <si>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</si>
  <si>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</si>
  <si>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</si>
  <si>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</si>
  <si>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</si>
  <si>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</si>
  <si>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</si>
  <si>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</si>
  <si>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</si>
  <si>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</si>
  <si>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</si>
  <si>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</si>
  <si>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</si>
  <si>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</si>
  <si>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</si>
  <si>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</si>
  <si>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</si>
  <si>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</si>
  <si>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</si>
  <si>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</si>
  <si>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</si>
  <si>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</si>
  <si>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</si>
  <si>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</si>
  <si>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</si>
  <si>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</si>
  <si>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</si>
  <si>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</si>
  <si>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</si>
  <si>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</si>
  <si>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</si>
  <si>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</si>
  <si>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</si>
  <si>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</si>
  <si>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</si>
  <si>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</si>
  <si>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</si>
  <si>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</si>
  <si>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</si>
  <si>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</si>
  <si>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</si>
  <si>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</si>
  <si>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</si>
  <si>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</si>
  <si>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</si>
  <si>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</si>
  <si>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</si>
  <si>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</si>
  <si>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</si>
  <si>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</si>
  <si>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</si>
  <si>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</si>
  <si>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</si>
  <si>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</si>
  <si>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</si>
  <si>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</si>
  <si>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</si>
  <si>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</si>
  <si>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</si>
  <si>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</si>
  <si>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</si>
  <si>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</si>
  <si>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</si>
  <si>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</si>
  <si>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</si>
  <si>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</si>
  <si>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</si>
  <si>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</si>
  <si>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</si>
  <si>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</si>
  <si>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</si>
  <si>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</si>
  <si>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</si>
  <si>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</si>
  <si>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</si>
  <si>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</si>
  <si>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</si>
  <si>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</si>
  <si>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</si>
  <si>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</si>
  <si>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</si>
  <si>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</si>
  <si>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</si>
  <si>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</si>
  <si>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</si>
  <si>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</si>
  <si>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</si>
  <si>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</si>
  <si>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</si>
  <si>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</si>
  <si>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</si>
  <si>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</si>
  <si>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</si>
  <si>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</si>
  <si>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</si>
  <si>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</si>
  <si>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</si>
  <si>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</si>
  <si>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</si>
  <si>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</si>
  <si>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</si>
  <si>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</si>
  <si>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</si>
  <si>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</si>
  <si>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</si>
  <si>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</si>
  <si>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</si>
  <si>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</si>
  <si>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</si>
  <si>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</si>
  <si>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</si>
  <si>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</si>
  <si>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</si>
  <si>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</si>
  <si>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</si>
  <si>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</si>
  <si>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</si>
  <si>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</si>
  <si>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</si>
  <si>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</si>
  <si>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</si>
  <si>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</si>
  <si>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</si>
  <si>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</si>
  <si>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</si>
  <si>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</si>
  <si>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</si>
  <si>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</si>
  <si>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</si>
  <si>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</si>
  <si>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</si>
  <si>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</si>
  <si>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</si>
  <si>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</si>
  <si>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</si>
  <si>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</si>
  <si>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</si>
  <si>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</si>
  <si>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</si>
  <si>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</si>
  <si>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</si>
  <si>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</si>
  <si>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</si>
  <si>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</si>
  <si>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</si>
  <si>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</si>
  <si>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</si>
  <si>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</si>
  <si>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</si>
  <si>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</si>
  <si>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</si>
  <si>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</si>
  <si>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</si>
  <si>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</si>
  <si>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</si>
  <si>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</si>
  <si>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</si>
  <si>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</si>
  <si>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</si>
  <si>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</si>
  <si>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</si>
  <si>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</si>
  <si>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</si>
  <si>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</si>
  <si>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</si>
  <si>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</si>
  <si>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</si>
  <si>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</si>
  <si>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</si>
  <si>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</si>
  <si>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</si>
  <si>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</si>
  <si>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</si>
  <si>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</si>
  <si>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</si>
  <si>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</si>
  <si>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</si>
  <si>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</si>
  <si>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</si>
  <si>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</si>
  <si>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</si>
  <si>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</si>
  <si>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</si>
  <si>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</si>
  <si>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</si>
  <si>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</si>
  <si>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</si>
  <si>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</si>
  <si>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</si>
  <si>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</si>
  <si>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</si>
  <si>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</si>
  <si>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</si>
  <si>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</si>
  <si>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</si>
  <si>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</si>
  <si>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</si>
  <si>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</si>
  <si>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</si>
  <si>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</si>
  <si>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</si>
  <si>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</si>
  <si>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</si>
  <si>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</si>
  <si>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</si>
  <si>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</si>
  <si>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</si>
  <si>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</si>
  <si>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</si>
  <si>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</si>
  <si>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</si>
  <si>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</si>
  <si>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</si>
  <si>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</si>
  <si>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</si>
  <si>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</si>
  <si>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</si>
  <si>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</si>
  <si>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</si>
  <si>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</si>
  <si>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</si>
  <si>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</si>
  <si>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</si>
  <si>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</si>
  <si>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</si>
  <si>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</si>
  <si>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</si>
  <si>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</si>
  <si>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</si>
  <si>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</si>
  <si>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</si>
  <si>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</si>
  <si>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</si>
  <si>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</si>
  <si>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</si>
  <si>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</si>
  <si>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</si>
  <si>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</si>
  <si>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</si>
  <si>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</si>
  <si>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</si>
  <si>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</si>
  <si>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</si>
  <si>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</si>
  <si>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</si>
  <si>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</si>
  <si>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</si>
  <si>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</si>
  <si>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</si>
  <si>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</si>
  <si>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</si>
  <si>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</si>
  <si>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</si>
  <si>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</si>
  <si>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</si>
  <si>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</si>
  <si>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</si>
  <si>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</si>
  <si>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</si>
  <si>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</si>
  <si>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</si>
  <si>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</si>
  <si>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</si>
  <si>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</si>
  <si>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</si>
  <si>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</si>
  <si>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</si>
  <si>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St. Clair</t>
  </si>
  <si>
    <t>211 West Mill</t>
  </si>
  <si>
    <t>Millstadt</t>
  </si>
  <si>
    <t>blandgraf@stclair.k12.il.us</t>
  </si>
  <si>
    <t>Fick, Eggemeyer &amp; Williamson</t>
  </si>
  <si>
    <t>Keith Slusser</t>
  </si>
  <si>
    <t>205 S. Main</t>
  </si>
  <si>
    <t>Columbia</t>
  </si>
  <si>
    <t>IL</t>
  </si>
  <si>
    <t>314-845-7999</t>
  </si>
  <si>
    <t>314-845-7770</t>
  </si>
  <si>
    <t>060-008105</t>
  </si>
  <si>
    <t>keith@afewcpas.com</t>
  </si>
  <si>
    <t>General Oglibagion Refunding School Bonds 2012</t>
  </si>
  <si>
    <t>General Oglibagion Refunding School Bonds 2016A</t>
  </si>
  <si>
    <t>Taxable General Obligation School Bonds 2016B</t>
  </si>
  <si>
    <t>Taxable General Obligation School Bonds 2017</t>
  </si>
  <si>
    <t>Page 11 - Line 107 - Rental income and other miscellaneous</t>
  </si>
  <si>
    <t>Page 12 - Line 171 - Library grant and other state grant</t>
  </si>
  <si>
    <t>Page 18 - Line 164 - Principal and interest paid on capital lease and note payable and bond issuance costs</t>
  </si>
  <si>
    <t>Page 5 - Line 12 - Bank overdraft</t>
  </si>
  <si>
    <t>Page 7 - Line 75 - Debt issuance costs</t>
  </si>
  <si>
    <t>Frontier</t>
  </si>
  <si>
    <t>OOPA</t>
  </si>
  <si>
    <t>80-2364-311</t>
  </si>
  <si>
    <t>Praire State</t>
  </si>
  <si>
    <t>90-2540-311</t>
  </si>
  <si>
    <t>Johnson Control</t>
  </si>
  <si>
    <t>Millstadt CCSD 160</t>
  </si>
  <si>
    <t>10-2520-300</t>
  </si>
  <si>
    <t>10-2560-400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</si>
</sst>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topLeftCell="A4" zoomScale="110" zoomScaleNormal="110" workbookViewId="0">
      <selection activeCell="AE25" sqref="AE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2077</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2077</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50082160004</v>
      </c>
      <c r="B13" s="2003"/>
      <c r="C13" s="2003"/>
      <c r="D13" s="2003"/>
      <c r="E13" s="2003"/>
      <c r="F13" s="2003"/>
      <c r="G13" s="2003"/>
      <c r="H13" s="2004"/>
      <c r="I13" s="31"/>
      <c r="J13" s="30"/>
      <c r="K13" s="28"/>
      <c r="L13" s="30"/>
      <c r="M13" s="30"/>
      <c r="N13" s="30"/>
      <c r="O13" s="30"/>
      <c r="P13" s="30"/>
      <c r="Q13" s="30"/>
      <c r="R13" s="30"/>
      <c r="S13" s="30"/>
      <c r="T13" s="2007" t="s">
        <v>2082</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2078</v>
      </c>
      <c r="B15" s="2005"/>
      <c r="C15" s="2005"/>
      <c r="D15" s="2005"/>
      <c r="E15" s="2005"/>
      <c r="F15" s="2005"/>
      <c r="G15" s="2005"/>
      <c r="H15" s="2006"/>
      <c r="T15" s="1968" t="s">
        <v>2083</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2106</v>
      </c>
      <c r="B17" s="2030"/>
      <c r="C17" s="2030"/>
      <c r="D17" s="2030"/>
      <c r="E17" s="2030"/>
      <c r="F17" s="2030"/>
      <c r="G17" s="2030"/>
      <c r="H17" s="2031"/>
      <c r="T17" s="2017" t="s">
        <v>2084</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2079</v>
      </c>
      <c r="B19" s="2001"/>
      <c r="C19" s="2001"/>
      <c r="D19" s="2001"/>
      <c r="E19" s="2001"/>
      <c r="F19" s="2001"/>
      <c r="G19" s="2001"/>
      <c r="H19" s="1999"/>
      <c r="I19" s="30"/>
      <c r="J19" s="99"/>
      <c r="K19" s="40"/>
      <c r="L19" s="38"/>
      <c r="M19" s="112" t="s">
        <v>333</v>
      </c>
      <c r="P19" s="27"/>
      <c r="Q19" s="27"/>
      <c r="R19" s="27"/>
      <c r="S19" s="31"/>
      <c r="T19" s="2000" t="s">
        <v>2085</v>
      </c>
      <c r="U19" s="1998"/>
      <c r="V19" s="1998"/>
      <c r="W19" s="1999"/>
      <c r="X19" s="2015" t="s">
        <v>2086</v>
      </c>
      <c r="Y19" s="2016"/>
      <c r="Z19" s="2013">
        <v>62236</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2080</v>
      </c>
      <c r="B21" s="1998"/>
      <c r="C21" s="1998"/>
      <c r="D21" s="1998"/>
      <c r="E21" s="1998"/>
      <c r="F21" s="1998"/>
      <c r="G21" s="1998"/>
      <c r="H21" s="1999"/>
      <c r="I21" s="2023" t="s">
        <v>699</v>
      </c>
      <c r="J21" s="1986"/>
      <c r="K21" s="1986"/>
      <c r="L21" s="1986"/>
      <c r="M21" s="1986"/>
      <c r="N21" s="1986"/>
      <c r="O21" s="1986"/>
      <c r="P21" s="1986"/>
      <c r="Q21" s="1986"/>
      <c r="R21" s="1986"/>
      <c r="S21" s="1987"/>
      <c r="T21" s="1965" t="s">
        <v>2087</v>
      </c>
      <c r="U21" s="1966"/>
      <c r="V21" s="1966"/>
      <c r="W21" s="1966"/>
      <c r="X21" s="1979" t="s">
        <v>2088</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t="s">
        <v>2081</v>
      </c>
      <c r="B23" s="2021"/>
      <c r="C23" s="2021"/>
      <c r="D23" s="2021"/>
      <c r="E23" s="2021"/>
      <c r="F23" s="2021"/>
      <c r="G23" s="2021"/>
      <c r="H23" s="2022"/>
      <c r="T23" s="1960" t="s">
        <v>2089</v>
      </c>
      <c r="U23" s="1961"/>
      <c r="V23" s="1961"/>
      <c r="W23" s="1961"/>
      <c r="X23" s="1976"/>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62260</v>
      </c>
      <c r="B25" s="1998"/>
      <c r="C25" s="1998"/>
      <c r="D25" s="1998"/>
      <c r="E25" s="1998"/>
      <c r="F25" s="1998"/>
      <c r="G25" s="1998"/>
      <c r="H25" s="1999"/>
      <c r="I25" s="113"/>
      <c r="J25" s="2064"/>
      <c r="K25" s="2064"/>
      <c r="L25" s="2064"/>
      <c r="M25" s="2064"/>
      <c r="N25" s="2064"/>
      <c r="O25" s="2064"/>
      <c r="P25" s="2064"/>
      <c r="Q25" s="2064"/>
      <c r="R25" s="2064"/>
      <c r="S25" s="2065"/>
      <c r="T25" s="1957" t="s">
        <v>2090</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c r="B42" s="2047"/>
      <c r="C42" s="2048"/>
      <c r="D42" s="2061"/>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7" zoomScale="110" zoomScaleNormal="110" workbookViewId="0">
      <selection activeCell="B107" sqref="B10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0" colorId="8" zoomScale="110" zoomScaleNormal="110" workbookViewId="0">
      <selection activeCell="D42" sqref="D42:H4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D42" sqref="D42:H4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193428686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1.7600000000000001E-2</v>
      </c>
      <c r="E10" s="356" t="s">
        <v>1062</v>
      </c>
      <c r="F10" s="355">
        <v>2.5000000000000001E-3</v>
      </c>
      <c r="G10" s="356" t="s">
        <v>1062</v>
      </c>
      <c r="H10" s="355">
        <v>1.1999999999999999E-3</v>
      </c>
      <c r="I10" s="356" t="s">
        <v>1063</v>
      </c>
      <c r="J10" s="1754">
        <f>ROUND(D10+F10+H10,5)</f>
        <v>2.1299999999999999E-2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7427428</v>
      </c>
      <c r="E16" s="356"/>
      <c r="F16" s="1755">
        <f>SUM('Acct Summary 7-8'!C17,'Acct Summary 7-8'!D17,'Acct Summary 7-8'!F17)</f>
        <v>6847197</v>
      </c>
      <c r="G16" s="356"/>
      <c r="H16" s="1755">
        <f>SUM(D16-F16)</f>
        <v>580231</v>
      </c>
      <c r="I16" s="222"/>
      <c r="J16" s="1755">
        <f>SUM('Acct Summary 7-8'!C81,'Acct Summary 7-8'!D81,'Acct Summary 7-8'!F81,'Acct Summary 7-8'!I81)</f>
        <v>2945287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13346579.334000001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6779000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2" sqref="D42:H4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Millstadt CCSD 160</v>
      </c>
      <c r="E7" s="391"/>
      <c r="G7" s="252"/>
      <c r="H7" s="387"/>
      <c r="I7" s="387"/>
      <c r="J7" s="387"/>
      <c r="K7" s="387"/>
      <c r="L7" s="329"/>
      <c r="M7" s="329"/>
      <c r="N7" s="329"/>
      <c r="O7" s="329"/>
      <c r="P7" s="329"/>
    </row>
    <row r="8" spans="1:18" ht="12.75" x14ac:dyDescent="0.2">
      <c r="A8" s="329"/>
      <c r="B8" s="329"/>
      <c r="C8" s="389" t="s">
        <v>1187</v>
      </c>
      <c r="D8" s="392">
        <f>COVER!A13</f>
        <v>50082160004</v>
      </c>
      <c r="E8" s="393"/>
      <c r="G8" s="329"/>
      <c r="H8" s="329"/>
      <c r="I8" s="329"/>
      <c r="J8" s="329"/>
      <c r="K8" s="329"/>
      <c r="L8" s="329"/>
      <c r="M8" s="329"/>
      <c r="N8" s="329"/>
      <c r="O8" s="329"/>
      <c r="P8" s="329"/>
    </row>
    <row r="9" spans="1:18" ht="12.75" x14ac:dyDescent="0.2">
      <c r="A9" s="329"/>
      <c r="B9" s="329"/>
      <c r="C9" s="389" t="s">
        <v>737</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2945287</v>
      </c>
      <c r="I12" s="404"/>
      <c r="J12" s="404"/>
      <c r="K12" s="405">
        <f>TRUNC((H12/H13*100000),5)/100000</f>
        <v>0.39654197920000001</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7427428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6847197</v>
      </c>
      <c r="I17" s="404"/>
      <c r="J17" s="416"/>
      <c r="K17" s="405">
        <f>TRUNC((H17/H18*100000),5)/100000</f>
        <v>0.92187995619999996</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7427428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3011795</v>
      </c>
      <c r="I24" s="422"/>
      <c r="J24" s="422"/>
      <c r="K24" s="423">
        <f>TRUNC(((H24/H25*100000)/100000),2)</f>
        <v>158.34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19019.991669999999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3502026.3600300001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6779000</v>
      </c>
      <c r="I32" s="420"/>
      <c r="J32" s="420"/>
      <c r="K32" s="423">
        <f>TRUNC(100-((((H32/H33*100))*100)/100),2)</f>
        <v>49.2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13346579.334000001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activeCell="D42" sqref="D42:H42"/>
      <selection pane="bottomLeft" activeCell="D42" sqref="D42:H4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1523607</v>
      </c>
      <c r="D4" s="466">
        <v>92428</v>
      </c>
      <c r="E4" s="466">
        <v>731005</v>
      </c>
      <c r="F4" s="466">
        <v>1395760</v>
      </c>
      <c r="G4" s="466">
        <v>132052</v>
      </c>
      <c r="H4" s="466">
        <v>0</v>
      </c>
      <c r="I4" s="466"/>
      <c r="J4" s="467">
        <v>242973</v>
      </c>
      <c r="K4" s="466">
        <v>97797</v>
      </c>
      <c r="L4" s="466">
        <v>85471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v>60000</v>
      </c>
      <c r="D7" s="467"/>
      <c r="E7" s="467"/>
      <c r="F7" s="467"/>
      <c r="G7" s="467"/>
      <c r="H7" s="467"/>
      <c r="I7" s="467">
        <v>1456324</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v>-66508</v>
      </c>
      <c r="J12" s="467"/>
      <c r="K12" s="466"/>
      <c r="L12" s="466"/>
      <c r="M12" s="469"/>
      <c r="N12" s="469"/>
    </row>
    <row r="13" spans="1:14" ht="13.5" customHeight="1" thickBot="1" x14ac:dyDescent="0.25">
      <c r="A13" s="1758" t="s">
        <v>665</v>
      </c>
      <c r="B13" s="1731"/>
      <c r="C13" s="1759">
        <f>SUM(C4:C12)</f>
        <v>1583607</v>
      </c>
      <c r="D13" s="1759">
        <f t="shared" ref="D13:L13" si="0">SUM(D4:D12)</f>
        <v>92428</v>
      </c>
      <c r="E13" s="1759">
        <f t="shared" si="0"/>
        <v>731005</v>
      </c>
      <c r="F13" s="1759">
        <f t="shared" si="0"/>
        <v>1395760</v>
      </c>
      <c r="G13" s="1759">
        <f t="shared" si="0"/>
        <v>132052</v>
      </c>
      <c r="H13" s="1759">
        <f t="shared" si="0"/>
        <v>0</v>
      </c>
      <c r="I13" s="1759">
        <f t="shared" si="0"/>
        <v>1389816</v>
      </c>
      <c r="J13" s="1759">
        <f t="shared" si="0"/>
        <v>242973</v>
      </c>
      <c r="K13" s="1759">
        <f t="shared" si="0"/>
        <v>97797</v>
      </c>
      <c r="L13" s="1759">
        <f t="shared" si="0"/>
        <v>85471</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474102</v>
      </c>
      <c r="N16" s="484"/>
    </row>
    <row r="17" spans="1:14" s="485" customFormat="1" ht="12.75" customHeight="1" x14ac:dyDescent="0.2">
      <c r="A17" s="482" t="s">
        <v>1470</v>
      </c>
      <c r="B17" s="483">
        <v>230</v>
      </c>
      <c r="C17" s="477"/>
      <c r="D17" s="477"/>
      <c r="E17" s="477"/>
      <c r="F17" s="477"/>
      <c r="G17" s="477"/>
      <c r="H17" s="477"/>
      <c r="I17" s="477"/>
      <c r="J17" s="477"/>
      <c r="K17" s="477"/>
      <c r="L17" s="477"/>
      <c r="M17" s="467">
        <v>11092412</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102385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731005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6047995</v>
      </c>
    </row>
    <row r="23" spans="1:14" ht="13.5" customHeight="1" thickBot="1" x14ac:dyDescent="0.25">
      <c r="A23" s="1758" t="s">
        <v>664</v>
      </c>
      <c r="B23" s="1763"/>
      <c r="C23" s="468"/>
      <c r="D23" s="468"/>
      <c r="E23" s="468"/>
      <c r="F23" s="468"/>
      <c r="G23" s="468"/>
      <c r="H23" s="468"/>
      <c r="I23" s="468"/>
      <c r="J23" s="468"/>
      <c r="K23" s="468"/>
      <c r="L23" s="468"/>
      <c r="M23" s="1710">
        <f>SUM(M15:M22)</f>
        <v>11668899</v>
      </c>
      <c r="N23" s="1710">
        <f>SUM(N21:N22)</f>
        <v>6779000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f>1396324+60000</f>
        <v>1456324</v>
      </c>
      <c r="D25" s="478">
        <v>60000</v>
      </c>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85471</v>
      </c>
      <c r="M33" s="468"/>
      <c r="N33" s="469"/>
    </row>
    <row r="34" spans="1:14" ht="13.5" customHeight="1" thickBot="1" x14ac:dyDescent="0.25">
      <c r="A34" s="1760" t="s">
        <v>675</v>
      </c>
      <c r="B34" s="1761"/>
      <c r="C34" s="1762">
        <f>SUM(C25:C33)</f>
        <v>1456324</v>
      </c>
      <c r="D34" s="1762">
        <f t="shared" ref="D34:K34" si="1">SUM(D25:D33)</f>
        <v>60000</v>
      </c>
      <c r="E34" s="1762">
        <f t="shared" si="1"/>
        <v>0</v>
      </c>
      <c r="F34" s="1762">
        <f t="shared" si="1"/>
        <v>0</v>
      </c>
      <c r="G34" s="1762">
        <f t="shared" si="1"/>
        <v>0</v>
      </c>
      <c r="H34" s="1762">
        <f t="shared" si="1"/>
        <v>0</v>
      </c>
      <c r="I34" s="1762">
        <f t="shared" si="1"/>
        <v>0</v>
      </c>
      <c r="J34" s="1762">
        <f t="shared" si="1"/>
        <v>0</v>
      </c>
      <c r="K34" s="1762">
        <f t="shared" si="1"/>
        <v>0</v>
      </c>
      <c r="L34" s="1743">
        <f>SUM(L33)</f>
        <v>85471</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6779000</v>
      </c>
    </row>
    <row r="37" spans="1:14" ht="13.5" thickBot="1" x14ac:dyDescent="0.25">
      <c r="A37" s="1758" t="s">
        <v>674</v>
      </c>
      <c r="B37" s="1763"/>
      <c r="C37" s="477"/>
      <c r="D37" s="477"/>
      <c r="E37" s="477"/>
      <c r="F37" s="477"/>
      <c r="G37" s="477"/>
      <c r="H37" s="477"/>
      <c r="I37" s="477"/>
      <c r="J37" s="477"/>
      <c r="K37" s="477"/>
      <c r="L37" s="480"/>
      <c r="M37" s="468"/>
      <c r="N37" s="1710">
        <f>SUM(N36:N36)</f>
        <v>6779000</v>
      </c>
    </row>
    <row r="38" spans="1:14" s="329" customFormat="1" ht="13.5" customHeight="1" thickTop="1" x14ac:dyDescent="0.2">
      <c r="A38" s="496" t="s">
        <v>440</v>
      </c>
      <c r="B38" s="483">
        <v>714</v>
      </c>
      <c r="C38" s="466"/>
      <c r="D38" s="466">
        <v>68090</v>
      </c>
      <c r="E38" s="466">
        <v>731005</v>
      </c>
      <c r="F38" s="466">
        <v>1395760</v>
      </c>
      <c r="G38" s="466">
        <v>132052</v>
      </c>
      <c r="H38" s="466"/>
      <c r="I38" s="466">
        <v>1389816</v>
      </c>
      <c r="J38" s="467">
        <v>242973</v>
      </c>
      <c r="K38" s="466">
        <v>97797</v>
      </c>
      <c r="L38" s="481"/>
      <c r="M38" s="497"/>
      <c r="N38" s="497"/>
    </row>
    <row r="39" spans="1:14" s="329" customFormat="1" ht="13.5" customHeight="1" x14ac:dyDescent="0.2">
      <c r="A39" s="496" t="s">
        <v>360</v>
      </c>
      <c r="B39" s="483">
        <v>730</v>
      </c>
      <c r="C39" s="466">
        <v>127283</v>
      </c>
      <c r="D39" s="466">
        <v>-35662</v>
      </c>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11668899</v>
      </c>
      <c r="N40" s="497"/>
    </row>
    <row r="41" spans="1:14" ht="13.5" customHeight="1" thickBot="1" x14ac:dyDescent="0.25">
      <c r="A41" s="1758" t="s">
        <v>676</v>
      </c>
      <c r="B41" s="1728"/>
      <c r="C41" s="1710">
        <f>(SUM(C34,C37,C38,C39))</f>
        <v>1583607</v>
      </c>
      <c r="D41" s="1710">
        <f t="shared" ref="D41:L41" si="2">SUM(D34,D37,D38:D39)</f>
        <v>92428</v>
      </c>
      <c r="E41" s="1710">
        <f t="shared" si="2"/>
        <v>731005</v>
      </c>
      <c r="F41" s="1710">
        <f t="shared" si="2"/>
        <v>1395760</v>
      </c>
      <c r="G41" s="1710">
        <f t="shared" si="2"/>
        <v>132052</v>
      </c>
      <c r="H41" s="1710">
        <f t="shared" si="2"/>
        <v>0</v>
      </c>
      <c r="I41" s="1710">
        <f t="shared" si="2"/>
        <v>1389816</v>
      </c>
      <c r="J41" s="1710">
        <f t="shared" si="2"/>
        <v>242973</v>
      </c>
      <c r="K41" s="1710">
        <f t="shared" si="2"/>
        <v>97797</v>
      </c>
      <c r="L41" s="1710">
        <f t="shared" si="2"/>
        <v>85471</v>
      </c>
      <c r="M41" s="1710">
        <f>SUM(M40)</f>
        <v>11668899</v>
      </c>
      <c r="N41" s="1710">
        <f>SUM(N37)</f>
        <v>6779000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45" activePane="bottomLeft" state="frozenSplit"/>
      <selection activeCell="D42" sqref="D42:H42"/>
      <selection pane="bottomLeft" activeCell="D42" sqref="D42:H4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4528735</v>
      </c>
      <c r="D4" s="1764">
        <f>'Revenues 9-14'!D109</f>
        <v>659593</v>
      </c>
      <c r="E4" s="1764">
        <f>'Revenues 9-14'!E109</f>
        <v>1179947</v>
      </c>
      <c r="F4" s="1764">
        <f>'Revenues 9-14'!F109</f>
        <v>266744</v>
      </c>
      <c r="G4" s="1764">
        <f>'Revenues 9-14'!G109</f>
        <v>293187</v>
      </c>
      <c r="H4" s="1764">
        <f>'Revenues 9-14'!H109</f>
        <v>0</v>
      </c>
      <c r="I4" s="1764">
        <f>'Revenues 9-14'!I109</f>
        <v>106699</v>
      </c>
      <c r="J4" s="1764">
        <f>'Revenues 9-14'!J109</f>
        <v>691072</v>
      </c>
      <c r="K4" s="1764">
        <f>'Revenues 9-14'!K109</f>
        <v>106700</v>
      </c>
      <c r="L4" s="347"/>
    </row>
    <row r="5" spans="1:13" ht="15.75" customHeight="1" x14ac:dyDescent="0.2">
      <c r="A5" s="1598" t="s">
        <v>1580</v>
      </c>
      <c r="B5" s="1599">
        <v>2000</v>
      </c>
      <c r="C5" s="1765">
        <f>'Revenues 9-14'!C114</f>
        <v>103326</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1180334</v>
      </c>
      <c r="D6" s="1765">
        <f>'Revenues 9-14'!D173</f>
        <v>0</v>
      </c>
      <c r="E6" s="1765">
        <f>'Revenues 9-14'!E173</f>
        <v>0</v>
      </c>
      <c r="F6" s="1765">
        <f>'Revenues 9-14'!F173</f>
        <v>351376</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230621</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6043016</v>
      </c>
      <c r="D8" s="1710">
        <f t="shared" ref="D8:K8" si="0">SUM(D4:D7)</f>
        <v>659593</v>
      </c>
      <c r="E8" s="1710">
        <f t="shared" si="0"/>
        <v>1179947</v>
      </c>
      <c r="F8" s="1710">
        <f t="shared" si="0"/>
        <v>618120</v>
      </c>
      <c r="G8" s="1710">
        <f t="shared" si="0"/>
        <v>293187</v>
      </c>
      <c r="H8" s="1710">
        <f t="shared" si="0"/>
        <v>0</v>
      </c>
      <c r="I8" s="1710">
        <f t="shared" si="0"/>
        <v>106699</v>
      </c>
      <c r="J8" s="1710">
        <f t="shared" si="0"/>
        <v>691072</v>
      </c>
      <c r="K8" s="1710">
        <f t="shared" si="0"/>
        <v>106700</v>
      </c>
      <c r="L8" s="347"/>
    </row>
    <row r="9" spans="1:13" ht="15.75" thickTop="1" x14ac:dyDescent="0.2">
      <c r="A9" s="514" t="s">
        <v>1752</v>
      </c>
      <c r="B9" s="515">
        <v>3998</v>
      </c>
      <c r="C9" s="481">
        <v>2877183</v>
      </c>
      <c r="D9" s="516"/>
      <c r="E9" s="481"/>
      <c r="F9" s="481"/>
      <c r="G9" s="517"/>
      <c r="H9" s="481"/>
      <c r="I9" s="509" t="s">
        <v>1231</v>
      </c>
      <c r="J9" s="478"/>
      <c r="K9" s="481"/>
      <c r="L9" s="347"/>
    </row>
    <row r="10" spans="1:13" s="519" customFormat="1" ht="13.5" thickBot="1" x14ac:dyDescent="0.25">
      <c r="A10" s="1758" t="s">
        <v>1235</v>
      </c>
      <c r="B10" s="1731"/>
      <c r="C10" s="1710">
        <f>SUM(C8:C9)</f>
        <v>8920199</v>
      </c>
      <c r="D10" s="1710">
        <f t="shared" ref="D10:K10" si="1">SUM(D8:D9)</f>
        <v>659593</v>
      </c>
      <c r="E10" s="1710">
        <f t="shared" si="1"/>
        <v>1179947</v>
      </c>
      <c r="F10" s="1710">
        <f t="shared" si="1"/>
        <v>618120</v>
      </c>
      <c r="G10" s="1710">
        <f t="shared" si="1"/>
        <v>293187</v>
      </c>
      <c r="H10" s="1710">
        <f t="shared" si="1"/>
        <v>0</v>
      </c>
      <c r="I10" s="1710">
        <f t="shared" si="1"/>
        <v>106699</v>
      </c>
      <c r="J10" s="1710">
        <f t="shared" si="1"/>
        <v>691072</v>
      </c>
      <c r="K10" s="1710">
        <f t="shared" si="1"/>
        <v>106700</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4770774</v>
      </c>
      <c r="D12" s="520" t="s">
        <v>1231</v>
      </c>
      <c r="E12" s="468" t="s">
        <v>1231</v>
      </c>
      <c r="F12" s="468" t="s">
        <v>1231</v>
      </c>
      <c r="G12" s="1764">
        <f>'Expenditures 15-22'!K229</f>
        <v>132855</v>
      </c>
      <c r="H12" s="521"/>
      <c r="I12" s="468" t="s">
        <v>1231</v>
      </c>
      <c r="J12" s="468" t="s">
        <v>1231</v>
      </c>
      <c r="K12" s="521" t="s">
        <v>1231</v>
      </c>
      <c r="L12" s="347"/>
    </row>
    <row r="13" spans="1:13" ht="15.75" customHeight="1" x14ac:dyDescent="0.2">
      <c r="A13" s="1598" t="s">
        <v>477</v>
      </c>
      <c r="B13" s="1600">
        <v>2000</v>
      </c>
      <c r="C13" s="1765">
        <f>'Expenditures 15-22'!K74</f>
        <v>996316</v>
      </c>
      <c r="D13" s="1765">
        <f>'Expenditures 15-22'!K129</f>
        <v>632155</v>
      </c>
      <c r="E13" s="469" t="s">
        <v>1231</v>
      </c>
      <c r="F13" s="1765">
        <f>'Expenditures 15-22'!K184</f>
        <v>197490</v>
      </c>
      <c r="G13" s="1765">
        <f>'Expenditures 15-22'!K279</f>
        <v>133180</v>
      </c>
      <c r="H13" s="1765">
        <f>'Expenditures 15-22'!K303</f>
        <v>0</v>
      </c>
      <c r="I13" s="468" t="s">
        <v>1231</v>
      </c>
      <c r="J13" s="1765">
        <f>'Expenditures 15-22'!K330</f>
        <v>654846</v>
      </c>
      <c r="K13" s="1769">
        <f>'Expenditures 15-22'!K352</f>
        <v>24916</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250462</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1078169</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6017552</v>
      </c>
      <c r="D17" s="1710">
        <f t="shared" si="2"/>
        <v>632155</v>
      </c>
      <c r="E17" s="1710">
        <f t="shared" si="2"/>
        <v>1078169</v>
      </c>
      <c r="F17" s="1710">
        <f t="shared" si="2"/>
        <v>197490</v>
      </c>
      <c r="G17" s="1710">
        <f t="shared" si="2"/>
        <v>266035</v>
      </c>
      <c r="H17" s="1710">
        <f t="shared" si="2"/>
        <v>0</v>
      </c>
      <c r="I17" s="468"/>
      <c r="J17" s="1710">
        <f>SUM(J12:J16)</f>
        <v>654846</v>
      </c>
      <c r="K17" s="1710">
        <f>SUM(K12:K16)</f>
        <v>24916</v>
      </c>
      <c r="L17" s="347"/>
    </row>
    <row r="18" spans="1:12" ht="15" customHeight="1" thickTop="1" x14ac:dyDescent="0.2">
      <c r="A18" s="1766" t="s">
        <v>1753</v>
      </c>
      <c r="B18" s="1767">
        <v>4180</v>
      </c>
      <c r="C18" s="1764">
        <f t="shared" ref="C18:H18" si="3">C9</f>
        <v>2877183</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8894735</v>
      </c>
      <c r="D19" s="1710">
        <f t="shared" si="4"/>
        <v>632155</v>
      </c>
      <c r="E19" s="1710">
        <f t="shared" si="4"/>
        <v>1078169</v>
      </c>
      <c r="F19" s="1710">
        <f t="shared" si="4"/>
        <v>197490</v>
      </c>
      <c r="G19" s="1710">
        <f t="shared" si="4"/>
        <v>266035</v>
      </c>
      <c r="H19" s="1710">
        <f t="shared" si="4"/>
        <v>0</v>
      </c>
      <c r="I19" s="468"/>
      <c r="J19" s="1710">
        <f>SUM(J17:J18)</f>
        <v>654846</v>
      </c>
      <c r="K19" s="1710">
        <f>SUM(K17:K18)</f>
        <v>24916</v>
      </c>
      <c r="L19" s="347"/>
    </row>
    <row r="20" spans="1:12" ht="16.5" thickTop="1" thickBot="1" x14ac:dyDescent="0.25">
      <c r="A20" s="2142" t="s">
        <v>1754</v>
      </c>
      <c r="B20" s="2143"/>
      <c r="C20" s="1768">
        <f>C8-C17</f>
        <v>25464</v>
      </c>
      <c r="D20" s="1768">
        <f t="shared" ref="D20:K20" si="5">D8-D17</f>
        <v>27438</v>
      </c>
      <c r="E20" s="1768">
        <f t="shared" si="5"/>
        <v>101778</v>
      </c>
      <c r="F20" s="1768">
        <f t="shared" si="5"/>
        <v>420630</v>
      </c>
      <c r="G20" s="1768">
        <f t="shared" si="5"/>
        <v>27152</v>
      </c>
      <c r="H20" s="1768">
        <f t="shared" si="5"/>
        <v>0</v>
      </c>
      <c r="I20" s="1768">
        <f t="shared" si="5"/>
        <v>106699</v>
      </c>
      <c r="J20" s="1768">
        <f t="shared" si="5"/>
        <v>36226</v>
      </c>
      <c r="K20" s="1768">
        <f t="shared" si="5"/>
        <v>81784</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v>1200000</v>
      </c>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56694</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0</v>
      </c>
      <c r="D44" s="1725">
        <f t="shared" ref="D44:K44" si="6">SUM(D24:D43)</f>
        <v>0</v>
      </c>
      <c r="E44" s="1725">
        <f t="shared" si="6"/>
        <v>56694</v>
      </c>
      <c r="F44" s="1725">
        <f t="shared" si="6"/>
        <v>0</v>
      </c>
      <c r="G44" s="1725">
        <f t="shared" si="6"/>
        <v>0</v>
      </c>
      <c r="H44" s="1725">
        <f t="shared" si="6"/>
        <v>0</v>
      </c>
      <c r="I44" s="1725">
        <f t="shared" si="6"/>
        <v>1200000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v>56694</v>
      </c>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v>19500</v>
      </c>
      <c r="J75" s="530"/>
      <c r="K75" s="532"/>
      <c r="L75" s="524"/>
    </row>
    <row r="76" spans="1:12" s="485" customFormat="1" ht="14.25" thickTop="1" thickBot="1" x14ac:dyDescent="0.25">
      <c r="A76" s="2132" t="s">
        <v>460</v>
      </c>
      <c r="B76" s="2133"/>
      <c r="C76" s="1725">
        <f t="shared" ref="C76:K76" si="7">SUM(C47:C75)</f>
        <v>0</v>
      </c>
      <c r="D76" s="1725">
        <f t="shared" si="7"/>
        <v>56694</v>
      </c>
      <c r="E76" s="1725">
        <f t="shared" si="7"/>
        <v>0</v>
      </c>
      <c r="F76" s="1725">
        <f t="shared" si="7"/>
        <v>0</v>
      </c>
      <c r="G76" s="1725">
        <f t="shared" si="7"/>
        <v>0</v>
      </c>
      <c r="H76" s="1725">
        <f t="shared" si="7"/>
        <v>0</v>
      </c>
      <c r="I76" s="1725">
        <f t="shared" si="7"/>
        <v>19500</v>
      </c>
      <c r="J76" s="1725">
        <f t="shared" si="7"/>
        <v>0</v>
      </c>
      <c r="K76" s="1725">
        <f t="shared" si="7"/>
        <v>0</v>
      </c>
      <c r="L76" s="524"/>
    </row>
    <row r="77" spans="1:12" ht="14.25" thickTop="1" thickBot="1" x14ac:dyDescent="0.25">
      <c r="A77" s="2134" t="s">
        <v>1239</v>
      </c>
      <c r="B77" s="2135"/>
      <c r="C77" s="1725">
        <f t="shared" ref="C77:K77" si="8">C44-C76</f>
        <v>0</v>
      </c>
      <c r="D77" s="1725">
        <f t="shared" si="8"/>
        <v>-56694</v>
      </c>
      <c r="E77" s="1725">
        <f t="shared" si="8"/>
        <v>56694</v>
      </c>
      <c r="F77" s="1725">
        <f t="shared" si="8"/>
        <v>0</v>
      </c>
      <c r="G77" s="1725">
        <f t="shared" si="8"/>
        <v>0</v>
      </c>
      <c r="H77" s="1725">
        <f t="shared" si="8"/>
        <v>0</v>
      </c>
      <c r="I77" s="1725">
        <f t="shared" si="8"/>
        <v>1180500</v>
      </c>
      <c r="J77" s="1725">
        <f t="shared" si="8"/>
        <v>0</v>
      </c>
      <c r="K77" s="1725">
        <f t="shared" si="8"/>
        <v>0</v>
      </c>
      <c r="L77" s="347"/>
    </row>
    <row r="78" spans="1:12" ht="21.75" customHeight="1" thickTop="1" thickBot="1" x14ac:dyDescent="0.25">
      <c r="A78" s="2138" t="s">
        <v>618</v>
      </c>
      <c r="B78" s="2139"/>
      <c r="C78" s="1724">
        <f t="shared" ref="C78:K78" si="9">C20+C77</f>
        <v>25464</v>
      </c>
      <c r="D78" s="1724">
        <f t="shared" si="9"/>
        <v>-29256</v>
      </c>
      <c r="E78" s="1724">
        <f t="shared" si="9"/>
        <v>158472</v>
      </c>
      <c r="F78" s="1724">
        <f t="shared" si="9"/>
        <v>420630</v>
      </c>
      <c r="G78" s="1724">
        <f t="shared" si="9"/>
        <v>27152</v>
      </c>
      <c r="H78" s="1724">
        <f t="shared" si="9"/>
        <v>0</v>
      </c>
      <c r="I78" s="1724">
        <f t="shared" si="9"/>
        <v>1287199</v>
      </c>
      <c r="J78" s="1724">
        <f t="shared" si="9"/>
        <v>36226</v>
      </c>
      <c r="K78" s="1724">
        <f t="shared" si="9"/>
        <v>81784</v>
      </c>
      <c r="L78" s="533"/>
    </row>
    <row r="79" spans="1:12" ht="13.5" thickTop="1" x14ac:dyDescent="0.2">
      <c r="A79" s="1516" t="s">
        <v>2071</v>
      </c>
      <c r="B79" s="534"/>
      <c r="C79" s="478">
        <v>101819</v>
      </c>
      <c r="D79" s="535">
        <v>61684</v>
      </c>
      <c r="E79" s="535">
        <v>572533</v>
      </c>
      <c r="F79" s="535">
        <v>975130</v>
      </c>
      <c r="G79" s="535">
        <v>104900</v>
      </c>
      <c r="H79" s="535">
        <v>0</v>
      </c>
      <c r="I79" s="535">
        <v>102617</v>
      </c>
      <c r="J79" s="535">
        <v>206747</v>
      </c>
      <c r="K79" s="535">
        <v>16013</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2072</v>
      </c>
      <c r="B81" s="2137"/>
      <c r="C81" s="1710">
        <f>(SUM(C78:C80))</f>
        <v>127283</v>
      </c>
      <c r="D81" s="1710">
        <f>SUM(D78:D80)</f>
        <v>32428</v>
      </c>
      <c r="E81" s="1710">
        <f t="shared" ref="E81:K81" si="10">SUM(E78:E80)</f>
        <v>731005</v>
      </c>
      <c r="F81" s="1710">
        <f t="shared" si="10"/>
        <v>1395760</v>
      </c>
      <c r="G81" s="1710">
        <f t="shared" si="10"/>
        <v>132052</v>
      </c>
      <c r="H81" s="1710">
        <f t="shared" si="10"/>
        <v>0</v>
      </c>
      <c r="I81" s="1710">
        <f t="shared" si="10"/>
        <v>1389816</v>
      </c>
      <c r="J81" s="1710">
        <f t="shared" si="10"/>
        <v>242973</v>
      </c>
      <c r="K81" s="1710">
        <f t="shared" si="10"/>
        <v>97797</v>
      </c>
      <c r="L81" s="347"/>
    </row>
    <row r="82" spans="1:12" ht="0.75" customHeight="1" thickTop="1" thickBot="1" x14ac:dyDescent="0.25">
      <c r="A82" s="536" t="s">
        <v>361</v>
      </c>
      <c r="B82" s="537"/>
      <c r="C82" s="538">
        <f>(C81-C79)</f>
        <v>25464</v>
      </c>
      <c r="D82" s="538">
        <f t="shared" ref="D82:K82" si="11">(D81-D79)</f>
        <v>-29256</v>
      </c>
      <c r="E82" s="538">
        <f t="shared" si="11"/>
        <v>158472</v>
      </c>
      <c r="F82" s="538">
        <f t="shared" si="11"/>
        <v>420630</v>
      </c>
      <c r="G82" s="538">
        <f t="shared" si="11"/>
        <v>27152</v>
      </c>
      <c r="H82" s="538">
        <f t="shared" si="11"/>
        <v>0</v>
      </c>
      <c r="I82" s="538">
        <f t="shared" si="11"/>
        <v>1287199</v>
      </c>
      <c r="J82" s="538">
        <f t="shared" si="11"/>
        <v>36226</v>
      </c>
      <c r="K82" s="538">
        <f t="shared" si="11"/>
        <v>81784</v>
      </c>
    </row>
    <row r="83" spans="1:12" ht="14.25" hidden="1" thickTop="1" thickBot="1" x14ac:dyDescent="0.25">
      <c r="A83" s="539" t="s">
        <v>362</v>
      </c>
      <c r="B83" s="464"/>
      <c r="C83" s="540">
        <f>C82/C81</f>
        <v>0.20005813816456244</v>
      </c>
      <c r="D83" s="540">
        <f t="shared" ref="D83:K83" si="12">D82/D81</f>
        <v>-0.90218329838411249</v>
      </c>
      <c r="E83" s="540">
        <f t="shared" si="12"/>
        <v>0.21678647888865329</v>
      </c>
      <c r="F83" s="540">
        <f t="shared" si="12"/>
        <v>0.30136269845818764</v>
      </c>
      <c r="G83" s="540">
        <f t="shared" si="12"/>
        <v>0.20561596946657376</v>
      </c>
      <c r="H83" s="540" t="e">
        <f t="shared" si="12"/>
        <v>#DIV/0!</v>
      </c>
      <c r="I83" s="540">
        <f t="shared" si="12"/>
        <v>0.92616504630828833</v>
      </c>
      <c r="J83" s="540">
        <f t="shared" si="12"/>
        <v>0.14909475538434311</v>
      </c>
      <c r="K83" s="540">
        <f t="shared" si="12"/>
        <v>0.83626287104921415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topLeftCell="B1" colorId="8" zoomScale="110" zoomScaleNormal="110" zoomScaleSheetLayoutView="75" workbookViewId="0">
      <pane ySplit="2" topLeftCell="A3" activePane="bottomLeft" state="frozen"/>
      <selection activeCell="D42" sqref="D42:H42"/>
      <selection pane="bottomLeft" activeCell="F5" sqref="F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3755790</v>
      </c>
      <c r="D5" s="481">
        <v>533493</v>
      </c>
      <c r="E5" s="466">
        <v>1179947</v>
      </c>
      <c r="F5" s="548">
        <v>256076</v>
      </c>
      <c r="G5" s="466">
        <v>146594</v>
      </c>
      <c r="H5" s="466"/>
      <c r="I5" s="466">
        <v>106699</v>
      </c>
      <c r="J5" s="467">
        <v>691072</v>
      </c>
      <c r="K5" s="466">
        <v>106700</v>
      </c>
    </row>
    <row r="6" spans="1:12" ht="15" x14ac:dyDescent="0.2">
      <c r="A6" s="463" t="s">
        <v>1761</v>
      </c>
      <c r="B6" s="470">
        <v>1130</v>
      </c>
      <c r="C6" s="466"/>
      <c r="D6" s="466">
        <v>106700</v>
      </c>
      <c r="E6" s="475"/>
      <c r="F6" s="475"/>
      <c r="G6" s="468"/>
      <c r="H6" s="468"/>
      <c r="I6" s="468"/>
      <c r="J6" s="468"/>
      <c r="K6" s="468"/>
    </row>
    <row r="7" spans="1:12" x14ac:dyDescent="0.2">
      <c r="A7" s="463" t="s">
        <v>112</v>
      </c>
      <c r="B7" s="549">
        <v>1140</v>
      </c>
      <c r="C7" s="466">
        <v>42683</v>
      </c>
      <c r="D7" s="466"/>
      <c r="E7" s="468"/>
      <c r="F7" s="467"/>
      <c r="G7" s="467"/>
      <c r="H7" s="467"/>
      <c r="I7" s="468"/>
      <c r="J7" s="468"/>
      <c r="K7" s="468"/>
    </row>
    <row r="8" spans="1:12" x14ac:dyDescent="0.2">
      <c r="A8" s="463" t="s">
        <v>433</v>
      </c>
      <c r="B8" s="470">
        <v>1150</v>
      </c>
      <c r="C8" s="475"/>
      <c r="D8" s="475"/>
      <c r="E8" s="477"/>
      <c r="F8" s="477"/>
      <c r="G8" s="481">
        <v>146593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3798473</v>
      </c>
      <c r="D12" s="1729">
        <f t="shared" si="0"/>
        <v>640193</v>
      </c>
      <c r="E12" s="1729">
        <f t="shared" si="0"/>
        <v>1179947</v>
      </c>
      <c r="F12" s="1729">
        <f t="shared" si="0"/>
        <v>256076</v>
      </c>
      <c r="G12" s="1729">
        <f t="shared" si="0"/>
        <v>293187</v>
      </c>
      <c r="H12" s="1729">
        <f t="shared" si="0"/>
        <v>0</v>
      </c>
      <c r="I12" s="1729">
        <f t="shared" si="0"/>
        <v>106699</v>
      </c>
      <c r="J12" s="1729">
        <f t="shared" si="0"/>
        <v>691072</v>
      </c>
      <c r="K12" s="1710">
        <f t="shared" si="0"/>
        <v>106700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2621</v>
      </c>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60481</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63102</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246607</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v>137196</v>
      </c>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383803</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4868</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4868</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48939</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48939</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164824</v>
      </c>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164824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f>5770+2947+2475</f>
        <v>11192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11192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58402</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58402</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19358</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f>19400-19358</f>
        <v>42</v>
      </c>
      <c r="E107" s="466"/>
      <c r="F107" s="466">
        <v>5800</v>
      </c>
      <c r="G107" s="466"/>
      <c r="H107" s="466"/>
      <c r="I107" s="466"/>
      <c r="J107" s="467"/>
      <c r="K107" s="466"/>
    </row>
    <row r="108" spans="1:12" ht="12.75" customHeight="1" thickBot="1" x14ac:dyDescent="0.25">
      <c r="A108" s="1730" t="s">
        <v>508</v>
      </c>
      <c r="B108" s="1734"/>
      <c r="C108" s="1729">
        <f>SUM(C95:C107)</f>
        <v>0</v>
      </c>
      <c r="D108" s="1729">
        <f t="shared" ref="D108:K108" si="3">SUM(D95:D107)</f>
        <v>19400</v>
      </c>
      <c r="E108" s="1729">
        <f t="shared" si="3"/>
        <v>0</v>
      </c>
      <c r="F108" s="1729">
        <f t="shared" si="3"/>
        <v>5800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4528735</v>
      </c>
      <c r="D109" s="1737">
        <f t="shared" si="4"/>
        <v>659593</v>
      </c>
      <c r="E109" s="1737">
        <f t="shared" si="4"/>
        <v>1179947</v>
      </c>
      <c r="F109" s="1737">
        <f t="shared" si="4"/>
        <v>266744</v>
      </c>
      <c r="G109" s="1737">
        <f t="shared" si="4"/>
        <v>293187</v>
      </c>
      <c r="H109" s="1737">
        <f t="shared" si="4"/>
        <v>0</v>
      </c>
      <c r="I109" s="1737">
        <f t="shared" si="4"/>
        <v>106699</v>
      </c>
      <c r="J109" s="1737">
        <f t="shared" si="4"/>
        <v>691072</v>
      </c>
      <c r="K109" s="1724">
        <f t="shared" si="4"/>
        <v>106700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v>103326</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103326</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1014818</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1014818</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51009</v>
      </c>
      <c r="D125" s="561"/>
      <c r="E125" s="468"/>
      <c r="F125" s="466"/>
      <c r="G125" s="468"/>
      <c r="H125" s="468"/>
      <c r="I125" s="468"/>
      <c r="J125" s="468"/>
      <c r="K125" s="468"/>
    </row>
    <row r="126" spans="1:11" ht="12.75" customHeight="1" x14ac:dyDescent="0.2">
      <c r="A126" s="463" t="s">
        <v>922</v>
      </c>
      <c r="B126" s="562">
        <v>3110</v>
      </c>
      <c r="C126" s="551">
        <v>81137</v>
      </c>
      <c r="D126" s="466"/>
      <c r="E126" s="468"/>
      <c r="F126" s="466"/>
      <c r="G126" s="468"/>
      <c r="H126" s="468"/>
      <c r="I126" s="468"/>
      <c r="J126" s="468"/>
      <c r="K126" s="468"/>
    </row>
    <row r="127" spans="1:11" ht="12.75" customHeight="1" x14ac:dyDescent="0.2">
      <c r="A127" s="463" t="s">
        <v>107</v>
      </c>
      <c r="B127" s="562">
        <v>3120</v>
      </c>
      <c r="C127" s="466">
        <v>31410</v>
      </c>
      <c r="D127" s="561"/>
      <c r="E127" s="468"/>
      <c r="F127" s="466"/>
      <c r="G127" s="468"/>
      <c r="H127" s="468"/>
      <c r="I127" s="468"/>
      <c r="J127" s="468"/>
      <c r="K127" s="468"/>
    </row>
    <row r="128" spans="1:11" ht="12.75" customHeight="1" x14ac:dyDescent="0.2">
      <c r="A128" s="463" t="s">
        <v>1522</v>
      </c>
      <c r="B128" s="562">
        <v>3130</v>
      </c>
      <c r="C128" s="466">
        <v>372</v>
      </c>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163928</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838</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294614</v>
      </c>
      <c r="G151" s="467"/>
      <c r="H151" s="468"/>
      <c r="I151" s="468"/>
      <c r="J151" s="468"/>
      <c r="K151" s="468"/>
    </row>
    <row r="152" spans="1:11" ht="12.75" customHeight="1" x14ac:dyDescent="0.2">
      <c r="A152" s="463" t="s">
        <v>1117</v>
      </c>
      <c r="B152" s="562">
        <v>3510</v>
      </c>
      <c r="C152" s="551"/>
      <c r="D152" s="466"/>
      <c r="E152" s="561"/>
      <c r="F152" s="466">
        <v>56762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351376</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0" t="s">
        <v>418</v>
      </c>
      <c r="B172" s="2161"/>
      <c r="C172" s="1744">
        <f t="shared" ref="C172:K172" si="6">SUM(C131,C140,C144,C145:C149,C154,C155:C170,C171)</f>
        <v>165516</v>
      </c>
      <c r="D172" s="1744">
        <f t="shared" si="6"/>
        <v>0</v>
      </c>
      <c r="E172" s="1744">
        <f t="shared" si="6"/>
        <v>0</v>
      </c>
      <c r="F172" s="1744">
        <f t="shared" si="6"/>
        <v>351376</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1180334</v>
      </c>
      <c r="D173" s="1737">
        <f>SUM(D121,D172)</f>
        <v>0</v>
      </c>
      <c r="E173" s="1737">
        <f>SUM(E121,E172)</f>
        <v>0</v>
      </c>
      <c r="F173" s="1737">
        <f t="shared" ref="F173:K173" si="7">SUM(F121,F172)</f>
        <v>351376</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71797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14215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86012</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86355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86355</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4773</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4773</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16017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37464</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230621</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230621</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6043016</v>
      </c>
      <c r="D275" s="1737">
        <f t="shared" si="12"/>
        <v>659593</v>
      </c>
      <c r="E275" s="1737">
        <f t="shared" si="12"/>
        <v>1179947</v>
      </c>
      <c r="F275" s="1737">
        <f t="shared" si="12"/>
        <v>618120</v>
      </c>
      <c r="G275" s="1737">
        <f t="shared" si="12"/>
        <v>293187</v>
      </c>
      <c r="H275" s="1737">
        <f t="shared" si="12"/>
        <v>0</v>
      </c>
      <c r="I275" s="1737">
        <f t="shared" si="12"/>
        <v>106699</v>
      </c>
      <c r="J275" s="1737">
        <f t="shared" si="12"/>
        <v>691072</v>
      </c>
      <c r="K275" s="1724">
        <f t="shared" si="12"/>
        <v>106700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368"/>
  <sheetViews>
    <sheetView showGridLines="0" defaultGridColor="0" view="pageBreakPreview" colorId="8" zoomScale="60" zoomScaleNormal="110" workbookViewId="0">
      <pane ySplit="2" topLeftCell="A327" activePane="bottomLeft" state="frozen"/>
      <selection activeCell="D42" sqref="D42:H42"/>
      <selection pane="bottomLeft" activeCell="D42" sqref="D42:H4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2792408</v>
      </c>
      <c r="D5" s="466">
        <v>694117</v>
      </c>
      <c r="E5" s="466">
        <v>6931</v>
      </c>
      <c r="F5" s="466">
        <v>97698</v>
      </c>
      <c r="G5" s="466"/>
      <c r="H5" s="466"/>
      <c r="I5" s="467"/>
      <c r="J5" s="467"/>
      <c r="K5" s="1693">
        <f>SUM(C5:J5)</f>
        <v>3591154</v>
      </c>
      <c r="L5" s="466">
        <v>3092143</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953877</v>
      </c>
      <c r="D8" s="466">
        <v>160728</v>
      </c>
      <c r="E8" s="466">
        <v>903</v>
      </c>
      <c r="F8" s="466">
        <v>3203</v>
      </c>
      <c r="G8" s="466"/>
      <c r="H8" s="466"/>
      <c r="I8" s="467"/>
      <c r="J8" s="467"/>
      <c r="K8" s="1693">
        <f t="shared" si="0"/>
        <v>1118711</v>
      </c>
      <c r="L8" s="466">
        <v>1180600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f>208+4083</f>
        <v>4291</v>
      </c>
      <c r="D10" s="466">
        <f>3599-3568</f>
        <v>31</v>
      </c>
      <c r="E10" s="466">
        <v>3437</v>
      </c>
      <c r="F10" s="466"/>
      <c r="G10" s="466"/>
      <c r="H10" s="466"/>
      <c r="I10" s="467"/>
      <c r="J10" s="467"/>
      <c r="K10" s="1693">
        <f t="shared" si="0"/>
        <v>7759</v>
      </c>
      <c r="L10" s="466">
        <v>67000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32413</v>
      </c>
      <c r="D14" s="466">
        <f>554+183+2831</f>
        <v>3568</v>
      </c>
      <c r="E14" s="466">
        <f>9710+5931</f>
        <v>15641</v>
      </c>
      <c r="F14" s="466">
        <v>1528</v>
      </c>
      <c r="G14" s="466"/>
      <c r="H14" s="466"/>
      <c r="I14" s="467"/>
      <c r="J14" s="467"/>
      <c r="K14" s="1693">
        <f t="shared" si="0"/>
        <v>53150</v>
      </c>
      <c r="L14" s="466">
        <v>64250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3782989</v>
      </c>
      <c r="D33" s="1692">
        <f t="shared" ref="D33:L33" si="1">SUM(D5:D32)</f>
        <v>858444</v>
      </c>
      <c r="E33" s="1692">
        <f t="shared" si="1"/>
        <v>26912</v>
      </c>
      <c r="F33" s="1692">
        <f t="shared" si="1"/>
        <v>102429</v>
      </c>
      <c r="G33" s="1692">
        <f t="shared" si="1"/>
        <v>0</v>
      </c>
      <c r="H33" s="1692">
        <f t="shared" si="1"/>
        <v>0</v>
      </c>
      <c r="I33" s="1692">
        <f t="shared" si="1"/>
        <v>0</v>
      </c>
      <c r="J33" s="1692">
        <f t="shared" si="1"/>
        <v>0</v>
      </c>
      <c r="K33" s="1692">
        <f t="shared" si="1"/>
        <v>4770774</v>
      </c>
      <c r="L33" s="1692">
        <f t="shared" si="1"/>
        <v>4403993</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66917</v>
      </c>
      <c r="D36" s="481">
        <v>16325</v>
      </c>
      <c r="E36" s="481"/>
      <c r="F36" s="481">
        <v>12</v>
      </c>
      <c r="G36" s="481"/>
      <c r="H36" s="481"/>
      <c r="I36" s="467"/>
      <c r="J36" s="467"/>
      <c r="K36" s="1693">
        <f t="shared" ref="K36:K41" si="2">SUM(C36:J36)</f>
        <v>83254</v>
      </c>
      <c r="L36" s="466">
        <v>87075</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f>69202-66917</f>
        <v>2285</v>
      </c>
      <c r="D38" s="466"/>
      <c r="E38" s="466">
        <v>1074</v>
      </c>
      <c r="F38" s="466">
        <v>894</v>
      </c>
      <c r="G38" s="466"/>
      <c r="H38" s="466"/>
      <c r="I38" s="467"/>
      <c r="J38" s="467"/>
      <c r="K38" s="1693">
        <f t="shared" si="2"/>
        <v>4253</v>
      </c>
      <c r="L38" s="466">
        <v>7200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69202</v>
      </c>
      <c r="D42" s="1692">
        <f t="shared" ref="D42:L42" si="3">SUM(D36:D41)</f>
        <v>16325</v>
      </c>
      <c r="E42" s="1692">
        <f t="shared" si="3"/>
        <v>1074</v>
      </c>
      <c r="F42" s="1692">
        <f t="shared" si="3"/>
        <v>906</v>
      </c>
      <c r="G42" s="1692">
        <f t="shared" si="3"/>
        <v>0</v>
      </c>
      <c r="H42" s="1692">
        <f t="shared" si="3"/>
        <v>0</v>
      </c>
      <c r="I42" s="1692">
        <f t="shared" si="3"/>
        <v>0</v>
      </c>
      <c r="J42" s="1692">
        <f t="shared" si="3"/>
        <v>0</v>
      </c>
      <c r="K42" s="1692">
        <f t="shared" si="3"/>
        <v>87507</v>
      </c>
      <c r="L42" s="1692">
        <f t="shared" si="3"/>
        <v>94275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71607</v>
      </c>
      <c r="D44" s="481">
        <v>21522</v>
      </c>
      <c r="E44" s="481"/>
      <c r="F44" s="481">
        <f>1137+725+3290</f>
        <v>5152</v>
      </c>
      <c r="G44" s="481"/>
      <c r="H44" s="481"/>
      <c r="I44" s="467"/>
      <c r="J44" s="467"/>
      <c r="K44" s="1694">
        <f>SUM(C44:J44)</f>
        <v>98281</v>
      </c>
      <c r="L44" s="481">
        <v>97600</v>
      </c>
    </row>
    <row r="45" spans="1:14" x14ac:dyDescent="0.2">
      <c r="A45" s="1526" t="s">
        <v>869</v>
      </c>
      <c r="B45" s="615">
        <v>2220</v>
      </c>
      <c r="C45" s="466"/>
      <c r="D45" s="466"/>
      <c r="E45" s="466">
        <v>7600</v>
      </c>
      <c r="F45" s="466">
        <v>327</v>
      </c>
      <c r="G45" s="466"/>
      <c r="H45" s="466"/>
      <c r="I45" s="467"/>
      <c r="J45" s="467"/>
      <c r="K45" s="1694">
        <f>SUM(C45:J45)</f>
        <v>7927</v>
      </c>
      <c r="L45" s="466">
        <v>12500</v>
      </c>
    </row>
    <row r="46" spans="1:14" x14ac:dyDescent="0.2">
      <c r="A46" s="1526" t="s">
        <v>870</v>
      </c>
      <c r="B46" s="615">
        <v>2230</v>
      </c>
      <c r="C46" s="466"/>
      <c r="D46" s="466"/>
      <c r="E46" s="466"/>
      <c r="F46" s="466">
        <f>11033-5152-327</f>
        <v>5554</v>
      </c>
      <c r="G46" s="466"/>
      <c r="H46" s="466"/>
      <c r="I46" s="467"/>
      <c r="J46" s="467"/>
      <c r="K46" s="1694">
        <f>SUM(C46:J46)</f>
        <v>5554</v>
      </c>
      <c r="L46" s="466">
        <v>6100</v>
      </c>
    </row>
    <row r="47" spans="1:14" ht="12.75" customHeight="1" thickBot="1" x14ac:dyDescent="0.25">
      <c r="A47" s="1690" t="s">
        <v>582</v>
      </c>
      <c r="B47" s="1691" t="s">
        <v>32</v>
      </c>
      <c r="C47" s="1692">
        <f>SUM(C44:C46)</f>
        <v>71607</v>
      </c>
      <c r="D47" s="1692">
        <f t="shared" ref="D47:K47" si="4">SUM(D44:D46)</f>
        <v>21522</v>
      </c>
      <c r="E47" s="1692">
        <f t="shared" si="4"/>
        <v>7600</v>
      </c>
      <c r="F47" s="1692">
        <f t="shared" si="4"/>
        <v>11033</v>
      </c>
      <c r="G47" s="1692">
        <f t="shared" si="4"/>
        <v>0</v>
      </c>
      <c r="H47" s="1692">
        <f t="shared" si="4"/>
        <v>0</v>
      </c>
      <c r="I47" s="1692">
        <f t="shared" si="4"/>
        <v>0</v>
      </c>
      <c r="J47" s="1692">
        <f t="shared" si="4"/>
        <v>0</v>
      </c>
      <c r="K47" s="1692">
        <f t="shared" si="4"/>
        <v>111762</v>
      </c>
      <c r="L47" s="1692">
        <f>SUM(L44:L46)</f>
        <v>116200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25548</v>
      </c>
      <c r="F49" s="481">
        <v>334</v>
      </c>
      <c r="G49" s="481"/>
      <c r="H49" s="481"/>
      <c r="I49" s="467"/>
      <c r="J49" s="467"/>
      <c r="K49" s="1694">
        <f>SUM(C49:J49)</f>
        <v>25882</v>
      </c>
      <c r="L49" s="481">
        <v>28450</v>
      </c>
    </row>
    <row r="50" spans="1:14" x14ac:dyDescent="0.2">
      <c r="A50" s="1526" t="s">
        <v>872</v>
      </c>
      <c r="B50" s="615">
        <v>2320</v>
      </c>
      <c r="C50" s="466">
        <v>117625</v>
      </c>
      <c r="D50" s="466">
        <v>29184</v>
      </c>
      <c r="E50" s="466">
        <f>31929-25548</f>
        <v>6381</v>
      </c>
      <c r="F50" s="466">
        <f>1138-334</f>
        <v>804</v>
      </c>
      <c r="G50" s="466"/>
      <c r="H50" s="466"/>
      <c r="I50" s="467"/>
      <c r="J50" s="467"/>
      <c r="K50" s="1694">
        <f>SUM(C50:J50)</f>
        <v>153994</v>
      </c>
      <c r="L50" s="466">
        <v>157600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117625</v>
      </c>
      <c r="D53" s="1692">
        <f t="shared" ref="D53:L53" si="5">SUM(D49:D52)</f>
        <v>29184</v>
      </c>
      <c r="E53" s="1692">
        <f t="shared" si="5"/>
        <v>31929</v>
      </c>
      <c r="F53" s="1692">
        <f t="shared" si="5"/>
        <v>1138</v>
      </c>
      <c r="G53" s="1692">
        <f t="shared" si="5"/>
        <v>0</v>
      </c>
      <c r="H53" s="1692">
        <f t="shared" si="5"/>
        <v>0</v>
      </c>
      <c r="I53" s="1692">
        <f t="shared" si="5"/>
        <v>0</v>
      </c>
      <c r="J53" s="1692">
        <f t="shared" si="5"/>
        <v>0</v>
      </c>
      <c r="K53" s="1692">
        <f t="shared" si="5"/>
        <v>179876</v>
      </c>
      <c r="L53" s="1692">
        <f t="shared" si="5"/>
        <v>186050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171466</v>
      </c>
      <c r="D55" s="481">
        <v>55851</v>
      </c>
      <c r="E55" s="481">
        <v>15961</v>
      </c>
      <c r="F55" s="481">
        <v>1947</v>
      </c>
      <c r="G55" s="481"/>
      <c r="H55" s="481"/>
      <c r="I55" s="467"/>
      <c r="J55" s="467"/>
      <c r="K55" s="1694">
        <f>SUM(C55:J55)</f>
        <v>245225</v>
      </c>
      <c r="L55" s="481">
        <v>244300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171466</v>
      </c>
      <c r="D57" s="1696">
        <f t="shared" ref="D57:K57" si="6">SUM(D55:D56)</f>
        <v>55851</v>
      </c>
      <c r="E57" s="1696">
        <f t="shared" si="6"/>
        <v>15961</v>
      </c>
      <c r="F57" s="1696">
        <f t="shared" si="6"/>
        <v>1947</v>
      </c>
      <c r="G57" s="1696">
        <f t="shared" si="6"/>
        <v>0</v>
      </c>
      <c r="H57" s="1696">
        <f t="shared" si="6"/>
        <v>0</v>
      </c>
      <c r="I57" s="1696">
        <f t="shared" si="6"/>
        <v>0</v>
      </c>
      <c r="J57" s="1696">
        <f t="shared" si="6"/>
        <v>0</v>
      </c>
      <c r="K57" s="1696">
        <f t="shared" si="6"/>
        <v>245225</v>
      </c>
      <c r="L57" s="1692">
        <f>SUM(L55:L56)</f>
        <v>244300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57651</v>
      </c>
      <c r="D60" s="466">
        <v>12604</v>
      </c>
      <c r="E60" s="466">
        <f>188+300</f>
        <v>488</v>
      </c>
      <c r="F60" s="466">
        <v>2057</v>
      </c>
      <c r="G60" s="466"/>
      <c r="H60" s="466"/>
      <c r="I60" s="467"/>
      <c r="J60" s="467"/>
      <c r="K60" s="1694">
        <f t="shared" si="7"/>
        <v>72800</v>
      </c>
      <c r="L60" s="466">
        <v>63800</v>
      </c>
      <c r="M60" s="610"/>
      <c r="N60" s="610"/>
    </row>
    <row r="61" spans="1:14" s="343" customFormat="1" x14ac:dyDescent="0.2">
      <c r="A61" s="1526" t="s">
        <v>206</v>
      </c>
      <c r="B61" s="615">
        <v>2540</v>
      </c>
      <c r="C61" s="466"/>
      <c r="D61" s="466"/>
      <c r="E61" s="466">
        <f>210+18673+800</f>
        <v>19683</v>
      </c>
      <c r="F61" s="466">
        <v>12679</v>
      </c>
      <c r="G61" s="466"/>
      <c r="H61" s="466"/>
      <c r="I61" s="467"/>
      <c r="J61" s="467"/>
      <c r="K61" s="1694">
        <f t="shared" si="7"/>
        <v>32362</v>
      </c>
      <c r="L61" s="466">
        <v>33000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f>107774-57651</f>
        <v>50123</v>
      </c>
      <c r="D63" s="466">
        <f>19590-12604</f>
        <v>6986</v>
      </c>
      <c r="E63" s="466">
        <v>204324</v>
      </c>
      <c r="F63" s="466">
        <f>20087-14736</f>
        <v>5351</v>
      </c>
      <c r="G63" s="466"/>
      <c r="H63" s="466"/>
      <c r="I63" s="467"/>
      <c r="J63" s="467"/>
      <c r="K63" s="1694">
        <f t="shared" si="7"/>
        <v>266784</v>
      </c>
      <c r="L63" s="466">
        <v>176000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107774</v>
      </c>
      <c r="D65" s="1692">
        <f t="shared" ref="D65:L65" si="8">SUM(D59:D64)</f>
        <v>19590</v>
      </c>
      <c r="E65" s="1692">
        <f t="shared" si="8"/>
        <v>224495</v>
      </c>
      <c r="F65" s="1692">
        <f t="shared" si="8"/>
        <v>20087</v>
      </c>
      <c r="G65" s="1692">
        <f t="shared" si="8"/>
        <v>0</v>
      </c>
      <c r="H65" s="1692">
        <f t="shared" si="8"/>
        <v>0</v>
      </c>
      <c r="I65" s="1692">
        <f t="shared" si="8"/>
        <v>0</v>
      </c>
      <c r="J65" s="1692">
        <f t="shared" si="8"/>
        <v>0</v>
      </c>
      <c r="K65" s="1692">
        <f t="shared" si="8"/>
        <v>371946</v>
      </c>
      <c r="L65" s="1692">
        <f t="shared" si="8"/>
        <v>272800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537674</v>
      </c>
      <c r="D74" s="1699">
        <f t="shared" ref="D74:K74" si="10">SUM(D42,D47,D53,D57,D65,D72,D73)</f>
        <v>142472</v>
      </c>
      <c r="E74" s="1699">
        <f t="shared" si="10"/>
        <v>281059</v>
      </c>
      <c r="F74" s="1699">
        <f t="shared" si="10"/>
        <v>35111</v>
      </c>
      <c r="G74" s="1699">
        <f t="shared" si="10"/>
        <v>0</v>
      </c>
      <c r="H74" s="1699">
        <f t="shared" si="10"/>
        <v>0</v>
      </c>
      <c r="I74" s="1699">
        <f t="shared" si="10"/>
        <v>0</v>
      </c>
      <c r="J74" s="1699">
        <f t="shared" si="10"/>
        <v>0</v>
      </c>
      <c r="K74" s="1699">
        <f t="shared" si="10"/>
        <v>996316</v>
      </c>
      <c r="L74" s="1699">
        <f>SUM(L42,L47,L53,L57,L65,L72,L73)</f>
        <v>913625</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250462</v>
      </c>
      <c r="F79" s="617"/>
      <c r="G79" s="617"/>
      <c r="H79" s="466"/>
      <c r="I79" s="477"/>
      <c r="J79" s="477"/>
      <c r="K79" s="1693">
        <f t="shared" si="11"/>
        <v>250462</v>
      </c>
      <c r="L79" s="466">
        <v>195500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250462</v>
      </c>
      <c r="F84" s="617"/>
      <c r="G84" s="617"/>
      <c r="H84" s="1692">
        <f>SUM(H78:H83)</f>
        <v>0</v>
      </c>
      <c r="I84" s="477"/>
      <c r="J84" s="477"/>
      <c r="K84" s="1692">
        <f>SUM(K78:K83)</f>
        <v>250462</v>
      </c>
      <c r="L84" s="1692">
        <f>SUM(L78:L83)</f>
        <v>195500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250462</v>
      </c>
      <c r="F102" s="617"/>
      <c r="G102" s="617"/>
      <c r="H102" s="1699">
        <f>SUM(H84,H92,H100,H101)</f>
        <v>0</v>
      </c>
      <c r="I102" s="477"/>
      <c r="J102" s="477"/>
      <c r="K102" s="1699">
        <f>SUM(K84,K92,K100,K101)</f>
        <v>250462</v>
      </c>
      <c r="L102" s="1699">
        <f>SUM(L84,L92,L100,L101)</f>
        <v>195500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4320663</v>
      </c>
      <c r="D114" s="1692">
        <f t="shared" ref="D114:K114" si="13">SUM(D33,D74,D75,D102,D112,D113)</f>
        <v>1000916</v>
      </c>
      <c r="E114" s="1692">
        <f t="shared" si="13"/>
        <v>558433</v>
      </c>
      <c r="F114" s="1692">
        <f t="shared" si="13"/>
        <v>137540</v>
      </c>
      <c r="G114" s="1692">
        <f t="shared" si="13"/>
        <v>0</v>
      </c>
      <c r="H114" s="1692">
        <f>SUM(H33,H74,H75,H102,H112,H113)</f>
        <v>0</v>
      </c>
      <c r="I114" s="1692">
        <f t="shared" si="13"/>
        <v>0</v>
      </c>
      <c r="J114" s="1692">
        <f t="shared" si="13"/>
        <v>0</v>
      </c>
      <c r="K114" s="1692">
        <f t="shared" si="13"/>
        <v>6017552</v>
      </c>
      <c r="L114" s="1692">
        <f>SUM(L33,L74,L75,L102,L112,L113)</f>
        <v>5513118</v>
      </c>
    </row>
    <row r="115" spans="1:14" ht="13.5" thickTop="1" x14ac:dyDescent="0.2">
      <c r="A115" s="2197" t="s">
        <v>1053</v>
      </c>
      <c r="B115" s="2198"/>
      <c r="C115" s="619"/>
      <c r="D115" s="619"/>
      <c r="E115" s="619"/>
      <c r="F115" s="619"/>
      <c r="G115" s="619"/>
      <c r="H115" s="619"/>
      <c r="I115" s="619"/>
      <c r="J115" s="619"/>
      <c r="K115" s="1706">
        <f>'Revenues 9-14'!C275-'Expenditures 15-22'!K114</f>
        <v>25464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227002</v>
      </c>
      <c r="D124" s="466">
        <v>34783</v>
      </c>
      <c r="E124" s="466">
        <v>41373</v>
      </c>
      <c r="F124" s="466">
        <v>207835</v>
      </c>
      <c r="G124" s="466">
        <v>121162</v>
      </c>
      <c r="H124" s="466"/>
      <c r="I124" s="467"/>
      <c r="J124" s="467"/>
      <c r="K124" s="1692">
        <f>SUM(C124:J124)</f>
        <v>632155</v>
      </c>
      <c r="L124" s="466">
        <v>591599</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227002</v>
      </c>
      <c r="D127" s="1692">
        <f t="shared" ref="D127:L127" si="14">SUM(D122:D126)</f>
        <v>34783</v>
      </c>
      <c r="E127" s="1692">
        <f t="shared" si="14"/>
        <v>41373</v>
      </c>
      <c r="F127" s="1692">
        <f t="shared" si="14"/>
        <v>207835</v>
      </c>
      <c r="G127" s="1692">
        <f t="shared" si="14"/>
        <v>121162</v>
      </c>
      <c r="H127" s="1692">
        <f t="shared" si="14"/>
        <v>0</v>
      </c>
      <c r="I127" s="1692">
        <f t="shared" si="14"/>
        <v>0</v>
      </c>
      <c r="J127" s="1692">
        <f t="shared" si="14"/>
        <v>0</v>
      </c>
      <c r="K127" s="1692">
        <f t="shared" si="14"/>
        <v>632155</v>
      </c>
      <c r="L127" s="1692">
        <f t="shared" si="14"/>
        <v>591599</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227002</v>
      </c>
      <c r="D129" s="1699">
        <f t="shared" ref="D129:L129" si="15">SUM(D120,D127,D128)</f>
        <v>34783</v>
      </c>
      <c r="E129" s="1699">
        <f t="shared" si="15"/>
        <v>41373</v>
      </c>
      <c r="F129" s="1699">
        <f t="shared" si="15"/>
        <v>207835</v>
      </c>
      <c r="G129" s="1699">
        <f t="shared" si="15"/>
        <v>121162</v>
      </c>
      <c r="H129" s="1699">
        <f t="shared" si="15"/>
        <v>0</v>
      </c>
      <c r="I129" s="1699">
        <f t="shared" si="15"/>
        <v>0</v>
      </c>
      <c r="J129" s="1699">
        <f t="shared" si="15"/>
        <v>0</v>
      </c>
      <c r="K129" s="1699">
        <f t="shared" si="15"/>
        <v>632155</v>
      </c>
      <c r="L129" s="1699">
        <f t="shared" si="15"/>
        <v>591599</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7" t="s">
        <v>641</v>
      </c>
      <c r="B151" s="2169"/>
      <c r="C151" s="1692">
        <f>SUM(C129,C130,C139,C149,C150)</f>
        <v>227002</v>
      </c>
      <c r="D151" s="1692">
        <f t="shared" ref="D151:K151" si="16">SUM(D129,D130,D139,D149,D150)</f>
        <v>34783</v>
      </c>
      <c r="E151" s="1692">
        <f t="shared" si="16"/>
        <v>41373</v>
      </c>
      <c r="F151" s="1692">
        <f t="shared" si="16"/>
        <v>207835</v>
      </c>
      <c r="G151" s="1692">
        <f t="shared" si="16"/>
        <v>121162</v>
      </c>
      <c r="H151" s="1692">
        <f t="shared" si="16"/>
        <v>0</v>
      </c>
      <c r="I151" s="1692">
        <f t="shared" si="16"/>
        <v>0</v>
      </c>
      <c r="J151" s="1692">
        <f t="shared" si="16"/>
        <v>0</v>
      </c>
      <c r="K151" s="1692">
        <f t="shared" si="16"/>
        <v>632155</v>
      </c>
      <c r="L151" s="1692">
        <f>SUM(L129,L130,L139,L149,L150)</f>
        <v>591599</v>
      </c>
    </row>
    <row r="152" spans="1:14" ht="12.75" customHeight="1" thickTop="1" x14ac:dyDescent="0.2">
      <c r="A152" s="2190" t="s">
        <v>1240</v>
      </c>
      <c r="B152" s="2191"/>
      <c r="C152" s="619"/>
      <c r="D152" s="619"/>
      <c r="E152" s="619"/>
      <c r="F152" s="619"/>
      <c r="G152" s="619"/>
      <c r="H152" s="619"/>
      <c r="I152" s="619"/>
      <c r="J152" s="617"/>
      <c r="K152" s="1706">
        <f>'Revenues 9-14'!D275-'Expenditures 15-22'!K151</f>
        <v>27438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186182</v>
      </c>
      <c r="I169" s="617"/>
      <c r="J169" s="617"/>
      <c r="K169" s="1693">
        <f>SUM(C169:H169)</f>
        <v>186182</v>
      </c>
      <c r="L169" s="657">
        <v>235122</v>
      </c>
    </row>
    <row r="170" spans="1:14" ht="33.75" customHeight="1" x14ac:dyDescent="0.2">
      <c r="A170" s="670" t="s">
        <v>1769</v>
      </c>
      <c r="B170" s="672" t="s">
        <v>31</v>
      </c>
      <c r="C170" s="617"/>
      <c r="D170" s="617"/>
      <c r="E170" s="617"/>
      <c r="F170" s="617"/>
      <c r="G170" s="617"/>
      <c r="H170" s="569">
        <v>825000</v>
      </c>
      <c r="I170" s="617"/>
      <c r="J170" s="617"/>
      <c r="K170" s="1693">
        <f>SUM(C170:J170)</f>
        <v>825000</v>
      </c>
      <c r="L170" s="569">
        <v>798524</v>
      </c>
    </row>
    <row r="171" spans="1:14" ht="15.75" customHeight="1" x14ac:dyDescent="0.2">
      <c r="A171" s="622" t="s">
        <v>790</v>
      </c>
      <c r="B171" s="673" t="s">
        <v>86</v>
      </c>
      <c r="C171" s="617"/>
      <c r="D171" s="617"/>
      <c r="E171" s="466"/>
      <c r="F171" s="617"/>
      <c r="G171" s="617"/>
      <c r="H171" s="569">
        <f>1078169-1011182</f>
        <v>66987</v>
      </c>
      <c r="I171" s="477"/>
      <c r="J171" s="617"/>
      <c r="K171" s="1693">
        <f>SUM(C171:J171)</f>
        <v>66987</v>
      </c>
      <c r="L171" s="569"/>
    </row>
    <row r="172" spans="1:14" ht="12.75" customHeight="1" thickBot="1" x14ac:dyDescent="0.25">
      <c r="A172" s="1690" t="s">
        <v>659</v>
      </c>
      <c r="B172" s="1691" t="s">
        <v>513</v>
      </c>
      <c r="C172" s="617"/>
      <c r="D172" s="617"/>
      <c r="E172" s="1699">
        <f>SUM(E168,E169,E170,E171)</f>
        <v>0</v>
      </c>
      <c r="F172" s="617"/>
      <c r="G172" s="617"/>
      <c r="H172" s="1699">
        <f>SUM(H168,H169,H170,H171)</f>
        <v>1078169</v>
      </c>
      <c r="I172" s="639"/>
      <c r="J172" s="617"/>
      <c r="K172" s="1699">
        <f>SUM(K168,K169,K170,K171)</f>
        <v>1078169</v>
      </c>
      <c r="L172" s="1699">
        <f>SUM(L168,L169,L170,L171)</f>
        <v>1033646</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1078169</v>
      </c>
      <c r="I174" s="639"/>
      <c r="J174" s="617"/>
      <c r="K174" s="1699">
        <f>SUM(K160,K172,K173)</f>
        <v>1078169</v>
      </c>
      <c r="L174" s="1699">
        <f>SUM(L160,L172,L173)</f>
        <v>1033646</v>
      </c>
    </row>
    <row r="175" spans="1:14" ht="13.5" thickTop="1" x14ac:dyDescent="0.2">
      <c r="A175" s="2197" t="s">
        <v>1053</v>
      </c>
      <c r="B175" s="2198"/>
      <c r="C175" s="617"/>
      <c r="D175" s="617"/>
      <c r="E175" s="617"/>
      <c r="F175" s="617"/>
      <c r="G175" s="617"/>
      <c r="H175" s="619"/>
      <c r="I175" s="617"/>
      <c r="J175" s="617"/>
      <c r="K175" s="1706">
        <f>'Revenues 9-14'!E275-'Expenditures 15-22'!K174</f>
        <v>101778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138924</v>
      </c>
      <c r="D182" s="466">
        <v>14</v>
      </c>
      <c r="E182" s="466">
        <v>8517</v>
      </c>
      <c r="F182" s="466">
        <v>50035</v>
      </c>
      <c r="G182" s="466"/>
      <c r="H182" s="466"/>
      <c r="I182" s="467"/>
      <c r="J182" s="467"/>
      <c r="K182" s="1693">
        <f>SUM(C182:J182)</f>
        <v>197490</v>
      </c>
      <c r="L182" s="466">
        <v>309230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138924</v>
      </c>
      <c r="D184" s="1699">
        <f t="shared" ref="D184:J184" si="17">SUM(D180,D182,D183)</f>
        <v>14</v>
      </c>
      <c r="E184" s="1699">
        <f t="shared" si="17"/>
        <v>8517</v>
      </c>
      <c r="F184" s="1699">
        <f t="shared" si="17"/>
        <v>50035</v>
      </c>
      <c r="G184" s="1699">
        <f t="shared" si="17"/>
        <v>0</v>
      </c>
      <c r="H184" s="1699">
        <f t="shared" si="17"/>
        <v>0</v>
      </c>
      <c r="I184" s="1699">
        <f t="shared" si="17"/>
        <v>0</v>
      </c>
      <c r="J184" s="1699">
        <f t="shared" si="17"/>
        <v>0</v>
      </c>
      <c r="K184" s="1699">
        <f>SUM(K180,K182,K183)</f>
        <v>197490</v>
      </c>
      <c r="L184" s="1699">
        <f>SUM(L180, L182:L183)</f>
        <v>309230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138924</v>
      </c>
      <c r="D210" s="1692">
        <f>SUM(D184,D185)</f>
        <v>14</v>
      </c>
      <c r="E210" s="1692">
        <f>SUM(E184,E185,E196)</f>
        <v>8517</v>
      </c>
      <c r="F210" s="1692">
        <f>SUM(F184,F185)</f>
        <v>50035</v>
      </c>
      <c r="G210" s="1692">
        <f>SUM(G184,G185)</f>
        <v>0</v>
      </c>
      <c r="H210" s="1692">
        <f>SUM(H184,H185,H196,H208,H209)</f>
        <v>0</v>
      </c>
      <c r="I210" s="1692">
        <f>SUM(I184,I185)</f>
        <v>0</v>
      </c>
      <c r="J210" s="1692">
        <f>SUM(J184,J185)</f>
        <v>0</v>
      </c>
      <c r="K210" s="1693">
        <f>SUM(K184,K185,K196,K208,K209)</f>
        <v>197490</v>
      </c>
      <c r="L210" s="1692">
        <f>SUM(L184,L185,L196,L208,L209)</f>
        <v>309230</v>
      </c>
    </row>
    <row r="211" spans="1:14" ht="13.5" thickTop="1" x14ac:dyDescent="0.2">
      <c r="A211" s="2197" t="s">
        <v>1053</v>
      </c>
      <c r="B211" s="2198"/>
      <c r="C211" s="619"/>
      <c r="D211" s="619"/>
      <c r="E211" s="619"/>
      <c r="F211" s="619"/>
      <c r="G211" s="619"/>
      <c r="H211" s="619"/>
      <c r="I211" s="617"/>
      <c r="J211" s="617"/>
      <c r="K211" s="1706">
        <f>'Revenues 9-14'!F275-'Expenditures 15-22'!K210</f>
        <v>420630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67643</v>
      </c>
      <c r="E215" s="617"/>
      <c r="F215" s="617"/>
      <c r="G215" s="617"/>
      <c r="H215" s="617"/>
      <c r="I215" s="617"/>
      <c r="J215" s="617"/>
      <c r="K215" s="1693">
        <f>D215</f>
        <v>67643</v>
      </c>
      <c r="L215" s="466">
        <v>77452</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63090</v>
      </c>
      <c r="E217" s="617"/>
      <c r="F217" s="617"/>
      <c r="G217" s="617"/>
      <c r="H217" s="617"/>
      <c r="I217" s="617"/>
      <c r="J217" s="617"/>
      <c r="K217" s="1693">
        <f t="shared" si="19"/>
        <v>63090</v>
      </c>
      <c r="L217" s="466">
        <v>75515</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f>253+62</f>
        <v>315</v>
      </c>
      <c r="E219" s="617"/>
      <c r="F219" s="617"/>
      <c r="G219" s="617"/>
      <c r="H219" s="617"/>
      <c r="I219" s="617"/>
      <c r="J219" s="617"/>
      <c r="K219" s="1693">
        <f t="shared" si="19"/>
        <v>315</v>
      </c>
      <c r="L219" s="466">
        <v>330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f>2122-315</f>
        <v>1807</v>
      </c>
      <c r="E223" s="617"/>
      <c r="F223" s="617"/>
      <c r="G223" s="617"/>
      <c r="H223" s="617"/>
      <c r="I223" s="617"/>
      <c r="J223" s="617"/>
      <c r="K223" s="1693">
        <f t="shared" si="19"/>
        <v>1807</v>
      </c>
      <c r="L223" s="466">
        <v>2300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132855</v>
      </c>
      <c r="E229" s="617"/>
      <c r="F229" s="617"/>
      <c r="G229" s="617"/>
      <c r="H229" s="617"/>
      <c r="I229" s="617"/>
      <c r="J229" s="617"/>
      <c r="K229" s="1692">
        <f>SUM(K215:K228)</f>
        <v>132855</v>
      </c>
      <c r="L229" s="1692">
        <f>SUM(L215:L228)</f>
        <v>155597</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970</v>
      </c>
      <c r="E232" s="617"/>
      <c r="F232" s="617"/>
      <c r="G232" s="617"/>
      <c r="H232" s="617"/>
      <c r="I232" s="617"/>
      <c r="J232" s="617"/>
      <c r="K232" s="1693">
        <f t="shared" ref="K232:K237" si="20">D232</f>
        <v>970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f>5413-970</f>
        <v>4443</v>
      </c>
      <c r="E234" s="617"/>
      <c r="F234" s="617"/>
      <c r="G234" s="617"/>
      <c r="H234" s="617"/>
      <c r="I234" s="617"/>
      <c r="J234" s="617"/>
      <c r="K234" s="1693">
        <f t="shared" si="20"/>
        <v>4443</v>
      </c>
      <c r="L234" s="466">
        <v>950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v>6500</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5413</v>
      </c>
      <c r="E238" s="617"/>
      <c r="F238" s="617"/>
      <c r="G238" s="617"/>
      <c r="H238" s="617"/>
      <c r="I238" s="617"/>
      <c r="J238" s="617"/>
      <c r="K238" s="1692">
        <f>SUM(K232:K237)</f>
        <v>5413</v>
      </c>
      <c r="L238" s="1692">
        <f>SUM(L232:L237)</f>
        <v>7450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1039</v>
      </c>
      <c r="E240" s="617"/>
      <c r="F240" s="617"/>
      <c r="G240" s="617"/>
      <c r="H240" s="617"/>
      <c r="I240" s="617"/>
      <c r="J240" s="617"/>
      <c r="K240" s="1694">
        <f>D240</f>
        <v>1039</v>
      </c>
      <c r="L240" s="481">
        <v>1050</v>
      </c>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1039</v>
      </c>
      <c r="E243" s="617"/>
      <c r="F243" s="617"/>
      <c r="G243" s="617"/>
      <c r="H243" s="617"/>
      <c r="I243" s="617"/>
      <c r="J243" s="617"/>
      <c r="K243" s="1692">
        <f>SUM(K240:K242)</f>
        <v>1039</v>
      </c>
      <c r="L243" s="1692">
        <f>SUM(L240:L242)</f>
        <v>1050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f>235+147+34</f>
        <v>416</v>
      </c>
      <c r="E245" s="617"/>
      <c r="F245" s="617"/>
      <c r="G245" s="617"/>
      <c r="H245" s="617"/>
      <c r="I245" s="617"/>
      <c r="J245" s="617"/>
      <c r="K245" s="1694">
        <f>D245</f>
        <v>416</v>
      </c>
      <c r="L245" s="481">
        <v>645</v>
      </c>
    </row>
    <row r="246" spans="1:12" x14ac:dyDescent="0.2">
      <c r="A246" s="1526" t="s">
        <v>872</v>
      </c>
      <c r="B246" s="615">
        <v>2320</v>
      </c>
      <c r="C246" s="617"/>
      <c r="D246" s="466">
        <f>9288-416</f>
        <v>8872</v>
      </c>
      <c r="E246" s="617"/>
      <c r="F246" s="617"/>
      <c r="G246" s="617"/>
      <c r="H246" s="617"/>
      <c r="I246" s="617"/>
      <c r="J246" s="617"/>
      <c r="K246" s="1694">
        <f t="shared" ref="K246:K256" si="21">D246</f>
        <v>8872</v>
      </c>
      <c r="L246" s="466">
        <v>8864</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9288</v>
      </c>
      <c r="E257" s="617"/>
      <c r="F257" s="617"/>
      <c r="G257" s="617"/>
      <c r="H257" s="617"/>
      <c r="I257" s="617"/>
      <c r="J257" s="617"/>
      <c r="K257" s="1692">
        <f>SUM(K245:K256)</f>
        <v>9288</v>
      </c>
      <c r="L257" s="1692">
        <f>SUM(L245:L256)</f>
        <v>9509</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19860</v>
      </c>
      <c r="E259" s="617"/>
      <c r="F259" s="617"/>
      <c r="G259" s="617"/>
      <c r="H259" s="617"/>
      <c r="I259" s="617"/>
      <c r="J259" s="617"/>
      <c r="K259" s="1694">
        <f>D259</f>
        <v>19860</v>
      </c>
      <c r="L259" s="481">
        <v>20500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19860</v>
      </c>
      <c r="E261" s="617"/>
      <c r="F261" s="617"/>
      <c r="G261" s="617"/>
      <c r="H261" s="617"/>
      <c r="I261" s="617"/>
      <c r="J261" s="617"/>
      <c r="K261" s="1692">
        <f>SUM(K259:K260)</f>
        <v>19860</v>
      </c>
      <c r="L261" s="1692">
        <f>SUM(L259:L260)</f>
        <v>20500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f>5696+3574+836</f>
        <v>10106</v>
      </c>
      <c r="E264" s="617"/>
      <c r="F264" s="617"/>
      <c r="G264" s="617"/>
      <c r="H264" s="617"/>
      <c r="I264" s="617"/>
      <c r="J264" s="617"/>
      <c r="K264" s="1694">
        <f t="shared" ref="K264:K269" si="22">D264</f>
        <v>10106</v>
      </c>
      <c r="L264" s="466">
        <v>10500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f>28979+19476+4554</f>
        <v>53009</v>
      </c>
      <c r="E266" s="617"/>
      <c r="F266" s="617"/>
      <c r="G266" s="617"/>
      <c r="H266" s="617"/>
      <c r="I266" s="617"/>
      <c r="J266" s="617"/>
      <c r="K266" s="1694">
        <f t="shared" si="22"/>
        <v>53009</v>
      </c>
      <c r="L266" s="466">
        <v>60806</v>
      </c>
    </row>
    <row r="267" spans="1:14" x14ac:dyDescent="0.2">
      <c r="A267" s="1526" t="s">
        <v>1010</v>
      </c>
      <c r="B267" s="615">
        <v>2550</v>
      </c>
      <c r="C267" s="617"/>
      <c r="D267" s="466">
        <f>8595+12548+2935</f>
        <v>24078</v>
      </c>
      <c r="E267" s="617"/>
      <c r="F267" s="617"/>
      <c r="G267" s="617"/>
      <c r="H267" s="617"/>
      <c r="I267" s="617"/>
      <c r="J267" s="617"/>
      <c r="K267" s="1694">
        <f t="shared" si="22"/>
        <v>24078</v>
      </c>
      <c r="L267" s="466">
        <v>30519</v>
      </c>
    </row>
    <row r="268" spans="1:14" x14ac:dyDescent="0.2">
      <c r="A268" s="1526" t="s">
        <v>102</v>
      </c>
      <c r="B268" s="615">
        <v>2560</v>
      </c>
      <c r="C268" s="617"/>
      <c r="D268" s="466">
        <f>97580-87193</f>
        <v>10387</v>
      </c>
      <c r="E268" s="617"/>
      <c r="F268" s="617"/>
      <c r="G268" s="617"/>
      <c r="H268" s="617"/>
      <c r="I268" s="617"/>
      <c r="J268" s="617"/>
      <c r="K268" s="1694">
        <f t="shared" si="22"/>
        <v>10387</v>
      </c>
      <c r="L268" s="466">
        <v>9969</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97580</v>
      </c>
      <c r="E270" s="617"/>
      <c r="F270" s="617"/>
      <c r="G270" s="617"/>
      <c r="H270" s="617"/>
      <c r="I270" s="617"/>
      <c r="J270" s="617"/>
      <c r="K270" s="1692">
        <f>SUM(K263:K269)</f>
        <v>97580</v>
      </c>
      <c r="L270" s="1692">
        <f>SUM(L263:L269)</f>
        <v>111794</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133180</v>
      </c>
      <c r="E279" s="617"/>
      <c r="F279" s="617"/>
      <c r="G279" s="617"/>
      <c r="H279" s="617"/>
      <c r="I279" s="617"/>
      <c r="J279" s="617"/>
      <c r="K279" s="1699">
        <f>SUM(K238,K243,K257,K261,K270,K277,K278)</f>
        <v>133180</v>
      </c>
      <c r="L279" s="1699">
        <f>SUM(L238,L243,L257,L261,L270,L277,L278)</f>
        <v>150303</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8" t="s">
        <v>526</v>
      </c>
      <c r="B295" s="2189"/>
      <c r="C295" s="617"/>
      <c r="D295" s="1692">
        <f>SUM(D229,D279,D280,D285)</f>
        <v>266035</v>
      </c>
      <c r="E295" s="617"/>
      <c r="F295" s="617"/>
      <c r="G295" s="617"/>
      <c r="H295" s="1692">
        <f>H293</f>
        <v>0</v>
      </c>
      <c r="I295" s="617"/>
      <c r="J295" s="617"/>
      <c r="K295" s="1692">
        <f>SUM(K229,K279,K280,K285,K293,K294)</f>
        <v>266035</v>
      </c>
      <c r="L295" s="1692">
        <f>SUM(L229,L279,L280,L285,L293,L294)</f>
        <v>305900</v>
      </c>
    </row>
    <row r="296" spans="1:14" ht="13.5" thickTop="1" x14ac:dyDescent="0.2">
      <c r="A296" s="2197" t="s">
        <v>1053</v>
      </c>
      <c r="B296" s="2198"/>
      <c r="C296" s="617"/>
      <c r="D296" s="619"/>
      <c r="E296" s="617"/>
      <c r="F296" s="617"/>
      <c r="G296" s="617"/>
      <c r="H296" s="688"/>
      <c r="I296" s="617"/>
      <c r="J296" s="617"/>
      <c r="K296" s="1706">
        <f>'Revenues 9-14'!G275-'Expenditures 15-22'!K295</f>
        <v>27152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5" t="s">
        <v>295</v>
      </c>
      <c r="B312" s="2186"/>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1" t="s">
        <v>1053</v>
      </c>
      <c r="B313" s="2182"/>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9309</v>
      </c>
      <c r="F320" s="467"/>
      <c r="G320" s="467"/>
      <c r="H320" s="467"/>
      <c r="I320" s="467"/>
      <c r="J320" s="467"/>
      <c r="K320" s="1693">
        <f t="shared" ref="K320:K327" si="24">SUM(C320:J320)</f>
        <v>9309</v>
      </c>
      <c r="L320" s="467">
        <v>7200</v>
      </c>
      <c r="M320" s="666"/>
      <c r="N320" s="666"/>
    </row>
    <row r="321" spans="1:14" s="675" customFormat="1" x14ac:dyDescent="0.2">
      <c r="A321" s="1541" t="s">
        <v>318</v>
      </c>
      <c r="B321" s="698" t="s">
        <v>301</v>
      </c>
      <c r="C321" s="467"/>
      <c r="D321" s="467"/>
      <c r="E321" s="467">
        <v>168</v>
      </c>
      <c r="F321" s="467"/>
      <c r="G321" s="467"/>
      <c r="H321" s="467"/>
      <c r="I321" s="467"/>
      <c r="J321" s="467"/>
      <c r="K321" s="1693">
        <f t="shared" si="24"/>
        <v>168</v>
      </c>
      <c r="L321" s="467">
        <v>12320</v>
      </c>
      <c r="M321" s="666"/>
      <c r="N321" s="666"/>
    </row>
    <row r="322" spans="1:14" s="675" customFormat="1" x14ac:dyDescent="0.2">
      <c r="A322" s="1541" t="s">
        <v>256</v>
      </c>
      <c r="B322" s="698" t="s">
        <v>302</v>
      </c>
      <c r="C322" s="467"/>
      <c r="D322" s="467"/>
      <c r="E322" s="467">
        <v>191294</v>
      </c>
      <c r="F322" s="467"/>
      <c r="G322" s="467"/>
      <c r="H322" s="467"/>
      <c r="I322" s="467"/>
      <c r="J322" s="467"/>
      <c r="K322" s="1693">
        <f t="shared" si="24"/>
        <v>191294</v>
      </c>
      <c r="L322" s="467">
        <v>103246</v>
      </c>
      <c r="M322" s="666"/>
      <c r="N322" s="666"/>
    </row>
    <row r="323" spans="1:14" s="675" customFormat="1" x14ac:dyDescent="0.2">
      <c r="A323" s="1541" t="s">
        <v>726</v>
      </c>
      <c r="B323" s="698" t="s">
        <v>303</v>
      </c>
      <c r="C323" s="467"/>
      <c r="D323" s="467"/>
      <c r="E323" s="467">
        <v>447065</v>
      </c>
      <c r="F323" s="467"/>
      <c r="G323" s="467"/>
      <c r="H323" s="467"/>
      <c r="I323" s="467"/>
      <c r="J323" s="467"/>
      <c r="K323" s="1693">
        <f t="shared" si="24"/>
        <v>447065</v>
      </c>
      <c r="L323" s="467">
        <v>450000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7010</v>
      </c>
      <c r="F327" s="467"/>
      <c r="G327" s="467"/>
      <c r="H327" s="467"/>
      <c r="I327" s="467"/>
      <c r="J327" s="467"/>
      <c r="K327" s="1693">
        <f t="shared" si="24"/>
        <v>7010</v>
      </c>
      <c r="L327" s="467">
        <v>25000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v>12000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654846</v>
      </c>
      <c r="F330" s="1692">
        <f t="shared" si="25"/>
        <v>0</v>
      </c>
      <c r="G330" s="1692">
        <f t="shared" si="25"/>
        <v>0</v>
      </c>
      <c r="H330" s="1692">
        <f t="shared" si="25"/>
        <v>0</v>
      </c>
      <c r="I330" s="1692">
        <f t="shared" si="25"/>
        <v>0</v>
      </c>
      <c r="J330" s="1692">
        <f t="shared" si="25"/>
        <v>0</v>
      </c>
      <c r="K330" s="1692">
        <f>SUM(K319:K329)</f>
        <v>654846</v>
      </c>
      <c r="L330" s="1692">
        <f>SUM(L319:L329)</f>
        <v>609766</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654846</v>
      </c>
      <c r="F342" s="1692">
        <f>SUM(F330)</f>
        <v>0</v>
      </c>
      <c r="G342" s="1692">
        <f>SUM(G330)</f>
        <v>0</v>
      </c>
      <c r="H342" s="1692">
        <f>SUM(H330,H334,H340)</f>
        <v>0</v>
      </c>
      <c r="I342" s="1692">
        <f>SUM(I330)</f>
        <v>0</v>
      </c>
      <c r="J342" s="1692">
        <f>SUM(J330)</f>
        <v>0</v>
      </c>
      <c r="K342" s="1692">
        <f>SUM(K330,K334,K340)</f>
        <v>654846</v>
      </c>
      <c r="L342" s="1699">
        <f>SUM(L330,L340,L341)</f>
        <v>609766</v>
      </c>
    </row>
    <row r="343" spans="1:14" ht="12.75" customHeight="1" thickTop="1" x14ac:dyDescent="0.2">
      <c r="A343" s="2183" t="s">
        <v>1053</v>
      </c>
      <c r="B343" s="2184"/>
      <c r="C343" s="617"/>
      <c r="D343" s="617"/>
      <c r="E343" s="617"/>
      <c r="F343" s="617"/>
      <c r="G343" s="617"/>
      <c r="H343" s="617"/>
      <c r="I343" s="617"/>
      <c r="J343" s="617"/>
      <c r="K343" s="1706">
        <f>'Revenues 9-14'!J275-'Expenditures 15-22'!K342</f>
        <v>36226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16125</v>
      </c>
    </row>
    <row r="349" spans="1:14" x14ac:dyDescent="0.2">
      <c r="A349" s="1526" t="s">
        <v>206</v>
      </c>
      <c r="B349" s="615">
        <v>2540</v>
      </c>
      <c r="C349" s="466"/>
      <c r="D349" s="466"/>
      <c r="E349" s="466">
        <v>24916</v>
      </c>
      <c r="F349" s="466"/>
      <c r="G349" s="466"/>
      <c r="H349" s="466"/>
      <c r="I349" s="467"/>
      <c r="J349" s="467"/>
      <c r="K349" s="1693">
        <f>SUM(C349:J349)</f>
        <v>24916</v>
      </c>
      <c r="L349" s="466">
        <v>18000</v>
      </c>
    </row>
    <row r="350" spans="1:14" ht="12.75" customHeight="1" thickBot="1" x14ac:dyDescent="0.25">
      <c r="A350" s="1690" t="s">
        <v>743</v>
      </c>
      <c r="B350" s="1691" t="s">
        <v>35</v>
      </c>
      <c r="C350" s="1692">
        <f>SUM(C348:C349)</f>
        <v>0</v>
      </c>
      <c r="D350" s="1692">
        <f t="shared" ref="D350:L350" si="26">SUM(D348:D349)</f>
        <v>0</v>
      </c>
      <c r="E350" s="1692">
        <f t="shared" si="26"/>
        <v>24916</v>
      </c>
      <c r="F350" s="1692">
        <f t="shared" si="26"/>
        <v>0</v>
      </c>
      <c r="G350" s="1692">
        <f t="shared" si="26"/>
        <v>0</v>
      </c>
      <c r="H350" s="1692">
        <f t="shared" si="26"/>
        <v>0</v>
      </c>
      <c r="I350" s="1692">
        <f t="shared" si="26"/>
        <v>0</v>
      </c>
      <c r="J350" s="1692">
        <f t="shared" si="26"/>
        <v>0</v>
      </c>
      <c r="K350" s="1692">
        <f t="shared" si="26"/>
        <v>24916</v>
      </c>
      <c r="L350" s="1692">
        <f t="shared" si="26"/>
        <v>34125</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24916</v>
      </c>
      <c r="F352" s="1692">
        <f t="shared" si="27"/>
        <v>0</v>
      </c>
      <c r="G352" s="1692">
        <f t="shared" si="27"/>
        <v>0</v>
      </c>
      <c r="H352" s="1692">
        <f t="shared" si="27"/>
        <v>0</v>
      </c>
      <c r="I352" s="1692">
        <f t="shared" si="27"/>
        <v>0</v>
      </c>
      <c r="J352" s="1692">
        <f t="shared" si="27"/>
        <v>0</v>
      </c>
      <c r="K352" s="1692">
        <f t="shared" si="27"/>
        <v>24916</v>
      </c>
      <c r="L352" s="1692">
        <f t="shared" si="27"/>
        <v>34125</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24916</v>
      </c>
      <c r="F367" s="1692">
        <f t="shared" si="28"/>
        <v>0</v>
      </c>
      <c r="G367" s="1692">
        <f t="shared" si="28"/>
        <v>0</v>
      </c>
      <c r="H367" s="1692">
        <f t="shared" si="28"/>
        <v>0</v>
      </c>
      <c r="I367" s="1692">
        <f t="shared" si="28"/>
        <v>0</v>
      </c>
      <c r="J367" s="1692">
        <f t="shared" si="28"/>
        <v>0</v>
      </c>
      <c r="K367" s="1692">
        <f t="shared" si="28"/>
        <v>24916</v>
      </c>
      <c r="L367" s="1692">
        <f t="shared" si="28"/>
        <v>34125</v>
      </c>
    </row>
    <row r="368" spans="1:14" ht="13.5" thickTop="1" x14ac:dyDescent="0.2">
      <c r="A368" s="2197" t="s">
        <v>1053</v>
      </c>
      <c r="B368" s="2198"/>
      <c r="C368" s="655"/>
      <c r="D368" s="655"/>
      <c r="E368" s="627"/>
      <c r="F368" s="627"/>
      <c r="G368" s="627"/>
      <c r="H368" s="627"/>
      <c r="I368" s="627"/>
      <c r="J368" s="624"/>
      <c r="K368" s="1693">
        <f>'Revenues 9-14'!K275-'Expenditures 15-22'!K367</f>
        <v>81784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55"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42" sqref="D42:H42"/>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1905</v>
      </c>
      <c r="B2" s="1550" t="s">
        <v>2035</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71">
        <f>'Revenues 9-14'!C5</f>
        <v>3755790</v>
      </c>
      <c r="C4" s="1546">
        <v>864411</v>
      </c>
      <c r="D4" s="1774">
        <f>B4-C4</f>
        <v>2891379</v>
      </c>
      <c r="E4" s="1546">
        <v>3404345</v>
      </c>
      <c r="F4" s="1774">
        <f>E4-C4</f>
        <v>2539934</v>
      </c>
    </row>
    <row r="5" spans="1:6" ht="13.7" customHeight="1" x14ac:dyDescent="0.2">
      <c r="A5" s="716" t="s">
        <v>925</v>
      </c>
      <c r="B5" s="1772">
        <f>'Revenues 9-14'!D5</f>
        <v>533493</v>
      </c>
      <c r="C5" s="585">
        <v>122786</v>
      </c>
      <c r="D5" s="1775">
        <f t="shared" ref="D5:D18" si="0">B5-C5</f>
        <v>410707</v>
      </c>
      <c r="E5" s="585">
        <v>483572</v>
      </c>
      <c r="F5" s="1775">
        <f>E5-C5</f>
        <v>360786</v>
      </c>
    </row>
    <row r="6" spans="1:6" ht="13.7" customHeight="1" x14ac:dyDescent="0.2">
      <c r="A6" s="716" t="s">
        <v>431</v>
      </c>
      <c r="B6" s="1772">
        <f>'Revenues 9-14'!E5</f>
        <v>1179947</v>
      </c>
      <c r="C6" s="585">
        <v>260453</v>
      </c>
      <c r="D6" s="1775">
        <f t="shared" si="0"/>
        <v>919494</v>
      </c>
      <c r="E6" s="585">
        <v>1025752</v>
      </c>
      <c r="F6" s="1775">
        <f t="shared" ref="F6:F18" si="1">E6-C6</f>
        <v>765299</v>
      </c>
    </row>
    <row r="7" spans="1:6" ht="13.7" customHeight="1" x14ac:dyDescent="0.2">
      <c r="A7" s="716" t="s">
        <v>157</v>
      </c>
      <c r="B7" s="1772">
        <f>'Revenues 9-14'!F5</f>
        <v>256076</v>
      </c>
      <c r="C7" s="585">
        <v>58938</v>
      </c>
      <c r="D7" s="1775">
        <f t="shared" si="0"/>
        <v>197138</v>
      </c>
      <c r="E7" s="585">
        <v>232114</v>
      </c>
      <c r="F7" s="1775">
        <f t="shared" si="1"/>
        <v>173176</v>
      </c>
    </row>
    <row r="8" spans="1:6" ht="13.7" customHeight="1" x14ac:dyDescent="0.2">
      <c r="A8" s="716" t="s">
        <v>1241</v>
      </c>
      <c r="B8" s="1772">
        <f>'Revenues 9-14'!G5</f>
        <v>146594</v>
      </c>
      <c r="C8" s="585">
        <v>41944</v>
      </c>
      <c r="D8" s="1775">
        <f t="shared" si="0"/>
        <v>104650</v>
      </c>
      <c r="E8" s="585">
        <v>165188</v>
      </c>
      <c r="F8" s="1775">
        <f t="shared" si="1"/>
        <v>123244</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106699</v>
      </c>
      <c r="C10" s="585">
        <v>24557</v>
      </c>
      <c r="D10" s="1775">
        <f t="shared" si="0"/>
        <v>82142</v>
      </c>
      <c r="E10" s="585">
        <v>96714</v>
      </c>
      <c r="F10" s="1775">
        <f t="shared" si="1"/>
        <v>72157</v>
      </c>
    </row>
    <row r="11" spans="1:6" x14ac:dyDescent="0.2">
      <c r="A11" s="716" t="s">
        <v>429</v>
      </c>
      <c r="B11" s="1772">
        <f>'Revenues 9-14'!J5</f>
        <v>691072</v>
      </c>
      <c r="C11" s="585">
        <v>147293</v>
      </c>
      <c r="D11" s="1775">
        <f t="shared" si="0"/>
        <v>543779</v>
      </c>
      <c r="E11" s="585">
        <v>580093</v>
      </c>
      <c r="F11" s="1775">
        <f t="shared" si="1"/>
        <v>432800</v>
      </c>
    </row>
    <row r="12" spans="1:6" ht="13.7" customHeight="1" x14ac:dyDescent="0.2">
      <c r="A12" s="716" t="s">
        <v>159</v>
      </c>
      <c r="B12" s="1772">
        <f>'Revenues 9-14'!K5</f>
        <v>106700</v>
      </c>
      <c r="C12" s="585">
        <v>24557</v>
      </c>
      <c r="D12" s="1775">
        <f t="shared" si="0"/>
        <v>82143</v>
      </c>
      <c r="E12" s="585">
        <v>96714</v>
      </c>
      <c r="F12" s="1775">
        <f t="shared" si="1"/>
        <v>72157</v>
      </c>
    </row>
    <row r="13" spans="1:6" ht="13.7" customHeight="1" x14ac:dyDescent="0.2">
      <c r="A13" s="716" t="s">
        <v>993</v>
      </c>
      <c r="B13" s="1772">
        <f>SUM('Revenues 9-14'!C6:D6)</f>
        <v>106700</v>
      </c>
      <c r="C13" s="585">
        <v>24557</v>
      </c>
      <c r="D13" s="1775">
        <f t="shared" si="0"/>
        <v>82143</v>
      </c>
      <c r="E13" s="585">
        <v>96714</v>
      </c>
      <c r="F13" s="1775">
        <f t="shared" si="1"/>
        <v>72157</v>
      </c>
    </row>
    <row r="14" spans="1:6" ht="13.7" customHeight="1" x14ac:dyDescent="0.2">
      <c r="A14" s="716" t="s">
        <v>430</v>
      </c>
      <c r="B14" s="1772">
        <f>SUM('Revenues 9-14'!C7:D7,'Revenues 9-14'!F7:H7)</f>
        <v>42683</v>
      </c>
      <c r="C14" s="585">
        <v>9823</v>
      </c>
      <c r="D14" s="1775">
        <f t="shared" si="0"/>
        <v>32860</v>
      </c>
      <c r="E14" s="585">
        <v>38686</v>
      </c>
      <c r="F14" s="1775">
        <f t="shared" si="1"/>
        <v>28863</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146593</v>
      </c>
      <c r="C16" s="585">
        <v>41944</v>
      </c>
      <c r="D16" s="1775">
        <f t="shared" si="0"/>
        <v>104649</v>
      </c>
      <c r="E16" s="585">
        <v>165188</v>
      </c>
      <c r="F16" s="1775">
        <f t="shared" si="1"/>
        <v>123244</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7072347</v>
      </c>
      <c r="C19" s="1773">
        <f>SUM(C4:C18)</f>
        <v>1621263</v>
      </c>
      <c r="D19" s="1773">
        <f>SUM(D4:D18)</f>
        <v>5451084</v>
      </c>
      <c r="E19" s="1773">
        <f>SUM(E4:E18)</f>
        <v>6385080</v>
      </c>
      <c r="F19" s="1773">
        <f>SUM(F4:F18)</f>
        <v>4763817</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D42" sqref="D42:H4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2"/>
    </row>
    <row r="2" spans="1:7" ht="33.75" x14ac:dyDescent="0.2">
      <c r="A2" s="2214" t="s">
        <v>1905</v>
      </c>
      <c r="B2" s="2215"/>
      <c r="C2" s="1909" t="s">
        <v>2036</v>
      </c>
      <c r="D2" s="724" t="s">
        <v>2043</v>
      </c>
      <c r="E2" s="724" t="s">
        <v>2044</v>
      </c>
      <c r="F2" s="1909" t="s">
        <v>2037</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7">
        <f>SUM(C4+D4)-E4</f>
        <v>0</v>
      </c>
    </row>
    <row r="5" spans="1:7" ht="15.75" customHeight="1" thickTop="1" x14ac:dyDescent="0.2">
      <c r="A5" s="2201" t="s">
        <v>1172</v>
      </c>
      <c r="B5" s="2202"/>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3" t="s">
        <v>652</v>
      </c>
      <c r="B15" s="2204"/>
      <c r="C15" s="1777">
        <f>SUM(C6:C14)</f>
        <v>0</v>
      </c>
      <c r="D15" s="1777">
        <f>SUM(D6:D14)</f>
        <v>0</v>
      </c>
      <c r="E15" s="1777">
        <f>SUM(E6:E14)</f>
        <v>0</v>
      </c>
      <c r="F15" s="1777">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7"/>
      <c r="D17" s="585"/>
      <c r="E17" s="727"/>
      <c r="F17" s="1777">
        <f>SUM(C17+D17)-E17</f>
        <v>0</v>
      </c>
    </row>
    <row r="18" spans="1:11" ht="12.75" customHeight="1" thickTop="1" thickBot="1" x14ac:dyDescent="0.25">
      <c r="A18" s="2226" t="s">
        <v>6</v>
      </c>
      <c r="B18" s="2227"/>
      <c r="C18" s="727"/>
      <c r="D18" s="585"/>
      <c r="E18" s="727"/>
      <c r="F18" s="1777">
        <f>SUM(C18+D18)-E18</f>
        <v>0</v>
      </c>
    </row>
    <row r="19" spans="1:11" ht="12.75" customHeight="1" thickTop="1" thickBot="1" x14ac:dyDescent="0.25">
      <c r="A19" s="2226" t="s">
        <v>406</v>
      </c>
      <c r="B19" s="2227"/>
      <c r="C19" s="727"/>
      <c r="D19" s="585"/>
      <c r="E19" s="727"/>
      <c r="F19" s="1777">
        <f>SUM(C19+D19)-E19</f>
        <v>0</v>
      </c>
    </row>
    <row r="20" spans="1:11" ht="12.75" customHeight="1" thickTop="1" thickBot="1" x14ac:dyDescent="0.25">
      <c r="A20" s="2226" t="s">
        <v>468</v>
      </c>
      <c r="B20" s="2227"/>
      <c r="C20" s="727"/>
      <c r="D20" s="585"/>
      <c r="E20" s="727"/>
      <c r="F20" s="1777">
        <f>SUM(C20+D20)-E20</f>
        <v>0</v>
      </c>
    </row>
    <row r="21" spans="1:11" ht="14.25" thickTop="1" thickBot="1" x14ac:dyDescent="0.25">
      <c r="A21" s="2203" t="s">
        <v>653</v>
      </c>
      <c r="B21" s="2204"/>
      <c r="C21" s="1777">
        <f>SUM(C17:C20)</f>
        <v>0</v>
      </c>
      <c r="D21" s="1777">
        <f>SUM(D17:D20)</f>
        <v>0</v>
      </c>
      <c r="E21" s="1777">
        <f>SUM(E17:E20)</f>
        <v>0</v>
      </c>
      <c r="F21" s="1777">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7">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7">
        <f>SUM(C25+D25)-E25</f>
        <v>0</v>
      </c>
      <c r="G25" s="552"/>
    </row>
    <row r="26" spans="1:11" ht="15.75" customHeight="1" thickTop="1" x14ac:dyDescent="0.2">
      <c r="A26" s="2201" t="s">
        <v>678</v>
      </c>
      <c r="B26" s="2202"/>
      <c r="C26" s="728"/>
      <c r="D26" s="728"/>
      <c r="E26" s="728"/>
      <c r="F26" s="729"/>
    </row>
    <row r="27" spans="1:11" ht="13.5" thickBot="1" x14ac:dyDescent="0.25">
      <c r="A27" s="2203" t="s">
        <v>1130</v>
      </c>
      <c r="B27" s="2204"/>
      <c r="C27" s="585"/>
      <c r="D27" s="585"/>
      <c r="E27" s="585"/>
      <c r="F27" s="1777">
        <f>SUM(C27+D27)-E27</f>
        <v>0</v>
      </c>
      <c r="G27" s="552"/>
    </row>
    <row r="28" spans="1:11" ht="7.5" customHeight="1" thickTop="1" x14ac:dyDescent="0.2">
      <c r="A28" s="594"/>
    </row>
    <row r="29" spans="1:11" ht="23.25" customHeight="1" x14ac:dyDescent="0.2">
      <c r="A29" s="2229" t="s">
        <v>603</v>
      </c>
      <c r="B29" s="2206"/>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t="s">
        <v>2091</v>
      </c>
      <c r="B32" s="734">
        <v>41145</v>
      </c>
      <c r="C32" s="735">
        <v>2673000</v>
      </c>
      <c r="D32" s="736">
        <v>3</v>
      </c>
      <c r="E32" s="735">
        <v>2309000</v>
      </c>
      <c r="F32" s="735"/>
      <c r="G32" s="735"/>
      <c r="H32" s="735">
        <v>320000</v>
      </c>
      <c r="I32" s="1778">
        <f>((E32+F32)-H32)+G32</f>
        <v>1989000</v>
      </c>
      <c r="J32" s="735">
        <f>1989000-731005</f>
        <v>1257995</v>
      </c>
      <c r="K32" s="737"/>
    </row>
    <row r="33" spans="1:11" ht="12" customHeight="1" x14ac:dyDescent="0.2">
      <c r="A33" s="733" t="s">
        <v>2092</v>
      </c>
      <c r="B33" s="734">
        <v>42383</v>
      </c>
      <c r="C33" s="735">
        <v>3330000</v>
      </c>
      <c r="D33" s="736">
        <v>3</v>
      </c>
      <c r="E33" s="735">
        <v>3330000</v>
      </c>
      <c r="F33" s="735"/>
      <c r="G33" s="735"/>
      <c r="H33" s="735"/>
      <c r="I33" s="1778">
        <f t="shared" ref="I33:I48" si="1">((E33+F33)-H33)+G33</f>
        <v>3330000</v>
      </c>
      <c r="J33" s="735">
        <v>3330000</v>
      </c>
      <c r="K33" s="737"/>
    </row>
    <row r="34" spans="1:11" ht="12" customHeight="1" x14ac:dyDescent="0.2">
      <c r="A34" s="733" t="s">
        <v>2093</v>
      </c>
      <c r="B34" s="734">
        <v>42383</v>
      </c>
      <c r="C34" s="735">
        <v>1000000</v>
      </c>
      <c r="D34" s="736">
        <v>1</v>
      </c>
      <c r="E34" s="735">
        <v>765000</v>
      </c>
      <c r="F34" s="735"/>
      <c r="G34" s="735"/>
      <c r="H34" s="735">
        <v>505000</v>
      </c>
      <c r="I34" s="1778">
        <f t="shared" si="1"/>
        <v>260000</v>
      </c>
      <c r="J34" s="735">
        <v>260000</v>
      </c>
      <c r="K34" s="738"/>
    </row>
    <row r="35" spans="1:11" ht="12" customHeight="1" x14ac:dyDescent="0.2">
      <c r="A35" s="733" t="s">
        <v>2094</v>
      </c>
      <c r="B35" s="734">
        <v>43011</v>
      </c>
      <c r="C35" s="739">
        <v>1200000</v>
      </c>
      <c r="D35" s="736">
        <v>1</v>
      </c>
      <c r="E35" s="739"/>
      <c r="F35" s="739">
        <v>1200000</v>
      </c>
      <c r="G35" s="739"/>
      <c r="H35" s="739"/>
      <c r="I35" s="1778">
        <f t="shared" si="1"/>
        <v>1200000</v>
      </c>
      <c r="J35" s="739">
        <v>1200000</v>
      </c>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8203000</v>
      </c>
      <c r="D49" s="746"/>
      <c r="E49" s="1778">
        <f t="shared" ref="E49:J49" si="2">SUM(E31:E48)</f>
        <v>6404000</v>
      </c>
      <c r="F49" s="1778">
        <f t="shared" si="2"/>
        <v>1200000</v>
      </c>
      <c r="G49" s="1778">
        <f t="shared" si="2"/>
        <v>0</v>
      </c>
      <c r="H49" s="1778">
        <f t="shared" si="2"/>
        <v>825000</v>
      </c>
      <c r="I49" s="1778">
        <f t="shared" si="2"/>
        <v>6779000</v>
      </c>
      <c r="J49" s="1778">
        <f t="shared" si="2"/>
        <v>6047995</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c r="G52" s="2223"/>
      <c r="H52" s="737"/>
      <c r="I52" s="737"/>
      <c r="J52" s="747"/>
    </row>
    <row r="53" spans="1:11" ht="11.25" customHeight="1" x14ac:dyDescent="0.2">
      <c r="A53" s="751" t="s">
        <v>969</v>
      </c>
      <c r="B53" s="752" t="s">
        <v>1008</v>
      </c>
      <c r="C53" s="747"/>
      <c r="D53" s="738"/>
      <c r="E53" s="750" t="s">
        <v>518</v>
      </c>
      <c r="F53" s="2224"/>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9" colorId="8" zoomScale="110" zoomScaleNormal="110" workbookViewId="0">
      <selection activeCell="D42" sqref="D42:H4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2"/>
      <c r="I1" s="761"/>
      <c r="J1" s="433"/>
    </row>
    <row r="2" spans="1:11" ht="26.25" x14ac:dyDescent="0.2">
      <c r="A2" s="2233" t="s">
        <v>1776</v>
      </c>
      <c r="B2" s="2234"/>
      <c r="C2" s="2234"/>
      <c r="D2" s="2234"/>
      <c r="E2" s="2235"/>
      <c r="F2" s="762" t="s">
        <v>960</v>
      </c>
      <c r="G2" s="763" t="s">
        <v>1773</v>
      </c>
      <c r="H2" s="763" t="s">
        <v>430</v>
      </c>
      <c r="I2" s="763" t="s">
        <v>1220</v>
      </c>
      <c r="J2" s="763" t="s">
        <v>1919</v>
      </c>
      <c r="K2" s="763" t="s">
        <v>140</v>
      </c>
    </row>
    <row r="3" spans="1:11" x14ac:dyDescent="0.2">
      <c r="A3" s="2236" t="s">
        <v>1698</v>
      </c>
      <c r="B3" s="2237"/>
      <c r="C3" s="2237"/>
      <c r="D3" s="2237"/>
      <c r="E3" s="2238"/>
      <c r="F3" s="764"/>
      <c r="G3" s="765"/>
      <c r="H3" s="765"/>
      <c r="I3" s="765"/>
      <c r="J3" s="766"/>
      <c r="K3" s="766"/>
    </row>
    <row r="4" spans="1:11" x14ac:dyDescent="0.2">
      <c r="A4" s="2239" t="s">
        <v>387</v>
      </c>
      <c r="B4" s="2240"/>
      <c r="C4" s="2240"/>
      <c r="D4" s="2240"/>
      <c r="E4" s="2221"/>
      <c r="F4" s="767"/>
      <c r="G4" s="768"/>
      <c r="H4" s="769"/>
      <c r="I4" s="768"/>
      <c r="J4" s="770"/>
      <c r="K4" s="770"/>
    </row>
    <row r="5" spans="1:11" x14ac:dyDescent="0.2">
      <c r="A5" s="2257" t="s">
        <v>1129</v>
      </c>
      <c r="B5" s="2230"/>
      <c r="C5" s="2230"/>
      <c r="D5" s="2230"/>
      <c r="E5" s="2258"/>
      <c r="F5" s="771" t="s">
        <v>903</v>
      </c>
      <c r="G5" s="772"/>
      <c r="H5" s="765"/>
      <c r="I5" s="773"/>
      <c r="J5" s="774"/>
      <c r="K5" s="774"/>
    </row>
    <row r="6" spans="1:11" x14ac:dyDescent="0.2">
      <c r="A6" s="775" t="s">
        <v>744</v>
      </c>
      <c r="B6" s="776"/>
      <c r="C6" s="776"/>
      <c r="D6" s="776"/>
      <c r="E6" s="777"/>
      <c r="F6" s="778" t="s">
        <v>904</v>
      </c>
      <c r="G6" s="765"/>
      <c r="H6" s="765">
        <f>'Revenues 9-14'!C7</f>
        <v>42683</v>
      </c>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7" t="s">
        <v>1920</v>
      </c>
      <c r="B10" s="2230"/>
      <c r="C10" s="2230"/>
      <c r="D10" s="2230"/>
      <c r="E10" s="2259"/>
      <c r="F10" s="784" t="s">
        <v>917</v>
      </c>
      <c r="G10" s="783"/>
      <c r="H10" s="785"/>
      <c r="I10" s="765"/>
      <c r="J10" s="766"/>
      <c r="K10" s="766"/>
    </row>
    <row r="11" spans="1:11" x14ac:dyDescent="0.2">
      <c r="A11" s="2257" t="s">
        <v>162</v>
      </c>
      <c r="B11" s="2230"/>
      <c r="C11" s="2230"/>
      <c r="D11" s="2230"/>
      <c r="E11" s="2258"/>
      <c r="F11" s="771" t="s">
        <v>907</v>
      </c>
      <c r="G11" s="772"/>
      <c r="H11" s="765"/>
      <c r="I11" s="765"/>
      <c r="J11" s="766"/>
      <c r="K11" s="774"/>
    </row>
    <row r="12" spans="1:11" ht="13.5" thickBot="1" x14ac:dyDescent="0.25">
      <c r="A12" s="2247" t="s">
        <v>961</v>
      </c>
      <c r="B12" s="2248"/>
      <c r="C12" s="2248"/>
      <c r="D12" s="2248"/>
      <c r="E12" s="2249"/>
      <c r="F12" s="1779"/>
      <c r="G12" s="1780">
        <f>SUM(G5:G11)</f>
        <v>0</v>
      </c>
      <c r="H12" s="1780">
        <f>SUM(H5:H11)</f>
        <v>42683</v>
      </c>
      <c r="I12" s="1780">
        <f>SUM(I5:I11)</f>
        <v>0</v>
      </c>
      <c r="J12" s="1780">
        <f>SUM(J5:J11)</f>
        <v>0</v>
      </c>
      <c r="K12" s="1780">
        <f>SUM(K5:K11)</f>
        <v>0</v>
      </c>
    </row>
    <row r="13" spans="1:11" ht="13.5" thickTop="1" x14ac:dyDescent="0.2">
      <c r="A13" s="2241" t="s">
        <v>388</v>
      </c>
      <c r="B13" s="2242"/>
      <c r="C13" s="2242"/>
      <c r="D13" s="2242"/>
      <c r="E13" s="2243"/>
      <c r="F13" s="786"/>
      <c r="G13" s="787"/>
      <c r="H13" s="788"/>
      <c r="I13" s="789"/>
      <c r="J13" s="789"/>
      <c r="K13" s="789"/>
    </row>
    <row r="14" spans="1:11" x14ac:dyDescent="0.2">
      <c r="A14" s="2263" t="s">
        <v>476</v>
      </c>
      <c r="B14" s="2263"/>
      <c r="C14" s="2263"/>
      <c r="D14" s="2263"/>
      <c r="E14" s="2264"/>
      <c r="F14" s="790" t="s">
        <v>909</v>
      </c>
      <c r="G14" s="783"/>
      <c r="H14" s="765">
        <v>42683</v>
      </c>
      <c r="I14" s="772"/>
      <c r="J14" s="774"/>
      <c r="K14" s="766"/>
    </row>
    <row r="15" spans="1:11" x14ac:dyDescent="0.2">
      <c r="A15" s="2230" t="s">
        <v>4</v>
      </c>
      <c r="B15" s="2230"/>
      <c r="C15" s="2230"/>
      <c r="D15" s="2230"/>
      <c r="E15" s="2258"/>
      <c r="F15" s="790" t="s">
        <v>910</v>
      </c>
      <c r="G15" s="772"/>
      <c r="H15" s="765"/>
      <c r="I15" s="765"/>
      <c r="J15" s="766"/>
      <c r="K15" s="766"/>
    </row>
    <row r="16" spans="1:11" x14ac:dyDescent="0.2">
      <c r="A16" s="2230" t="s">
        <v>316</v>
      </c>
      <c r="B16" s="2230"/>
      <c r="C16" s="2230"/>
      <c r="D16" s="2230"/>
      <c r="E16" s="225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65" t="s">
        <v>1916</v>
      </c>
      <c r="B19" s="2265"/>
      <c r="C19" s="2265"/>
      <c r="D19" s="2265"/>
      <c r="E19" s="2266"/>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50" t="s">
        <v>659</v>
      </c>
      <c r="B21" s="2250"/>
      <c r="C21" s="2250"/>
      <c r="D21" s="2250"/>
      <c r="E21" s="2250"/>
      <c r="F21" s="1781"/>
      <c r="G21" s="793"/>
      <c r="H21" s="797"/>
      <c r="I21" s="797"/>
      <c r="J21" s="1782">
        <f>SUM(J18:J20)</f>
        <v>0</v>
      </c>
      <c r="K21" s="794"/>
    </row>
    <row r="22" spans="1:11" ht="13.5" thickTop="1" x14ac:dyDescent="0.2">
      <c r="A22" s="2230" t="s">
        <v>1922</v>
      </c>
      <c r="B22" s="2230"/>
      <c r="C22" s="2230"/>
      <c r="D22" s="2230"/>
      <c r="E22" s="2258"/>
      <c r="F22" s="790" t="s">
        <v>917</v>
      </c>
      <c r="G22" s="783"/>
      <c r="H22" s="765"/>
      <c r="I22" s="765"/>
      <c r="J22" s="798"/>
      <c r="K22" s="766"/>
    </row>
    <row r="23" spans="1:11" ht="13.5" thickBot="1" x14ac:dyDescent="0.25">
      <c r="A23" s="2251" t="s">
        <v>962</v>
      </c>
      <c r="B23" s="2250"/>
      <c r="C23" s="2250"/>
      <c r="D23" s="2250"/>
      <c r="E23" s="2250"/>
      <c r="F23" s="1783"/>
      <c r="G23" s="1780">
        <f>SUM(G14:G16,G21,G22)</f>
        <v>0</v>
      </c>
      <c r="H23" s="1780">
        <f>SUM(H14:H16,H21,H22)</f>
        <v>42683</v>
      </c>
      <c r="I23" s="1780">
        <f>SUM(I14:I16,I21,I22)</f>
        <v>0</v>
      </c>
      <c r="J23" s="1780">
        <f>SUM(J14:J16,J21,J22)</f>
        <v>0</v>
      </c>
      <c r="K23" s="1780">
        <f>SUM(K14:K16,K21,K22)</f>
        <v>0</v>
      </c>
    </row>
    <row r="24" spans="1:11" ht="14.25" thickTop="1" thickBot="1" x14ac:dyDescent="0.25">
      <c r="A24" s="2251" t="s">
        <v>2024</v>
      </c>
      <c r="B24" s="2250"/>
      <c r="C24" s="2250"/>
      <c r="D24" s="2250"/>
      <c r="E24" s="2250"/>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31"/>
      <c r="C41" s="2231"/>
      <c r="D41" s="2231"/>
      <c r="E41" s="2231"/>
      <c r="F41" s="22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42" sqref="D42:H4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2033</v>
      </c>
      <c r="B1" s="2270"/>
      <c r="C1" s="2271"/>
      <c r="D1" s="827"/>
      <c r="E1" s="828"/>
      <c r="F1" s="828"/>
      <c r="G1" s="829"/>
      <c r="H1" s="830"/>
      <c r="I1" s="831"/>
      <c r="J1" s="2267"/>
      <c r="K1" s="2268"/>
      <c r="L1" s="2268"/>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474102</v>
      </c>
      <c r="D5" s="842"/>
      <c r="E5" s="842"/>
      <c r="F5" s="1782">
        <f>(C5+D5)-E5</f>
        <v>474102</v>
      </c>
      <c r="G5" s="838"/>
      <c r="H5" s="843"/>
      <c r="I5" s="843"/>
      <c r="J5" s="843"/>
      <c r="K5" s="794"/>
      <c r="L5" s="1791">
        <f>F5-K5</f>
        <v>474102</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9070063</v>
      </c>
      <c r="D8" s="845"/>
      <c r="E8" s="845"/>
      <c r="F8" s="1782">
        <f>(C8+D8)-E8</f>
        <v>9070063</v>
      </c>
      <c r="G8" s="844">
        <v>50</v>
      </c>
      <c r="H8" s="766">
        <v>4207653</v>
      </c>
      <c r="I8" s="766">
        <v>181401</v>
      </c>
      <c r="J8" s="766"/>
      <c r="K8" s="1791">
        <f>(H8+I8)-J8</f>
        <v>4389054</v>
      </c>
      <c r="L8" s="1791">
        <f>F8-K8</f>
        <v>4681009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8093514</v>
      </c>
      <c r="D10" s="847"/>
      <c r="E10" s="847"/>
      <c r="F10" s="1786">
        <f>(C10+D10)-E10</f>
        <v>8093514</v>
      </c>
      <c r="G10" s="844">
        <v>20</v>
      </c>
      <c r="H10" s="848">
        <v>1500666</v>
      </c>
      <c r="I10" s="848">
        <f>362845-181401</f>
        <v>181444</v>
      </c>
      <c r="J10" s="848"/>
      <c r="K10" s="1791">
        <f>(H10+I10)-J10</f>
        <v>1682110</v>
      </c>
      <c r="L10" s="1791">
        <f>F10-K10</f>
        <v>6411404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809074</v>
      </c>
      <c r="D12" s="845"/>
      <c r="E12" s="845"/>
      <c r="F12" s="1782">
        <f>(C12+D12)-E12</f>
        <v>809074</v>
      </c>
      <c r="G12" s="844">
        <v>10</v>
      </c>
      <c r="H12" s="766">
        <v>802204</v>
      </c>
      <c r="I12" s="766">
        <v>6870</v>
      </c>
      <c r="J12" s="766"/>
      <c r="K12" s="1791">
        <f>(H12+I12)-J12</f>
        <v>809074</v>
      </c>
      <c r="L12" s="1791">
        <f>F12-K12</f>
        <v>0</v>
      </c>
    </row>
    <row r="13" spans="1:14" ht="14.25" thickTop="1" thickBot="1" x14ac:dyDescent="0.25">
      <c r="A13" s="849" t="s">
        <v>1184</v>
      </c>
      <c r="B13" s="841">
        <v>252</v>
      </c>
      <c r="C13" s="845">
        <v>1384526</v>
      </c>
      <c r="D13" s="845"/>
      <c r="E13" s="845"/>
      <c r="F13" s="1782">
        <f>(C13+D13)-E13</f>
        <v>1384526</v>
      </c>
      <c r="G13" s="844">
        <v>5</v>
      </c>
      <c r="H13" s="766">
        <v>1255503</v>
      </c>
      <c r="I13" s="766">
        <f>35676+20962+1</f>
        <v>56639</v>
      </c>
      <c r="J13" s="766"/>
      <c r="K13" s="1791">
        <f>(H13+I13)-J13</f>
        <v>1312142</v>
      </c>
      <c r="L13" s="1791">
        <f>F13-K13</f>
        <v>72384</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19831279</v>
      </c>
      <c r="D16" s="1782">
        <f>SUM(D3,D5:D6,D8:D10,D12:D15)</f>
        <v>0</v>
      </c>
      <c r="E16" s="1782">
        <f>SUM(E3,E5:E6,E8:E10,E12:E15)</f>
        <v>0</v>
      </c>
      <c r="F16" s="1782">
        <f>SUM(F3,F5:F6,F8:F10,F12:F15)</f>
        <v>19831279</v>
      </c>
      <c r="G16" s="844"/>
      <c r="H16" s="1782">
        <f>SUM(H3,H6,H8:H10,H12:H14,)</f>
        <v>7766026</v>
      </c>
      <c r="I16" s="1782">
        <f>SUM(I3,I6,I8:I10,I12:I14,)</f>
        <v>426354</v>
      </c>
      <c r="J16" s="1782">
        <f>SUM(J3,J6,J8:J10,J12:J14,)</f>
        <v>0</v>
      </c>
      <c r="K16" s="1782">
        <f>(H16+I16)-J16</f>
        <v>8192380</v>
      </c>
      <c r="L16" s="1782">
        <f>F16-K16</f>
        <v>11638899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426354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0" activePane="bottomLeft" state="frozen"/>
      <selection activeCell="D42" sqref="D42:H42"/>
      <selection pane="bottomLeft" activeCell="D42" sqref="D42:H42"/>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6017552</v>
      </c>
      <c r="G8" s="866"/>
    </row>
    <row r="9" spans="1:7" x14ac:dyDescent="0.2">
      <c r="A9" s="870" t="s">
        <v>480</v>
      </c>
      <c r="B9" s="871" t="s">
        <v>1988</v>
      </c>
      <c r="C9" s="872"/>
      <c r="D9" s="870" t="s">
        <v>522</v>
      </c>
      <c r="E9" s="869"/>
      <c r="F9" s="1935">
        <f>'Expenditures 15-22'!K151</f>
        <v>632155</v>
      </c>
      <c r="G9" s="873"/>
    </row>
    <row r="10" spans="1:7" x14ac:dyDescent="0.2">
      <c r="A10" s="870" t="s">
        <v>520</v>
      </c>
      <c r="B10" s="871" t="s">
        <v>1989</v>
      </c>
      <c r="C10" s="872"/>
      <c r="D10" s="870" t="s">
        <v>522</v>
      </c>
      <c r="E10" s="869"/>
      <c r="F10" s="1935">
        <f>'Expenditures 15-22'!K174</f>
        <v>1078169</v>
      </c>
      <c r="G10" s="873"/>
    </row>
    <row r="11" spans="1:7" x14ac:dyDescent="0.2">
      <c r="A11" s="870" t="s">
        <v>481</v>
      </c>
      <c r="B11" s="871" t="s">
        <v>1990</v>
      </c>
      <c r="C11" s="872"/>
      <c r="D11" s="870" t="s">
        <v>522</v>
      </c>
      <c r="E11" s="869"/>
      <c r="F11" s="1935">
        <f>'Expenditures 15-22'!K210</f>
        <v>197490</v>
      </c>
      <c r="G11" s="873"/>
    </row>
    <row r="12" spans="1:7" x14ac:dyDescent="0.2">
      <c r="A12" s="870" t="s">
        <v>482</v>
      </c>
      <c r="B12" s="871" t="s">
        <v>1991</v>
      </c>
      <c r="C12" s="872"/>
      <c r="D12" s="870" t="s">
        <v>522</v>
      </c>
      <c r="E12" s="869"/>
      <c r="F12" s="1935">
        <f>'Expenditures 15-22'!K295</f>
        <v>266035</v>
      </c>
      <c r="G12" s="873"/>
    </row>
    <row r="13" spans="1:7" x14ac:dyDescent="0.2">
      <c r="A13" s="870" t="s">
        <v>108</v>
      </c>
      <c r="B13" s="871" t="s">
        <v>1992</v>
      </c>
      <c r="C13" s="872"/>
      <c r="D13" s="870" t="s">
        <v>522</v>
      </c>
      <c r="E13" s="869"/>
      <c r="F13" s="1935">
        <f>'Expenditures 15-22'!K342</f>
        <v>654846</v>
      </c>
      <c r="G13" s="874"/>
    </row>
    <row r="14" spans="1:7" ht="12" customHeight="1" thickBot="1" x14ac:dyDescent="0.25">
      <c r="A14" s="1792"/>
      <c r="B14" s="1793"/>
      <c r="C14" s="1794"/>
      <c r="D14" s="1795" t="s">
        <v>522</v>
      </c>
      <c r="E14" s="1796" t="s">
        <v>1015</v>
      </c>
      <c r="F14" s="1797">
        <f>SUM(F8:F13)</f>
        <v>8846247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250462</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121162</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825000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1196624</v>
      </c>
      <c r="G76" s="866"/>
    </row>
    <row r="77" spans="1:8" s="894" customFormat="1" ht="12" customHeight="1" thickTop="1" thickBot="1" x14ac:dyDescent="0.25">
      <c r="A77" s="1801"/>
      <c r="B77" s="1798"/>
      <c r="C77" s="1794"/>
      <c r="D77" s="1799" t="s">
        <v>2011</v>
      </c>
      <c r="E77" s="1796"/>
      <c r="F77" s="1802">
        <f>(F14-F76)</f>
        <v>7649623</v>
      </c>
      <c r="G77" s="870"/>
    </row>
    <row r="78" spans="1:8" s="894" customFormat="1" ht="12" customHeight="1" thickTop="1" x14ac:dyDescent="0.2">
      <c r="A78" s="1803"/>
      <c r="B78" s="1798"/>
      <c r="C78" s="1794"/>
      <c r="D78" s="1799" t="s">
        <v>2057</v>
      </c>
      <c r="E78" s="1796"/>
      <c r="F78" s="899">
        <v>742.51099999999997</v>
      </c>
      <c r="G78" s="900"/>
      <c r="H78" s="870"/>
    </row>
    <row r="79" spans="1:8" s="894" customFormat="1" ht="12" customHeight="1" thickBot="1" x14ac:dyDescent="0.25">
      <c r="A79" s="1804"/>
      <c r="B79" s="1798"/>
      <c r="C79" s="1794"/>
      <c r="D79" s="1799" t="s">
        <v>2012</v>
      </c>
      <c r="E79" s="1796" t="s">
        <v>1015</v>
      </c>
      <c r="F79" s="1805">
        <f>IF(F78&gt;0,F77/F78," Complete Line 78")</f>
        <v>10302.369931219875</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4868</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164824</v>
      </c>
      <c r="G94" s="913"/>
    </row>
    <row r="95" spans="1:7" x14ac:dyDescent="0.2">
      <c r="A95" s="909" t="s">
        <v>142</v>
      </c>
      <c r="B95" s="909" t="s">
        <v>177</v>
      </c>
      <c r="C95" s="911">
        <v>1700</v>
      </c>
      <c r="D95" s="919" t="str">
        <f>'Revenues 9-14'!A82</f>
        <v>Total District/School Activity Income</v>
      </c>
      <c r="E95" s="907"/>
      <c r="F95" s="1811">
        <f>SUM('Revenues 9-14'!C82,'Revenues 9-14'!D82)</f>
        <v>11192</v>
      </c>
      <c r="G95" s="913"/>
    </row>
    <row r="96" spans="1:7" x14ac:dyDescent="0.2">
      <c r="A96" s="909" t="s">
        <v>479</v>
      </c>
      <c r="B96" s="909" t="s">
        <v>178</v>
      </c>
      <c r="C96" s="911">
        <f>'Revenues 9-14'!B84</f>
        <v>1811</v>
      </c>
      <c r="D96" s="912" t="str">
        <f>'Revenues 9-14'!A84</f>
        <v>Rentals - Regular Textbooks</v>
      </c>
      <c r="E96" s="907"/>
      <c r="F96" s="1811">
        <f>'Revenues 9-14'!C84</f>
        <v>58402</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19358</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163928</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838</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351376</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86012</v>
      </c>
      <c r="G129" s="931"/>
    </row>
    <row r="130" spans="1:7" x14ac:dyDescent="0.2">
      <c r="A130" s="928" t="s">
        <v>689</v>
      </c>
      <c r="B130" s="928" t="s">
        <v>804</v>
      </c>
      <c r="C130" s="933">
        <v>4300</v>
      </c>
      <c r="D130" s="934" t="str">
        <f>'Revenues 9-14'!A211</f>
        <v>Total Title I</v>
      </c>
      <c r="E130" s="907"/>
      <c r="F130" s="1811">
        <f>SUM('Revenues 9-14'!C211,'Revenues 9-14'!D211,'Revenues 9-14'!F211,'Revenues 9-14'!G211)</f>
        <v>86355</v>
      </c>
      <c r="G130" s="931"/>
    </row>
    <row r="131" spans="1:7" x14ac:dyDescent="0.2">
      <c r="A131" s="928" t="s">
        <v>689</v>
      </c>
      <c r="B131" s="928" t="s">
        <v>805</v>
      </c>
      <c r="C131" s="933">
        <v>4400</v>
      </c>
      <c r="D131" s="934" t="str">
        <f>'Revenues 9-14'!A216</f>
        <v>Total Title IV</v>
      </c>
      <c r="E131" s="907"/>
      <c r="F131" s="1811">
        <f>SUM('Revenues 9-14'!C216,'Revenues 9-14'!D216,'Revenues 9-14'!F216,'Revenues 9-14'!G216)</f>
        <v>4773</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16017</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37464</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1006157</v>
      </c>
    </row>
    <row r="179" spans="1:7" ht="12" customHeight="1" x14ac:dyDescent="0.2">
      <c r="A179" s="1792"/>
      <c r="B179" s="1806"/>
      <c r="C179" s="1807"/>
      <c r="D179" s="1808" t="s">
        <v>2014</v>
      </c>
      <c r="E179" s="1809"/>
      <c r="F179" s="1811">
        <f>'PCTC-OEPP 27-28'!F77-F178</f>
        <v>6643466</v>
      </c>
    </row>
    <row r="180" spans="1:7" ht="12" customHeight="1" x14ac:dyDescent="0.2">
      <c r="A180" s="1792"/>
      <c r="B180" s="1806"/>
      <c r="C180" s="1807"/>
      <c r="D180" s="1808" t="s">
        <v>1924</v>
      </c>
      <c r="E180" s="1809"/>
      <c r="F180" s="1811">
        <f>'Cap Outlay Deprec 26'!I18</f>
        <v>426354</v>
      </c>
    </row>
    <row r="181" spans="1:7" ht="12" customHeight="1" x14ac:dyDescent="0.2">
      <c r="A181" s="1792"/>
      <c r="B181" s="1806"/>
      <c r="C181" s="1807"/>
      <c r="D181" s="1808" t="s">
        <v>2015</v>
      </c>
      <c r="E181" s="1809"/>
      <c r="F181" s="1811">
        <f>F179+F180</f>
        <v>7069820</v>
      </c>
    </row>
    <row r="182" spans="1:7" ht="12" customHeight="1" x14ac:dyDescent="0.2">
      <c r="A182" s="1792"/>
      <c r="B182" s="1812"/>
      <c r="C182" s="1807"/>
      <c r="D182" s="1808" t="str">
        <f>D78</f>
        <v>9 Month ADA from District Average Daily Attendance/Prior General State Aid Inquiry 2017-2018</v>
      </c>
      <c r="E182" s="1809"/>
      <c r="F182" s="1813">
        <f>'PCTC-OEPP 27-28'!F78</f>
        <v>742.51099999999997</v>
      </c>
      <c r="G182" s="931"/>
    </row>
    <row r="183" spans="1:7" ht="12" customHeight="1" thickBot="1" x14ac:dyDescent="0.25">
      <c r="A183" s="1792"/>
      <c r="B183" s="1812"/>
      <c r="C183" s="1807"/>
      <c r="D183" s="1808" t="s">
        <v>2016</v>
      </c>
      <c r="E183" s="1809" t="s">
        <v>1626</v>
      </c>
      <c r="F183" s="1814">
        <f>F181/F182</f>
        <v>9521.5020383536412</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7" zoomScaleNormal="100" workbookViewId="0">
      <selection activeCell="B19" sqref="B19"/>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2073</v>
      </c>
      <c r="B7" s="2293"/>
      <c r="C7" s="2293"/>
      <c r="D7" s="2293"/>
      <c r="E7" s="2293"/>
      <c r="F7" s="2293"/>
      <c r="G7" s="2294"/>
    </row>
    <row r="8" spans="1:7" ht="15.75" customHeight="1" x14ac:dyDescent="0.25">
      <c r="A8" s="2295" t="s">
        <v>2022</v>
      </c>
      <c r="B8" s="2296"/>
      <c r="C8" s="2296"/>
      <c r="D8" s="2296"/>
      <c r="E8" s="2296"/>
      <c r="F8" s="2296"/>
      <c r="G8" s="2297"/>
    </row>
    <row r="9" spans="1:7" ht="35.25" customHeight="1" x14ac:dyDescent="0.25">
      <c r="A9" s="2292" t="s">
        <v>2076</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2075</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2503" t="s">
        <v>2107</v>
      </c>
      <c r="C17" s="1678" t="s">
        <v>2100</v>
      </c>
      <c r="D17" s="1867">
        <v>17476</v>
      </c>
      <c r="E17" s="1562">
        <f>IF(D17&lt;=25000,D17,IF(D17&gt;25000,25000,0))</f>
        <v>17476</v>
      </c>
      <c r="F17" s="1815">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17476</v>
      </c>
      <c r="G17" s="1816">
        <f>IF(F17=0,0,D17-F17)</f>
        <v>0</v>
      </c>
      <c r="H17" s="1669"/>
    </row>
    <row r="18" spans="1:8" x14ac:dyDescent="0.25">
      <c r="A18" s="1675"/>
      <c r="B18" s="2503" t="s">
        <v>2108</v>
      </c>
      <c r="C18" s="1678" t="s">
        <v>2101</v>
      </c>
      <c r="D18" s="1867">
        <v>199609</v>
      </c>
      <c r="E18" s="1562">
        <f t="shared" ref="E18:E140" si="1">IF(D18&lt;=25000,D18,IF(D18&gt;25000,25000,0))</f>
        <v>25000</v>
      </c>
      <c r="F18" s="1815">
        <f t="shared" ref="F18:F140" si="2">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3">IF(F18=0,0,D18-F18)</f>
        <v>174609</v>
      </c>
    </row>
    <row r="19" spans="1:8" x14ac:dyDescent="0.25">
      <c r="A19" s="1675"/>
      <c r="B19" s="1869" t="s">
        <v>2102</v>
      </c>
      <c r="C19" s="1678" t="s">
        <v>2103</v>
      </c>
      <c r="D19" s="1867">
        <v>191294</v>
      </c>
      <c r="E19" s="1562">
        <f t="shared" si="1"/>
        <v>25000</v>
      </c>
      <c r="F19" s="1815">
        <f t="shared" si="2"/>
        <v>0</v>
      </c>
      <c r="G19" s="1816">
        <f t="shared" si="3"/>
        <v>0</v>
      </c>
    </row>
    <row r="20" spans="1:8" x14ac:dyDescent="0.25">
      <c r="A20" s="1675"/>
      <c r="B20" s="1868" t="s">
        <v>2104</v>
      </c>
      <c r="C20" s="1678" t="s">
        <v>2105</v>
      </c>
      <c r="D20" s="1867">
        <v>15330</v>
      </c>
      <c r="E20" s="1562">
        <f t="shared" si="1"/>
        <v>15330</v>
      </c>
      <c r="F20" s="1815">
        <f t="shared" si="2"/>
        <v>0</v>
      </c>
      <c r="G20" s="1816">
        <f t="shared" si="3"/>
        <v>0</v>
      </c>
    </row>
    <row r="21" spans="1:8" x14ac:dyDescent="0.25">
      <c r="A21" s="1675"/>
      <c r="B21" s="1868"/>
      <c r="C21" s="1678"/>
      <c r="D21" s="1867"/>
      <c r="E21" s="1562">
        <f t="shared" si="1"/>
        <v>0</v>
      </c>
      <c r="F21" s="1815">
        <f t="shared" si="2"/>
        <v>0</v>
      </c>
      <c r="G21" s="1816">
        <f t="shared" si="3"/>
        <v>0</v>
      </c>
    </row>
    <row r="22" spans="1:8" x14ac:dyDescent="0.25">
      <c r="A22" s="1675"/>
      <c r="B22" s="1868"/>
      <c r="C22" s="1678"/>
      <c r="D22" s="1867"/>
      <c r="E22" s="1562">
        <f t="shared" si="1"/>
        <v>0</v>
      </c>
      <c r="F22" s="1815">
        <f t="shared" si="2"/>
        <v>0</v>
      </c>
      <c r="G22" s="1816">
        <f t="shared" si="3"/>
        <v>0</v>
      </c>
    </row>
    <row r="23" spans="1:8" x14ac:dyDescent="0.25">
      <c r="A23" s="1675"/>
      <c r="B23" s="1868"/>
      <c r="C23" s="1678"/>
      <c r="D23" s="1867"/>
      <c r="E23" s="1562">
        <f t="shared" si="1"/>
        <v>0</v>
      </c>
      <c r="F23" s="1815">
        <f t="shared" si="2"/>
        <v>0</v>
      </c>
      <c r="G23" s="1816">
        <f t="shared" si="3"/>
        <v>0</v>
      </c>
    </row>
    <row r="24" spans="1:8" x14ac:dyDescent="0.25">
      <c r="A24" s="1675"/>
      <c r="B24" s="1869"/>
      <c r="C24" s="1678"/>
      <c r="D24" s="1867"/>
      <c r="E24" s="1562">
        <f t="shared" si="1"/>
        <v>0</v>
      </c>
      <c r="F24" s="1815">
        <f t="shared" si="2"/>
        <v>0</v>
      </c>
      <c r="G24" s="1816">
        <f t="shared" si="3"/>
        <v>0</v>
      </c>
    </row>
    <row r="25" spans="1:8" x14ac:dyDescent="0.25">
      <c r="A25" s="1675"/>
      <c r="B25" s="1868"/>
      <c r="C25" s="1678"/>
      <c r="D25" s="1867"/>
      <c r="E25" s="1562">
        <f t="shared" si="1"/>
        <v>0</v>
      </c>
      <c r="F25" s="1815">
        <f t="shared" si="2"/>
        <v>0</v>
      </c>
      <c r="G25" s="1816">
        <f t="shared" si="3"/>
        <v>0</v>
      </c>
    </row>
    <row r="26" spans="1:8" x14ac:dyDescent="0.25">
      <c r="A26" s="1675"/>
      <c r="B26" s="1869"/>
      <c r="C26" s="1676"/>
      <c r="D26" s="1867"/>
      <c r="E26" s="1562">
        <f t="shared" si="1"/>
        <v>0</v>
      </c>
      <c r="F26" s="1815">
        <f t="shared" si="2"/>
        <v>0</v>
      </c>
      <c r="G26" s="1816">
        <f t="shared" si="3"/>
        <v>0</v>
      </c>
    </row>
    <row r="27" spans="1:8" x14ac:dyDescent="0.25">
      <c r="A27" s="1675"/>
      <c r="B27" s="1869"/>
      <c r="C27" s="1676"/>
      <c r="D27" s="1867"/>
      <c r="E27" s="1562">
        <f t="shared" si="1"/>
        <v>0</v>
      </c>
      <c r="F27" s="1815">
        <f t="shared" si="2"/>
        <v>0</v>
      </c>
      <c r="G27" s="1816">
        <f t="shared" si="3"/>
        <v>0</v>
      </c>
    </row>
    <row r="28" spans="1:8" x14ac:dyDescent="0.25">
      <c r="A28" s="1675"/>
      <c r="B28" s="1869"/>
      <c r="C28" s="1676"/>
      <c r="D28" s="1867"/>
      <c r="E28" s="1562">
        <f t="shared" si="1"/>
        <v>0</v>
      </c>
      <c r="F28" s="1815">
        <f t="shared" si="2"/>
        <v>0</v>
      </c>
      <c r="G28" s="1816">
        <f t="shared" si="3"/>
        <v>0</v>
      </c>
    </row>
    <row r="29" spans="1:8" x14ac:dyDescent="0.25">
      <c r="A29" s="1675"/>
      <c r="B29" s="1869"/>
      <c r="C29" s="1676"/>
      <c r="D29" s="1867"/>
      <c r="E29" s="1562">
        <f t="shared" si="1"/>
        <v>0</v>
      </c>
      <c r="F29" s="1815">
        <f t="shared" si="2"/>
        <v>0</v>
      </c>
      <c r="G29" s="1816">
        <f t="shared" si="3"/>
        <v>0</v>
      </c>
    </row>
    <row r="30" spans="1:8" x14ac:dyDescent="0.25">
      <c r="A30" s="1675"/>
      <c r="B30" s="1869"/>
      <c r="C30" s="1676"/>
      <c r="D30" s="1867"/>
      <c r="E30" s="1562">
        <f t="shared" si="1"/>
        <v>0</v>
      </c>
      <c r="F30" s="1815">
        <f t="shared" si="2"/>
        <v>0</v>
      </c>
      <c r="G30" s="1816">
        <f t="shared" si="3"/>
        <v>0</v>
      </c>
    </row>
    <row r="31" spans="1:8" x14ac:dyDescent="0.25">
      <c r="A31" s="1675"/>
      <c r="B31" s="1869"/>
      <c r="C31" s="1676"/>
      <c r="D31" s="1867"/>
      <c r="E31" s="1562">
        <f t="shared" si="1"/>
        <v>0</v>
      </c>
      <c r="F31" s="1815">
        <f t="shared" si="2"/>
        <v>0</v>
      </c>
      <c r="G31" s="1816">
        <f t="shared" si="3"/>
        <v>0</v>
      </c>
    </row>
    <row r="32" spans="1:8" x14ac:dyDescent="0.25">
      <c r="A32" s="1675"/>
      <c r="B32" s="1869"/>
      <c r="C32" s="1676"/>
      <c r="D32" s="1867"/>
      <c r="E32" s="1562">
        <f t="shared" si="1"/>
        <v>0</v>
      </c>
      <c r="F32" s="1815">
        <f t="shared" si="2"/>
        <v>0</v>
      </c>
      <c r="G32" s="1816">
        <f t="shared" si="3"/>
        <v>0</v>
      </c>
    </row>
    <row r="33" spans="1:7" x14ac:dyDescent="0.25">
      <c r="A33" s="1675"/>
      <c r="B33" s="1869"/>
      <c r="C33" s="1676"/>
      <c r="D33" s="1867"/>
      <c r="E33" s="1562">
        <f t="shared" si="1"/>
        <v>0</v>
      </c>
      <c r="F33" s="1815">
        <f t="shared" si="2"/>
        <v>0</v>
      </c>
      <c r="G33" s="1816">
        <f t="shared" si="3"/>
        <v>0</v>
      </c>
    </row>
    <row r="34" spans="1:7" x14ac:dyDescent="0.25">
      <c r="A34" s="1675"/>
      <c r="B34" s="1869"/>
      <c r="C34" s="1676"/>
      <c r="D34" s="1867"/>
      <c r="E34" s="1562">
        <f t="shared" si="1"/>
        <v>0</v>
      </c>
      <c r="F34" s="1815">
        <f t="shared" si="2"/>
        <v>0</v>
      </c>
      <c r="G34" s="1816">
        <f t="shared" si="3"/>
        <v>0</v>
      </c>
    </row>
    <row r="35" spans="1:7" x14ac:dyDescent="0.25">
      <c r="A35" s="1675"/>
      <c r="B35" s="1869"/>
      <c r="C35" s="1676"/>
      <c r="D35" s="1867"/>
      <c r="E35" s="1562">
        <f t="shared" si="1"/>
        <v>0</v>
      </c>
      <c r="F35" s="1815">
        <f t="shared" si="2"/>
        <v>0</v>
      </c>
      <c r="G35" s="1816">
        <f t="shared" si="3"/>
        <v>0</v>
      </c>
    </row>
    <row r="36" spans="1:7" x14ac:dyDescent="0.25">
      <c r="A36" s="1675"/>
      <c r="B36" s="1869"/>
      <c r="C36" s="1676"/>
      <c r="D36" s="1867"/>
      <c r="E36" s="1562">
        <f t="shared" si="1"/>
        <v>0</v>
      </c>
      <c r="F36" s="1815">
        <f t="shared" si="2"/>
        <v>0</v>
      </c>
      <c r="G36" s="1816">
        <f t="shared" si="3"/>
        <v>0</v>
      </c>
    </row>
    <row r="37" spans="1:7" x14ac:dyDescent="0.25">
      <c r="A37" s="1675"/>
      <c r="B37" s="1869"/>
      <c r="C37" s="1676"/>
      <c r="D37" s="1867"/>
      <c r="E37" s="1562">
        <f t="shared" si="1"/>
        <v>0</v>
      </c>
      <c r="F37" s="1815">
        <f t="shared" si="2"/>
        <v>0</v>
      </c>
      <c r="G37" s="1816">
        <f t="shared" si="3"/>
        <v>0</v>
      </c>
    </row>
    <row r="38" spans="1:7" x14ac:dyDescent="0.25">
      <c r="A38" s="1675"/>
      <c r="B38" s="1689"/>
      <c r="C38" s="1676"/>
      <c r="D38" s="1867"/>
      <c r="E38" s="1562">
        <f t="shared" si="1"/>
        <v>0</v>
      </c>
      <c r="F38" s="1815">
        <f t="shared" si="2"/>
        <v>0</v>
      </c>
      <c r="G38" s="1816">
        <f t="shared" si="3"/>
        <v>0</v>
      </c>
    </row>
    <row r="39" spans="1:7" x14ac:dyDescent="0.25">
      <c r="A39" s="1675"/>
      <c r="B39" s="1689"/>
      <c r="C39" s="1676"/>
      <c r="D39" s="1867"/>
      <c r="E39" s="1562">
        <f t="shared" si="1"/>
        <v>0</v>
      </c>
      <c r="F39" s="1815">
        <f t="shared" si="2"/>
        <v>0</v>
      </c>
      <c r="G39" s="1816">
        <f t="shared" si="3"/>
        <v>0</v>
      </c>
    </row>
    <row r="40" spans="1:7" x14ac:dyDescent="0.25">
      <c r="A40" s="1675"/>
      <c r="B40" s="1689"/>
      <c r="C40" s="1676"/>
      <c r="D40" s="1867"/>
      <c r="E40" s="1562">
        <f t="shared" si="1"/>
        <v>0</v>
      </c>
      <c r="F40" s="1815">
        <f t="shared" si="2"/>
        <v>0</v>
      </c>
      <c r="G40" s="1816">
        <f t="shared" si="3"/>
        <v>0</v>
      </c>
    </row>
    <row r="41" spans="1:7" x14ac:dyDescent="0.25">
      <c r="A41" s="1675"/>
      <c r="B41" s="1689"/>
      <c r="C41" s="1676"/>
      <c r="D41" s="1867"/>
      <c r="E41" s="1562">
        <f t="shared" si="1"/>
        <v>0</v>
      </c>
      <c r="F41" s="1815">
        <f t="shared" si="2"/>
        <v>0</v>
      </c>
      <c r="G41" s="1816">
        <f t="shared" si="3"/>
        <v>0</v>
      </c>
    </row>
    <row r="42" spans="1:7" x14ac:dyDescent="0.25">
      <c r="A42" s="1675"/>
      <c r="B42" s="1689"/>
      <c r="C42" s="1676"/>
      <c r="D42" s="1867"/>
      <c r="E42" s="1562">
        <f t="shared" si="1"/>
        <v>0</v>
      </c>
      <c r="F42" s="1815">
        <f t="shared" si="2"/>
        <v>0</v>
      </c>
      <c r="G42" s="1816">
        <f t="shared" si="3"/>
        <v>0</v>
      </c>
    </row>
    <row r="43" spans="1:7" x14ac:dyDescent="0.25">
      <c r="A43" s="1675"/>
      <c r="B43" s="1689"/>
      <c r="C43" s="1676"/>
      <c r="D43" s="1867"/>
      <c r="E43" s="1562">
        <f t="shared" si="1"/>
        <v>0</v>
      </c>
      <c r="F43" s="1815">
        <f t="shared" si="2"/>
        <v>0</v>
      </c>
      <c r="G43" s="1816">
        <f t="shared" si="3"/>
        <v>0</v>
      </c>
    </row>
    <row r="44" spans="1:7" x14ac:dyDescent="0.25">
      <c r="A44" s="1675"/>
      <c r="B44" s="1689"/>
      <c r="C44" s="1676"/>
      <c r="D44" s="1867"/>
      <c r="E44" s="1562">
        <f t="shared" si="1"/>
        <v>0</v>
      </c>
      <c r="F44" s="1815">
        <f t="shared" si="2"/>
        <v>0</v>
      </c>
      <c r="G44" s="1816">
        <f t="shared" si="3"/>
        <v>0</v>
      </c>
    </row>
    <row r="45" spans="1:7" x14ac:dyDescent="0.25">
      <c r="A45" s="1675"/>
      <c r="B45" s="1689"/>
      <c r="C45" s="1676"/>
      <c r="D45" s="1867"/>
      <c r="E45" s="1562">
        <f t="shared" si="1"/>
        <v>0</v>
      </c>
      <c r="F45" s="1815">
        <f t="shared" si="2"/>
        <v>0</v>
      </c>
      <c r="G45" s="1816">
        <f t="shared" si="3"/>
        <v>0</v>
      </c>
    </row>
    <row r="46" spans="1:7" x14ac:dyDescent="0.25">
      <c r="A46" s="1675"/>
      <c r="B46" s="1689"/>
      <c r="C46" s="1676"/>
      <c r="D46" s="1867"/>
      <c r="E46" s="1562">
        <f t="shared" si="1"/>
        <v>0</v>
      </c>
      <c r="F46" s="1815">
        <f t="shared" si="2"/>
        <v>0</v>
      </c>
      <c r="G46" s="1816">
        <f t="shared" si="3"/>
        <v>0</v>
      </c>
    </row>
    <row r="47" spans="1:7" x14ac:dyDescent="0.25">
      <c r="A47" s="1675"/>
      <c r="B47" s="1689"/>
      <c r="C47" s="1676"/>
      <c r="D47" s="1867"/>
      <c r="E47" s="1562">
        <f t="shared" si="1"/>
        <v>0</v>
      </c>
      <c r="F47" s="1815">
        <f t="shared" si="2"/>
        <v>0</v>
      </c>
      <c r="G47" s="1816">
        <f t="shared" si="3"/>
        <v>0</v>
      </c>
    </row>
    <row r="48" spans="1:7" x14ac:dyDescent="0.25">
      <c r="A48" s="1675"/>
      <c r="B48" s="1689"/>
      <c r="C48" s="1676"/>
      <c r="D48" s="1867"/>
      <c r="E48" s="1562">
        <f t="shared" si="1"/>
        <v>0</v>
      </c>
      <c r="F48" s="1815">
        <f t="shared" si="2"/>
        <v>0</v>
      </c>
      <c r="G48" s="1816">
        <f t="shared" si="3"/>
        <v>0</v>
      </c>
    </row>
    <row r="49" spans="1:7" x14ac:dyDescent="0.25">
      <c r="A49" s="1675"/>
      <c r="B49" s="1689"/>
      <c r="C49" s="1676"/>
      <c r="D49" s="1867"/>
      <c r="E49" s="1562">
        <f t="shared" si="1"/>
        <v>0</v>
      </c>
      <c r="F49" s="1815">
        <f t="shared" si="2"/>
        <v>0</v>
      </c>
      <c r="G49" s="1816">
        <f t="shared" si="3"/>
        <v>0</v>
      </c>
    </row>
    <row r="50" spans="1:7" x14ac:dyDescent="0.25">
      <c r="A50" s="1675"/>
      <c r="B50" s="1689"/>
      <c r="C50" s="1676"/>
      <c r="D50" s="1867"/>
      <c r="E50" s="1562">
        <f t="shared" si="1"/>
        <v>0</v>
      </c>
      <c r="F50" s="1815">
        <f t="shared" si="2"/>
        <v>0</v>
      </c>
      <c r="G50" s="1816">
        <f t="shared" si="3"/>
        <v>0</v>
      </c>
    </row>
    <row r="51" spans="1:7" x14ac:dyDescent="0.25">
      <c r="A51" s="1675"/>
      <c r="B51" s="1689"/>
      <c r="C51" s="1676"/>
      <c r="D51" s="1867"/>
      <c r="E51" s="1562">
        <f t="shared" si="1"/>
        <v>0</v>
      </c>
      <c r="F51" s="1815">
        <f t="shared" si="2"/>
        <v>0</v>
      </c>
      <c r="G51" s="1816">
        <f t="shared" si="3"/>
        <v>0</v>
      </c>
    </row>
    <row r="52" spans="1:7" x14ac:dyDescent="0.25">
      <c r="A52" s="1675"/>
      <c r="B52" s="1689"/>
      <c r="C52" s="1676"/>
      <c r="D52" s="1867"/>
      <c r="E52" s="1562">
        <f t="shared" si="1"/>
        <v>0</v>
      </c>
      <c r="F52" s="1815">
        <f t="shared" si="2"/>
        <v>0</v>
      </c>
      <c r="G52" s="1816">
        <f t="shared" si="3"/>
        <v>0</v>
      </c>
    </row>
    <row r="53" spans="1:7" x14ac:dyDescent="0.25">
      <c r="A53" s="1675"/>
      <c r="B53" s="1689"/>
      <c r="C53" s="1676"/>
      <c r="D53" s="1867"/>
      <c r="E53" s="1562">
        <f t="shared" si="1"/>
        <v>0</v>
      </c>
      <c r="F53" s="1815">
        <f t="shared" si="2"/>
        <v>0</v>
      </c>
      <c r="G53" s="1816">
        <f t="shared" si="3"/>
        <v>0</v>
      </c>
    </row>
    <row r="54" spans="1:7" x14ac:dyDescent="0.25">
      <c r="A54" s="1675"/>
      <c r="B54" s="1689"/>
      <c r="C54" s="1676"/>
      <c r="D54" s="1867"/>
      <c r="E54" s="1562">
        <f t="shared" si="1"/>
        <v>0</v>
      </c>
      <c r="F54" s="1815">
        <f t="shared" si="2"/>
        <v>0</v>
      </c>
      <c r="G54" s="1816">
        <f t="shared" si="3"/>
        <v>0</v>
      </c>
    </row>
    <row r="55" spans="1:7" x14ac:dyDescent="0.25">
      <c r="A55" s="1675"/>
      <c r="B55" s="1689"/>
      <c r="C55" s="1676"/>
      <c r="D55" s="1867"/>
      <c r="E55" s="1562">
        <f t="shared" si="1"/>
        <v>0</v>
      </c>
      <c r="F55" s="1815">
        <f t="shared" si="2"/>
        <v>0</v>
      </c>
      <c r="G55" s="1816">
        <f t="shared" si="3"/>
        <v>0</v>
      </c>
    </row>
    <row r="56" spans="1:7" x14ac:dyDescent="0.25">
      <c r="A56" s="1675"/>
      <c r="B56" s="1689"/>
      <c r="C56" s="1676"/>
      <c r="D56" s="1867"/>
      <c r="E56" s="1562">
        <f t="shared" si="1"/>
        <v>0</v>
      </c>
      <c r="F56" s="1815">
        <f t="shared" si="2"/>
        <v>0</v>
      </c>
      <c r="G56" s="1816">
        <f t="shared" si="3"/>
        <v>0</v>
      </c>
    </row>
    <row r="57" spans="1:7" x14ac:dyDescent="0.25">
      <c r="A57" s="1675"/>
      <c r="B57" s="1689"/>
      <c r="C57" s="1676"/>
      <c r="D57" s="1867"/>
      <c r="E57" s="1562">
        <f t="shared" si="1"/>
        <v>0</v>
      </c>
      <c r="F57" s="1815">
        <f t="shared" si="2"/>
        <v>0</v>
      </c>
      <c r="G57" s="1816">
        <f t="shared" si="3"/>
        <v>0</v>
      </c>
    </row>
    <row r="58" spans="1:7" x14ac:dyDescent="0.25">
      <c r="A58" s="1675"/>
      <c r="B58" s="1689"/>
      <c r="C58" s="1676"/>
      <c r="D58" s="1867"/>
      <c r="E58" s="1562">
        <f t="shared" si="1"/>
        <v>0</v>
      </c>
      <c r="F58" s="1815">
        <f t="shared" si="2"/>
        <v>0</v>
      </c>
      <c r="G58" s="1816">
        <f t="shared" si="3"/>
        <v>0</v>
      </c>
    </row>
    <row r="59" spans="1:7" x14ac:dyDescent="0.25">
      <c r="A59" s="1675"/>
      <c r="B59" s="1689"/>
      <c r="C59" s="1676"/>
      <c r="D59" s="1867"/>
      <c r="E59" s="1562">
        <f t="shared" si="1"/>
        <v>0</v>
      </c>
      <c r="F59" s="1815">
        <f t="shared" si="2"/>
        <v>0</v>
      </c>
      <c r="G59" s="1816">
        <f t="shared" si="3"/>
        <v>0</v>
      </c>
    </row>
    <row r="60" spans="1:7" x14ac:dyDescent="0.25">
      <c r="A60" s="1675"/>
      <c r="B60" s="1689"/>
      <c r="C60" s="1676"/>
      <c r="D60" s="1867"/>
      <c r="E60" s="1562">
        <f t="shared" si="1"/>
        <v>0</v>
      </c>
      <c r="F60" s="1815">
        <f t="shared" si="2"/>
        <v>0</v>
      </c>
      <c r="G60" s="1816">
        <f t="shared" si="3"/>
        <v>0</v>
      </c>
    </row>
    <row r="61" spans="1:7" x14ac:dyDescent="0.25">
      <c r="A61" s="1675"/>
      <c r="B61" s="1689"/>
      <c r="C61" s="1676"/>
      <c r="D61" s="1867"/>
      <c r="E61" s="1562">
        <f t="shared" si="1"/>
        <v>0</v>
      </c>
      <c r="F61" s="1815">
        <f t="shared" si="2"/>
        <v>0</v>
      </c>
      <c r="G61" s="1816">
        <f t="shared" si="3"/>
        <v>0</v>
      </c>
    </row>
    <row r="62" spans="1:7" x14ac:dyDescent="0.25">
      <c r="A62" s="1675"/>
      <c r="B62" s="1689"/>
      <c r="C62" s="1676"/>
      <c r="D62" s="1867"/>
      <c r="E62" s="1562">
        <f t="shared" si="1"/>
        <v>0</v>
      </c>
      <c r="F62" s="1815">
        <f t="shared" si="2"/>
        <v>0</v>
      </c>
      <c r="G62" s="1816">
        <f t="shared" si="3"/>
        <v>0</v>
      </c>
    </row>
    <row r="63" spans="1:7" x14ac:dyDescent="0.25">
      <c r="A63" s="1675"/>
      <c r="B63" s="1689"/>
      <c r="C63" s="1676"/>
      <c r="D63" s="1867"/>
      <c r="E63" s="1562">
        <f t="shared" si="1"/>
        <v>0</v>
      </c>
      <c r="F63" s="1815">
        <f t="shared" si="2"/>
        <v>0</v>
      </c>
      <c r="G63" s="1816">
        <f t="shared" si="3"/>
        <v>0</v>
      </c>
    </row>
    <row r="64" spans="1:7" x14ac:dyDescent="0.25">
      <c r="A64" s="1677"/>
      <c r="B64" s="1689"/>
      <c r="C64" s="1678"/>
      <c r="D64" s="1867"/>
      <c r="E64" s="1562">
        <f t="shared" si="1"/>
        <v>0</v>
      </c>
      <c r="F64" s="1815">
        <f t="shared" si="2"/>
        <v>0</v>
      </c>
      <c r="G64" s="1816">
        <f t="shared" si="3"/>
        <v>0</v>
      </c>
    </row>
    <row r="65" spans="1:7" x14ac:dyDescent="0.25">
      <c r="A65" s="1675"/>
      <c r="B65" s="1689"/>
      <c r="C65" s="1676"/>
      <c r="D65" s="1867"/>
      <c r="E65" s="1562">
        <f t="shared" si="1"/>
        <v>0</v>
      </c>
      <c r="F65" s="1815">
        <f t="shared" si="2"/>
        <v>0</v>
      </c>
      <c r="G65" s="1816">
        <f t="shared" si="3"/>
        <v>0</v>
      </c>
    </row>
    <row r="66" spans="1:7" x14ac:dyDescent="0.25">
      <c r="A66" s="1675"/>
      <c r="B66" s="1689"/>
      <c r="C66" s="1676"/>
      <c r="D66" s="1867"/>
      <c r="E66" s="1562">
        <f t="shared" si="1"/>
        <v>0</v>
      </c>
      <c r="F66" s="1815">
        <f t="shared" si="2"/>
        <v>0</v>
      </c>
      <c r="G66" s="1816">
        <f t="shared" si="3"/>
        <v>0</v>
      </c>
    </row>
    <row r="67" spans="1:7" x14ac:dyDescent="0.25">
      <c r="A67" s="1675"/>
      <c r="B67" s="1689"/>
      <c r="C67" s="1676"/>
      <c r="D67" s="1867"/>
      <c r="E67" s="1562">
        <f t="shared" si="1"/>
        <v>0</v>
      </c>
      <c r="F67" s="1815">
        <f t="shared" si="2"/>
        <v>0</v>
      </c>
      <c r="G67" s="1816">
        <f t="shared" si="3"/>
        <v>0</v>
      </c>
    </row>
    <row r="68" spans="1:7" x14ac:dyDescent="0.25">
      <c r="A68" s="1675"/>
      <c r="B68" s="1689"/>
      <c r="C68" s="1676"/>
      <c r="D68" s="1867"/>
      <c r="E68" s="1562">
        <f t="shared" si="1"/>
        <v>0</v>
      </c>
      <c r="F68" s="1815">
        <f t="shared" si="2"/>
        <v>0</v>
      </c>
      <c r="G68" s="1816">
        <f t="shared" si="3"/>
        <v>0</v>
      </c>
    </row>
    <row r="69" spans="1:7" x14ac:dyDescent="0.25">
      <c r="A69" s="1675"/>
      <c r="B69" s="1689"/>
      <c r="C69" s="1676"/>
      <c r="D69" s="1867"/>
      <c r="E69" s="1562">
        <f t="shared" si="1"/>
        <v>0</v>
      </c>
      <c r="F69" s="1815">
        <f t="shared" si="2"/>
        <v>0</v>
      </c>
      <c r="G69" s="1816">
        <f t="shared" si="3"/>
        <v>0</v>
      </c>
    </row>
    <row r="70" spans="1:7" x14ac:dyDescent="0.25">
      <c r="A70" s="1675"/>
      <c r="B70" s="1689"/>
      <c r="C70" s="1676"/>
      <c r="D70" s="1867"/>
      <c r="E70" s="1562">
        <f t="shared" si="1"/>
        <v>0</v>
      </c>
      <c r="F70" s="1815">
        <f t="shared" si="2"/>
        <v>0</v>
      </c>
      <c r="G70" s="1816">
        <f t="shared" si="3"/>
        <v>0</v>
      </c>
    </row>
    <row r="71" spans="1:7" x14ac:dyDescent="0.25">
      <c r="A71" s="1675"/>
      <c r="B71" s="1689"/>
      <c r="C71" s="1676"/>
      <c r="D71" s="1867"/>
      <c r="E71" s="1562">
        <f t="shared" si="1"/>
        <v>0</v>
      </c>
      <c r="F71" s="1815">
        <f t="shared" si="2"/>
        <v>0</v>
      </c>
      <c r="G71" s="1816">
        <f t="shared" si="3"/>
        <v>0</v>
      </c>
    </row>
    <row r="72" spans="1:7" x14ac:dyDescent="0.25">
      <c r="A72" s="1675"/>
      <c r="B72" s="1689"/>
      <c r="C72" s="1676"/>
      <c r="D72" s="1867"/>
      <c r="E72" s="1562">
        <f t="shared" si="1"/>
        <v>0</v>
      </c>
      <c r="F72" s="1815">
        <f t="shared" si="2"/>
        <v>0</v>
      </c>
      <c r="G72" s="1816">
        <f t="shared" si="3"/>
        <v>0</v>
      </c>
    </row>
    <row r="73" spans="1:7" x14ac:dyDescent="0.25">
      <c r="A73" s="1675"/>
      <c r="B73" s="1689"/>
      <c r="C73" s="1676"/>
      <c r="D73" s="1867"/>
      <c r="E73" s="1562">
        <f t="shared" ref="E73:E84" si="4">IF(D73&lt;=25000,D73,IF(D73&gt;25000,25000,0))</f>
        <v>0</v>
      </c>
      <c r="F73" s="1815">
        <f t="shared" ref="F73:F84" si="5">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6">IF(F73=0,0,D73-F73)</f>
        <v>0</v>
      </c>
    </row>
    <row r="74" spans="1:7" x14ac:dyDescent="0.25">
      <c r="A74" s="1675"/>
      <c r="B74" s="1689"/>
      <c r="C74" s="1676"/>
      <c r="D74" s="1867"/>
      <c r="E74" s="1562">
        <f t="shared" si="4"/>
        <v>0</v>
      </c>
      <c r="F74" s="1815">
        <f t="shared" si="5"/>
        <v>0</v>
      </c>
      <c r="G74" s="1816">
        <f t="shared" si="6"/>
        <v>0</v>
      </c>
    </row>
    <row r="75" spans="1:7" x14ac:dyDescent="0.25">
      <c r="A75" s="1675"/>
      <c r="B75" s="1689"/>
      <c r="C75" s="1676"/>
      <c r="D75" s="1867"/>
      <c r="E75" s="1562">
        <f t="shared" si="4"/>
        <v>0</v>
      </c>
      <c r="F75" s="1815">
        <f t="shared" si="5"/>
        <v>0</v>
      </c>
      <c r="G75" s="1816">
        <f t="shared" si="6"/>
        <v>0</v>
      </c>
    </row>
    <row r="76" spans="1:7" x14ac:dyDescent="0.25">
      <c r="A76" s="1675"/>
      <c r="B76" s="1689"/>
      <c r="C76" s="1676"/>
      <c r="D76" s="1867"/>
      <c r="E76" s="1562">
        <f t="shared" si="4"/>
        <v>0</v>
      </c>
      <c r="F76" s="1815">
        <f t="shared" si="5"/>
        <v>0</v>
      </c>
      <c r="G76" s="1816">
        <f t="shared" si="6"/>
        <v>0</v>
      </c>
    </row>
    <row r="77" spans="1:7" x14ac:dyDescent="0.25">
      <c r="A77" s="1675"/>
      <c r="B77" s="1689"/>
      <c r="C77" s="1676"/>
      <c r="D77" s="1867"/>
      <c r="E77" s="1562">
        <f t="shared" si="4"/>
        <v>0</v>
      </c>
      <c r="F77" s="1815">
        <f t="shared" si="5"/>
        <v>0</v>
      </c>
      <c r="G77" s="1816">
        <f t="shared" si="6"/>
        <v>0</v>
      </c>
    </row>
    <row r="78" spans="1:7" x14ac:dyDescent="0.25">
      <c r="A78" s="1675"/>
      <c r="B78" s="1689"/>
      <c r="C78" s="1676"/>
      <c r="D78" s="1867"/>
      <c r="E78" s="1562">
        <f t="shared" si="4"/>
        <v>0</v>
      </c>
      <c r="F78" s="1815">
        <f t="shared" si="5"/>
        <v>0</v>
      </c>
      <c r="G78" s="1816">
        <f t="shared" si="6"/>
        <v>0</v>
      </c>
    </row>
    <row r="79" spans="1:7" x14ac:dyDescent="0.25">
      <c r="A79" s="1675"/>
      <c r="B79" s="1689"/>
      <c r="C79" s="1676"/>
      <c r="D79" s="1867"/>
      <c r="E79" s="1562">
        <f t="shared" si="4"/>
        <v>0</v>
      </c>
      <c r="F79" s="1815">
        <f t="shared" si="5"/>
        <v>0</v>
      </c>
      <c r="G79" s="1816">
        <f t="shared" si="6"/>
        <v>0</v>
      </c>
    </row>
    <row r="80" spans="1:7" x14ac:dyDescent="0.25">
      <c r="A80" s="1675"/>
      <c r="B80" s="1689"/>
      <c r="C80" s="1676"/>
      <c r="D80" s="1867"/>
      <c r="E80" s="1562">
        <f t="shared" si="4"/>
        <v>0</v>
      </c>
      <c r="F80" s="1815">
        <f t="shared" si="5"/>
        <v>0</v>
      </c>
      <c r="G80" s="1816">
        <f t="shared" si="6"/>
        <v>0</v>
      </c>
    </row>
    <row r="81" spans="1:7" x14ac:dyDescent="0.25">
      <c r="A81" s="1675"/>
      <c r="B81" s="1689"/>
      <c r="C81" s="1676"/>
      <c r="D81" s="1867"/>
      <c r="E81" s="1562">
        <f t="shared" si="4"/>
        <v>0</v>
      </c>
      <c r="F81" s="1815">
        <f t="shared" si="5"/>
        <v>0</v>
      </c>
      <c r="G81" s="1816">
        <f t="shared" si="6"/>
        <v>0</v>
      </c>
    </row>
    <row r="82" spans="1:7" x14ac:dyDescent="0.25">
      <c r="A82" s="1675"/>
      <c r="B82" s="1689"/>
      <c r="C82" s="1676"/>
      <c r="D82" s="1867"/>
      <c r="E82" s="1562">
        <f t="shared" si="4"/>
        <v>0</v>
      </c>
      <c r="F82" s="1815">
        <f t="shared" si="5"/>
        <v>0</v>
      </c>
      <c r="G82" s="1816">
        <f t="shared" si="6"/>
        <v>0</v>
      </c>
    </row>
    <row r="83" spans="1:7" x14ac:dyDescent="0.25">
      <c r="A83" s="1675"/>
      <c r="B83" s="1689"/>
      <c r="C83" s="1676"/>
      <c r="D83" s="1867"/>
      <c r="E83" s="1562">
        <f t="shared" si="4"/>
        <v>0</v>
      </c>
      <c r="F83" s="1815">
        <f t="shared" si="5"/>
        <v>0</v>
      </c>
      <c r="G83" s="1816">
        <f t="shared" si="6"/>
        <v>0</v>
      </c>
    </row>
    <row r="84" spans="1:7" x14ac:dyDescent="0.25">
      <c r="A84" s="1675"/>
      <c r="B84" s="1689"/>
      <c r="C84" s="1676"/>
      <c r="D84" s="1867"/>
      <c r="E84" s="1562">
        <f t="shared" si="4"/>
        <v>0</v>
      </c>
      <c r="F84" s="1815">
        <f t="shared" si="5"/>
        <v>0</v>
      </c>
      <c r="G84" s="1816">
        <f t="shared" si="6"/>
        <v>0</v>
      </c>
    </row>
    <row r="85" spans="1:7" x14ac:dyDescent="0.25">
      <c r="A85" s="1675"/>
      <c r="B85" s="1689"/>
      <c r="C85" s="1676"/>
      <c r="D85" s="1867"/>
      <c r="E85" s="1562">
        <f t="shared" si="1"/>
        <v>0</v>
      </c>
      <c r="F85" s="1815">
        <f t="shared" si="2"/>
        <v>0</v>
      </c>
      <c r="G85" s="1816">
        <f t="shared" si="3"/>
        <v>0</v>
      </c>
    </row>
    <row r="86" spans="1:7" x14ac:dyDescent="0.25">
      <c r="A86" s="1675"/>
      <c r="B86" s="1689"/>
      <c r="C86" s="1676"/>
      <c r="D86" s="1867"/>
      <c r="E86" s="1562">
        <f t="shared" si="1"/>
        <v>0</v>
      </c>
      <c r="F86" s="1815">
        <f t="shared" si="2"/>
        <v>0</v>
      </c>
      <c r="G86" s="1816">
        <f t="shared" si="3"/>
        <v>0</v>
      </c>
    </row>
    <row r="87" spans="1:7" x14ac:dyDescent="0.25">
      <c r="A87" s="1675"/>
      <c r="B87" s="1689"/>
      <c r="C87" s="1676"/>
      <c r="D87" s="1867"/>
      <c r="E87" s="1562">
        <f t="shared" si="1"/>
        <v>0</v>
      </c>
      <c r="F87" s="1815">
        <f t="shared" si="2"/>
        <v>0</v>
      </c>
      <c r="G87" s="1816">
        <f t="shared" si="3"/>
        <v>0</v>
      </c>
    </row>
    <row r="88" spans="1:7" x14ac:dyDescent="0.25">
      <c r="A88" s="1675"/>
      <c r="B88" s="1689"/>
      <c r="C88" s="1676"/>
      <c r="D88" s="1867"/>
      <c r="E88" s="1562">
        <f t="shared" si="1"/>
        <v>0</v>
      </c>
      <c r="F88" s="1815">
        <f t="shared" si="2"/>
        <v>0</v>
      </c>
      <c r="G88" s="1816">
        <f t="shared" si="3"/>
        <v>0</v>
      </c>
    </row>
    <row r="89" spans="1:7" x14ac:dyDescent="0.25">
      <c r="A89" s="1675"/>
      <c r="B89" s="1689"/>
      <c r="C89" s="1676"/>
      <c r="D89" s="1867"/>
      <c r="E89" s="1562">
        <f t="shared" si="1"/>
        <v>0</v>
      </c>
      <c r="F89" s="1815">
        <f t="shared" si="2"/>
        <v>0</v>
      </c>
      <c r="G89" s="1816">
        <f t="shared" si="3"/>
        <v>0</v>
      </c>
    </row>
    <row r="90" spans="1:7" x14ac:dyDescent="0.25">
      <c r="A90" s="1675"/>
      <c r="B90" s="1689"/>
      <c r="C90" s="1676"/>
      <c r="D90" s="1867"/>
      <c r="E90" s="1562">
        <f>IF(D90&lt;=25000,D90,IF(D90&gt;25000,25000,0))</f>
        <v>0</v>
      </c>
      <c r="F90" s="1815">
        <f>IF(OR(B90="10-1000-100",B90="10-1000-200",B90="10-1000-300",B90="10-1000-400",B90="10-1000-600",B90="10-1000-800",B90="50-1000-200",B90="10-2100-100",B90="10-2100-200",B90="10-2100-300",B90="10-2100-400",B90="10-2100-600",B90="10-2100-800",B90="20-2100-200",B90="20-2190-100",B90="20-2190-200",B90="20-2190-300",B90="20-2190-400",B90="20-2190-600",B90="20-2190-800",B90="40-2190-100",B90="40-2190-200",B90="40-2190-300",B90="40-2190-400",B90="40-2190-600",B90="40-2190-800",B90="50-2190-200",B90="10-2200-100",B90="10-2200-200",B90="10-2200-300",B90="10-2200-400",B90="10-2200-600",B90="10-2200-800",B90="50-2200-200",B90="10-2300-100",B90="10-2300-200",B90="10-2300-300",B90="10-2300-400",B90="10-2300-600",B90="10-2300-800",B90="50-2300-200",B90="80-2300-100",B90="80-2300-200",B90="80-2300-300",B90="80-2300-400",B90="80-2300-600",B90="80-2300-800",B90="10-2400-100",B90="10-2400-200",B90="10-2400-300",B90="10-2400-400",B90="10-2400-600",B90="10-2400-800",B90="50-2400-200",B90="10-2510-100",B90="10-2510-200",B90="10-2510-300",B90="10-2510-400",B90="10-2510-600",B90="10-2510-800",B90="20-2510-100",B90="20-2510-200",B90="20-2510-300",B90="20-2510-400",B90="20-2510-600",B90="20-2510-800",B90="50-2510-200",B90="10-2520-100",B90="10-2520-200",B90="10-2520-300",B90="10-2520-400",B90="10-2520-600",B90="10-2520-800",B90="50-2520-200",B90="10-2540-100",B90="10-2540-200",B90="10-2540-300",B90="10-2540-400",B90="10-2540-600",B90="20-2540-800",B90="20-2540-100",B90="20-2540-200",B90="20-2540-300",B90="20-2540-400",B90="20-2540-600",B90="50-2540-200",B90="90-2540-100",B90="90-2540-200",B90="90-2540-300",B90="90-2540-400",B90="90-2540-600",B90="90-2540-800",B90="90-2540-800",B90="10-2550-100",B90="10-2550-200",B90="10-2550-300",B90="10-2550-400",B90="10-2550-600",B90="10-2550-800",B90="20-2550-100",B90="20-2550-200",B90="20-2550-300",B90="20-2550-400",B90="20-2550-600",B90="20-2550-800",B90="40-2550-100",B90="40-2550-200",B90="40-2550-300",B90="40-2550-400",B90="40-2550-600",B90="40-2550-800",B90="50-2550-200",B90="10-2560-100",B90="10-2560-200",B90="10-2560-300",B90="10-2560-400",B90="10-2560-600",B90="10-2560-800",B90="20-2560-100",B90="20-2560-200",B90="20-2560-300",B90="20-2560-400",B90="20-2560-600",B90="20-2560-800",B90="50-2560-200",B90="10-2570-100",B90="10-2570-200",B90="10-2570-300",B90="10-2570-400",B90="10-2570-600",B90="10-2570-800",B90="50-2570-200",B90="10-2610-100",B90="10-2610-200",B90="10-2610-300",B90="10-2610-400",B90="10-2610-600",B90="10-2610-800",B90="50-2610-200",B90="10-2620-100",B90="10-2620-200",B90="10-2620-300",B90="10-2620-400",B90="10-2620-600",B90="10-2620-800",B90="50-2620-200",B90="10-2630-100",B90="10-2630-200",B90="10-2630-300",B90="10-2630-400",B90="10-2630-600",B90="10-2630-800",B90="50-2630-200",B90="10-2640-100",B90="10-2640-200",B90="10-2640-300",B90="10-2640-400",B90="10-2640-600",B90="10-2640-800",B90="50-2640-200",B90="10-2660-100",B90="10-2660-200",B90="10-2660-300",B90="10-2660-400",B90="10-2660-600",B90="10-2660-800",B90="50-2660-200",B90="10-2900-100",B90="10-2900-200",B90="10-2900-300",B90="10-2900-400",B90="10-2900-600",B90="10-2900-800",B90="20-2900-100",B90="20-2900-200",B90="20-2900-300",B90="20-2900-400",B90="20-2900-600",B90="20-2900-800",B90="40-2900-100",B90="40-2900-200",B90="40-2900-300",B90="40-2900-400",B90="40-2900-600",B90="40-2900-800",B90="50-2900-200",B90="60-2900-100",B90="60-2900-200",B90="60-2900-300",B90="60-2900-400",B90="60-2900-600",B90="60-2900-800",B90="90-2900-100",B90="90-2900-200",B90="90-2900-300",B90="90-2900-400",B90="90-2900-600",B90="90-2900-800",B90="10-3000-100",B90="10-3000-200",B90="10-3000-300",B90="10-3000-400",B90="10-3000-600",B90="10-3000-800",B90="20-3000-100",B90="20-3000-200",B90="20-3000-300",B90="20-3000-400",B90="20-3000-600",B90="20-3000-800",B90="40-3000-100",B90="40-3000-200",B90="40-3000-300",B90="40-3000-400",B90="40-3000-600",B90="40-3000-800",B90="50-3000-200"),E90,0)</f>
        <v>0</v>
      </c>
      <c r="G90" s="1816">
        <f>IF(F90=0,0,D90-F90)</f>
        <v>0</v>
      </c>
    </row>
    <row r="91" spans="1:7" x14ac:dyDescent="0.25">
      <c r="A91" s="1675"/>
      <c r="B91" s="1689"/>
      <c r="C91" s="1676"/>
      <c r="D91" s="1867"/>
      <c r="E91" s="1562">
        <f t="shared" si="1"/>
        <v>0</v>
      </c>
      <c r="F91" s="1815">
        <f t="shared" si="2"/>
        <v>0</v>
      </c>
      <c r="G91" s="1816">
        <f t="shared" si="3"/>
        <v>0</v>
      </c>
    </row>
    <row r="92" spans="1:7" x14ac:dyDescent="0.25">
      <c r="A92" s="1675"/>
      <c r="B92" s="1689"/>
      <c r="C92" s="1676"/>
      <c r="D92" s="1867"/>
      <c r="E92" s="1562">
        <f t="shared" si="1"/>
        <v>0</v>
      </c>
      <c r="F92" s="1815">
        <f t="shared" si="2"/>
        <v>0</v>
      </c>
      <c r="G92" s="1816">
        <f t="shared" si="3"/>
        <v>0</v>
      </c>
    </row>
    <row r="93" spans="1:7" x14ac:dyDescent="0.25">
      <c r="A93" s="1675"/>
      <c r="B93" s="1689"/>
      <c r="C93" s="1676"/>
      <c r="D93" s="1867"/>
      <c r="E93" s="1562">
        <f t="shared" ref="E93" si="7">IF(D93&lt;=25000,D93,IF(D93&gt;25000,25000,0))</f>
        <v>0</v>
      </c>
      <c r="F93" s="1815">
        <f t="shared" ref="F93" si="8">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9">IF(F93=0,0,D93-F93)</f>
        <v>0</v>
      </c>
    </row>
    <row r="94" spans="1:7" x14ac:dyDescent="0.25">
      <c r="A94" s="1675"/>
      <c r="B94" s="1689"/>
      <c r="C94" s="1676"/>
      <c r="D94" s="1867"/>
      <c r="E94" s="1562">
        <f t="shared" si="1"/>
        <v>0</v>
      </c>
      <c r="F94" s="1815">
        <f t="shared" si="2"/>
        <v>0</v>
      </c>
      <c r="G94" s="1816">
        <f t="shared" si="3"/>
        <v>0</v>
      </c>
    </row>
    <row r="95" spans="1:7" x14ac:dyDescent="0.25">
      <c r="A95" s="1675"/>
      <c r="B95" s="1689"/>
      <c r="C95" s="1676"/>
      <c r="D95" s="1867"/>
      <c r="E95" s="1562">
        <f t="shared" ref="E95:E98" si="10">IF(D95&lt;=25000,D95,IF(D95&gt;25000,25000,0))</f>
        <v>0</v>
      </c>
      <c r="F95" s="1815">
        <f t="shared" ref="F95:F98" si="11">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2">IF(F95=0,0,D95-F95)</f>
        <v>0</v>
      </c>
    </row>
    <row r="96" spans="1:7" x14ac:dyDescent="0.25">
      <c r="A96" s="1675"/>
      <c r="B96" s="1689"/>
      <c r="C96" s="1676"/>
      <c r="D96" s="1867"/>
      <c r="E96" s="1562">
        <f t="shared" si="10"/>
        <v>0</v>
      </c>
      <c r="F96" s="1815">
        <f t="shared" si="11"/>
        <v>0</v>
      </c>
      <c r="G96" s="1816">
        <f t="shared" si="12"/>
        <v>0</v>
      </c>
    </row>
    <row r="97" spans="1:7" x14ac:dyDescent="0.25">
      <c r="A97" s="1675"/>
      <c r="B97" s="1689"/>
      <c r="C97" s="1676"/>
      <c r="D97" s="1867"/>
      <c r="E97" s="1562">
        <f t="shared" si="10"/>
        <v>0</v>
      </c>
      <c r="F97" s="1815">
        <f t="shared" si="11"/>
        <v>0</v>
      </c>
      <c r="G97" s="1816">
        <f t="shared" si="12"/>
        <v>0</v>
      </c>
    </row>
    <row r="98" spans="1:7" x14ac:dyDescent="0.25">
      <c r="A98" s="1675"/>
      <c r="B98" s="1689"/>
      <c r="C98" s="1676"/>
      <c r="D98" s="1867"/>
      <c r="E98" s="1562">
        <f t="shared" si="10"/>
        <v>0</v>
      </c>
      <c r="F98" s="1815">
        <f t="shared" si="11"/>
        <v>0</v>
      </c>
      <c r="G98" s="1816">
        <f t="shared" si="12"/>
        <v>0</v>
      </c>
    </row>
    <row r="99" spans="1:7" x14ac:dyDescent="0.25">
      <c r="A99" s="1675"/>
      <c r="B99" s="1689"/>
      <c r="C99" s="1676"/>
      <c r="D99" s="1867"/>
      <c r="E99" s="1562">
        <f t="shared" ref="E99" si="13">IF(D99&lt;=25000,D99,IF(D99&gt;25000,25000,0))</f>
        <v>0</v>
      </c>
      <c r="F99" s="1815">
        <f t="shared" ref="F99" si="14">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5">IF(F99=0,0,D99-F99)</f>
        <v>0</v>
      </c>
    </row>
    <row r="100" spans="1:7" x14ac:dyDescent="0.25">
      <c r="A100" s="1675"/>
      <c r="B100" s="1689"/>
      <c r="C100" s="1676"/>
      <c r="D100" s="1867"/>
      <c r="E100" s="1562">
        <f t="shared" ref="E100:E112" si="16">IF(D100&lt;=25000,D100,IF(D100&gt;25000,25000,0))</f>
        <v>0</v>
      </c>
      <c r="F100" s="1815">
        <f t="shared" ref="F100:F112" si="1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8">IF(F100=0,0,D100-F100)</f>
        <v>0</v>
      </c>
    </row>
    <row r="101" spans="1:7" x14ac:dyDescent="0.25">
      <c r="A101" s="1675"/>
      <c r="B101" s="1689"/>
      <c r="C101" s="1676"/>
      <c r="D101" s="1867"/>
      <c r="E101" s="1562">
        <f t="shared" si="16"/>
        <v>0</v>
      </c>
      <c r="F101" s="1815">
        <f t="shared" si="17"/>
        <v>0</v>
      </c>
      <c r="G101" s="1816">
        <f t="shared" si="18"/>
        <v>0</v>
      </c>
    </row>
    <row r="102" spans="1:7" x14ac:dyDescent="0.25">
      <c r="A102" s="1675"/>
      <c r="B102" s="1689"/>
      <c r="C102" s="1676"/>
      <c r="D102" s="1867"/>
      <c r="E102" s="1562">
        <f t="shared" si="16"/>
        <v>0</v>
      </c>
      <c r="F102" s="1815">
        <f t="shared" si="17"/>
        <v>0</v>
      </c>
      <c r="G102" s="1816">
        <f t="shared" si="18"/>
        <v>0</v>
      </c>
    </row>
    <row r="103" spans="1:7" x14ac:dyDescent="0.25">
      <c r="A103" s="1675"/>
      <c r="B103" s="1689"/>
      <c r="C103" s="1676"/>
      <c r="D103" s="1867"/>
      <c r="E103" s="1562">
        <f t="shared" si="16"/>
        <v>0</v>
      </c>
      <c r="F103" s="1815">
        <f t="shared" si="17"/>
        <v>0</v>
      </c>
      <c r="G103" s="1816">
        <f t="shared" si="18"/>
        <v>0</v>
      </c>
    </row>
    <row r="104" spans="1:7" x14ac:dyDescent="0.25">
      <c r="A104" s="1675"/>
      <c r="B104" s="1689"/>
      <c r="C104" s="1676"/>
      <c r="D104" s="1867"/>
      <c r="E104" s="1562">
        <f t="shared" si="16"/>
        <v>0</v>
      </c>
      <c r="F104" s="1815">
        <f t="shared" si="17"/>
        <v>0</v>
      </c>
      <c r="G104" s="1816">
        <f t="shared" si="18"/>
        <v>0</v>
      </c>
    </row>
    <row r="105" spans="1:7" x14ac:dyDescent="0.25">
      <c r="A105" s="1675"/>
      <c r="B105" s="1689"/>
      <c r="C105" s="1676"/>
      <c r="D105" s="1867"/>
      <c r="E105" s="1562">
        <f t="shared" si="16"/>
        <v>0</v>
      </c>
      <c r="F105" s="1815">
        <f t="shared" si="17"/>
        <v>0</v>
      </c>
      <c r="G105" s="1816">
        <f t="shared" si="18"/>
        <v>0</v>
      </c>
    </row>
    <row r="106" spans="1:7" x14ac:dyDescent="0.25">
      <c r="A106" s="1675"/>
      <c r="B106" s="1689"/>
      <c r="C106" s="1676"/>
      <c r="D106" s="1867"/>
      <c r="E106" s="1562">
        <f t="shared" si="16"/>
        <v>0</v>
      </c>
      <c r="F106" s="1815">
        <f t="shared" si="17"/>
        <v>0</v>
      </c>
      <c r="G106" s="1816">
        <f t="shared" si="18"/>
        <v>0</v>
      </c>
    </row>
    <row r="107" spans="1:7" x14ac:dyDescent="0.25">
      <c r="A107" s="1675"/>
      <c r="B107" s="1689"/>
      <c r="C107" s="1676"/>
      <c r="D107" s="1867"/>
      <c r="E107" s="1562">
        <f t="shared" si="16"/>
        <v>0</v>
      </c>
      <c r="F107" s="1815">
        <f t="shared" si="17"/>
        <v>0</v>
      </c>
      <c r="G107" s="1816">
        <f t="shared" si="18"/>
        <v>0</v>
      </c>
    </row>
    <row r="108" spans="1:7" x14ac:dyDescent="0.25">
      <c r="A108" s="1675"/>
      <c r="B108" s="1689"/>
      <c r="C108" s="1676"/>
      <c r="D108" s="1867"/>
      <c r="E108" s="1562">
        <f t="shared" si="16"/>
        <v>0</v>
      </c>
      <c r="F108" s="1815">
        <f t="shared" si="17"/>
        <v>0</v>
      </c>
      <c r="G108" s="1816">
        <f t="shared" si="18"/>
        <v>0</v>
      </c>
    </row>
    <row r="109" spans="1:7" x14ac:dyDescent="0.25">
      <c r="A109" s="1675"/>
      <c r="B109" s="1689"/>
      <c r="C109" s="1676"/>
      <c r="D109" s="1867"/>
      <c r="E109" s="1562">
        <f t="shared" si="16"/>
        <v>0</v>
      </c>
      <c r="F109" s="1815">
        <f t="shared" si="17"/>
        <v>0</v>
      </c>
      <c r="G109" s="1816">
        <f t="shared" si="18"/>
        <v>0</v>
      </c>
    </row>
    <row r="110" spans="1:7" x14ac:dyDescent="0.25">
      <c r="A110" s="1675"/>
      <c r="B110" s="1689"/>
      <c r="C110" s="1676"/>
      <c r="D110" s="1867"/>
      <c r="E110" s="1562">
        <f t="shared" si="16"/>
        <v>0</v>
      </c>
      <c r="F110" s="1815">
        <f t="shared" si="17"/>
        <v>0</v>
      </c>
      <c r="G110" s="1816">
        <f t="shared" si="18"/>
        <v>0</v>
      </c>
    </row>
    <row r="111" spans="1:7" x14ac:dyDescent="0.25">
      <c r="A111" s="1675"/>
      <c r="B111" s="1689"/>
      <c r="C111" s="1676"/>
      <c r="D111" s="1867"/>
      <c r="E111" s="1562">
        <f t="shared" si="16"/>
        <v>0</v>
      </c>
      <c r="F111" s="1815">
        <f t="shared" si="17"/>
        <v>0</v>
      </c>
      <c r="G111" s="1816">
        <f t="shared" si="18"/>
        <v>0</v>
      </c>
    </row>
    <row r="112" spans="1:7" x14ac:dyDescent="0.25">
      <c r="A112" s="1675"/>
      <c r="B112" s="1689"/>
      <c r="C112" s="1676"/>
      <c r="D112" s="1867"/>
      <c r="E112" s="1562">
        <f t="shared" si="16"/>
        <v>0</v>
      </c>
      <c r="F112" s="1815">
        <f t="shared" si="17"/>
        <v>0</v>
      </c>
      <c r="G112" s="1816">
        <f t="shared" si="18"/>
        <v>0</v>
      </c>
    </row>
    <row r="113" spans="1:7" x14ac:dyDescent="0.25">
      <c r="A113" s="1675"/>
      <c r="B113" s="1689"/>
      <c r="C113" s="1676"/>
      <c r="D113" s="1867"/>
      <c r="E113" s="1562">
        <f t="shared" ref="E113:E125" si="19">IF(D113&lt;=25000,D113,IF(D113&gt;25000,25000,0))</f>
        <v>0</v>
      </c>
      <c r="F113" s="1815">
        <f t="shared" ref="F113:F125" si="2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1">IF(F113=0,0,D113-F113)</f>
        <v>0</v>
      </c>
    </row>
    <row r="114" spans="1:7" x14ac:dyDescent="0.25">
      <c r="A114" s="1675"/>
      <c r="B114" s="1689"/>
      <c r="C114" s="1676"/>
      <c r="D114" s="1867"/>
      <c r="E114" s="1562">
        <f t="shared" si="19"/>
        <v>0</v>
      </c>
      <c r="F114" s="1815">
        <f t="shared" si="20"/>
        <v>0</v>
      </c>
      <c r="G114" s="1816">
        <f t="shared" si="21"/>
        <v>0</v>
      </c>
    </row>
    <row r="115" spans="1:7" x14ac:dyDescent="0.25">
      <c r="A115" s="1675"/>
      <c r="B115" s="1689"/>
      <c r="C115" s="1676"/>
      <c r="D115" s="1867"/>
      <c r="E115" s="1562">
        <f t="shared" si="19"/>
        <v>0</v>
      </c>
      <c r="F115" s="1815">
        <f t="shared" si="20"/>
        <v>0</v>
      </c>
      <c r="G115" s="1816">
        <f t="shared" si="21"/>
        <v>0</v>
      </c>
    </row>
    <row r="116" spans="1:7" x14ac:dyDescent="0.25">
      <c r="A116" s="1675"/>
      <c r="B116" s="1689"/>
      <c r="C116" s="1676"/>
      <c r="D116" s="1867"/>
      <c r="E116" s="1562">
        <f t="shared" si="19"/>
        <v>0</v>
      </c>
      <c r="F116" s="1815">
        <f t="shared" si="20"/>
        <v>0</v>
      </c>
      <c r="G116" s="1816">
        <f t="shared" si="21"/>
        <v>0</v>
      </c>
    </row>
    <row r="117" spans="1:7" x14ac:dyDescent="0.25">
      <c r="A117" s="1675"/>
      <c r="B117" s="1689"/>
      <c r="C117" s="1676"/>
      <c r="D117" s="1867"/>
      <c r="E117" s="1562">
        <f t="shared" si="19"/>
        <v>0</v>
      </c>
      <c r="F117" s="1815">
        <f t="shared" si="20"/>
        <v>0</v>
      </c>
      <c r="G117" s="1816">
        <f t="shared" si="21"/>
        <v>0</v>
      </c>
    </row>
    <row r="118" spans="1:7" x14ac:dyDescent="0.25">
      <c r="A118" s="1675"/>
      <c r="B118" s="1689"/>
      <c r="C118" s="1676"/>
      <c r="D118" s="1867"/>
      <c r="E118" s="1562">
        <f t="shared" si="19"/>
        <v>0</v>
      </c>
      <c r="F118" s="1815">
        <f t="shared" si="20"/>
        <v>0</v>
      </c>
      <c r="G118" s="1816">
        <f t="shared" si="21"/>
        <v>0</v>
      </c>
    </row>
    <row r="119" spans="1:7" x14ac:dyDescent="0.25">
      <c r="A119" s="1675"/>
      <c r="B119" s="1689"/>
      <c r="C119" s="1676"/>
      <c r="D119" s="1867"/>
      <c r="E119" s="1562">
        <f t="shared" si="19"/>
        <v>0</v>
      </c>
      <c r="F119" s="1815">
        <f t="shared" si="20"/>
        <v>0</v>
      </c>
      <c r="G119" s="1816">
        <f t="shared" si="21"/>
        <v>0</v>
      </c>
    </row>
    <row r="120" spans="1:7" x14ac:dyDescent="0.25">
      <c r="A120" s="1675"/>
      <c r="B120" s="1689"/>
      <c r="C120" s="1676"/>
      <c r="D120" s="1867"/>
      <c r="E120" s="1562">
        <f t="shared" si="19"/>
        <v>0</v>
      </c>
      <c r="F120" s="1815">
        <f t="shared" si="20"/>
        <v>0</v>
      </c>
      <c r="G120" s="1816">
        <f t="shared" si="21"/>
        <v>0</v>
      </c>
    </row>
    <row r="121" spans="1:7" x14ac:dyDescent="0.25">
      <c r="A121" s="1675"/>
      <c r="B121" s="1689"/>
      <c r="C121" s="1676"/>
      <c r="D121" s="1867"/>
      <c r="E121" s="1562">
        <f t="shared" si="19"/>
        <v>0</v>
      </c>
      <c r="F121" s="1815">
        <f t="shared" si="20"/>
        <v>0</v>
      </c>
      <c r="G121" s="1816">
        <f t="shared" si="21"/>
        <v>0</v>
      </c>
    </row>
    <row r="122" spans="1:7" x14ac:dyDescent="0.25">
      <c r="A122" s="1675"/>
      <c r="B122" s="1689"/>
      <c r="C122" s="1676"/>
      <c r="D122" s="1867"/>
      <c r="E122" s="1562">
        <f t="shared" si="19"/>
        <v>0</v>
      </c>
      <c r="F122" s="1815">
        <f t="shared" si="20"/>
        <v>0</v>
      </c>
      <c r="G122" s="1816">
        <f t="shared" si="21"/>
        <v>0</v>
      </c>
    </row>
    <row r="123" spans="1:7" x14ac:dyDescent="0.25">
      <c r="A123" s="1675"/>
      <c r="B123" s="1689"/>
      <c r="C123" s="1676"/>
      <c r="D123" s="1867"/>
      <c r="E123" s="1562">
        <f t="shared" si="19"/>
        <v>0</v>
      </c>
      <c r="F123" s="1815">
        <f t="shared" si="20"/>
        <v>0</v>
      </c>
      <c r="G123" s="1816">
        <f t="shared" si="21"/>
        <v>0</v>
      </c>
    </row>
    <row r="124" spans="1:7" x14ac:dyDescent="0.25">
      <c r="A124" s="1675"/>
      <c r="B124" s="1689"/>
      <c r="C124" s="1676"/>
      <c r="D124" s="1867"/>
      <c r="E124" s="1562">
        <f t="shared" si="19"/>
        <v>0</v>
      </c>
      <c r="F124" s="1815">
        <f t="shared" si="20"/>
        <v>0</v>
      </c>
      <c r="G124" s="1816">
        <f t="shared" si="21"/>
        <v>0</v>
      </c>
    </row>
    <row r="125" spans="1:7" x14ac:dyDescent="0.25">
      <c r="A125" s="1675"/>
      <c r="B125" s="1689"/>
      <c r="C125" s="1676"/>
      <c r="D125" s="1867"/>
      <c r="E125" s="1562">
        <f t="shared" si="19"/>
        <v>0</v>
      </c>
      <c r="F125" s="1815">
        <f t="shared" si="20"/>
        <v>0</v>
      </c>
      <c r="G125" s="1816">
        <f t="shared" si="21"/>
        <v>0</v>
      </c>
    </row>
    <row r="126" spans="1:7" x14ac:dyDescent="0.25">
      <c r="A126" s="1675"/>
      <c r="B126" s="1689"/>
      <c r="C126" s="1676"/>
      <c r="D126" s="1867"/>
      <c r="E126" s="1562">
        <f t="shared" ref="E126:E134" si="22">IF(D126&lt;=25000,D126,IF(D126&gt;25000,25000,0))</f>
        <v>0</v>
      </c>
      <c r="F126" s="1815">
        <f t="shared" ref="F126:F134" si="2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4">IF(F126=0,0,D126-F126)</f>
        <v>0</v>
      </c>
    </row>
    <row r="127" spans="1:7" x14ac:dyDescent="0.25">
      <c r="A127" s="1675"/>
      <c r="B127" s="1689"/>
      <c r="C127" s="1676"/>
      <c r="D127" s="1867"/>
      <c r="E127" s="1562">
        <f t="shared" si="22"/>
        <v>0</v>
      </c>
      <c r="F127" s="1815">
        <f t="shared" si="23"/>
        <v>0</v>
      </c>
      <c r="G127" s="1816">
        <f t="shared" si="24"/>
        <v>0</v>
      </c>
    </row>
    <row r="128" spans="1:7" x14ac:dyDescent="0.25">
      <c r="A128" s="1675"/>
      <c r="B128" s="1689"/>
      <c r="C128" s="1676"/>
      <c r="D128" s="1867"/>
      <c r="E128" s="1562">
        <f t="shared" si="22"/>
        <v>0</v>
      </c>
      <c r="F128" s="1815">
        <f t="shared" si="23"/>
        <v>0</v>
      </c>
      <c r="G128" s="1816">
        <f t="shared" si="24"/>
        <v>0</v>
      </c>
    </row>
    <row r="129" spans="1:7" x14ac:dyDescent="0.25">
      <c r="A129" s="1675"/>
      <c r="B129" s="1689"/>
      <c r="C129" s="1676"/>
      <c r="D129" s="1867"/>
      <c r="E129" s="1562">
        <f t="shared" si="22"/>
        <v>0</v>
      </c>
      <c r="F129" s="1815">
        <f t="shared" si="23"/>
        <v>0</v>
      </c>
      <c r="G129" s="1816">
        <f t="shared" si="24"/>
        <v>0</v>
      </c>
    </row>
    <row r="130" spans="1:7" x14ac:dyDescent="0.25">
      <c r="A130" s="1675"/>
      <c r="B130" s="1689"/>
      <c r="C130" s="1676"/>
      <c r="D130" s="1867"/>
      <c r="E130" s="1562">
        <f t="shared" si="22"/>
        <v>0</v>
      </c>
      <c r="F130" s="1815">
        <f t="shared" si="23"/>
        <v>0</v>
      </c>
      <c r="G130" s="1816">
        <f t="shared" si="24"/>
        <v>0</v>
      </c>
    </row>
    <row r="131" spans="1:7" x14ac:dyDescent="0.25">
      <c r="A131" s="1675"/>
      <c r="B131" s="1860"/>
      <c r="C131" s="1676"/>
      <c r="D131" s="1867"/>
      <c r="E131" s="1562">
        <f t="shared" si="22"/>
        <v>0</v>
      </c>
      <c r="F131" s="1815">
        <f t="shared" si="23"/>
        <v>0</v>
      </c>
      <c r="G131" s="1816">
        <f t="shared" si="24"/>
        <v>0</v>
      </c>
    </row>
    <row r="132" spans="1:7" x14ac:dyDescent="0.25">
      <c r="A132" s="1675"/>
      <c r="B132" s="1860"/>
      <c r="C132" s="1676"/>
      <c r="D132" s="1867"/>
      <c r="E132" s="1562">
        <f t="shared" si="22"/>
        <v>0</v>
      </c>
      <c r="F132" s="1815">
        <f t="shared" si="23"/>
        <v>0</v>
      </c>
      <c r="G132" s="1816">
        <f t="shared" si="24"/>
        <v>0</v>
      </c>
    </row>
    <row r="133" spans="1:7" x14ac:dyDescent="0.25">
      <c r="A133" s="1675"/>
      <c r="B133" s="1689"/>
      <c r="C133" s="1676"/>
      <c r="D133" s="1867"/>
      <c r="E133" s="1562">
        <f t="shared" si="22"/>
        <v>0</v>
      </c>
      <c r="F133" s="1815">
        <f t="shared" si="23"/>
        <v>0</v>
      </c>
      <c r="G133" s="1816">
        <f t="shared" si="24"/>
        <v>0</v>
      </c>
    </row>
    <row r="134" spans="1:7" x14ac:dyDescent="0.25">
      <c r="A134" s="1675"/>
      <c r="B134" s="1689"/>
      <c r="C134" s="1676"/>
      <c r="D134" s="1867"/>
      <c r="E134" s="1562">
        <f t="shared" si="22"/>
        <v>0</v>
      </c>
      <c r="F134" s="1815">
        <f t="shared" si="23"/>
        <v>0</v>
      </c>
      <c r="G134" s="1816">
        <f t="shared" si="24"/>
        <v>0</v>
      </c>
    </row>
    <row r="135" spans="1:7" x14ac:dyDescent="0.25">
      <c r="A135" s="1675"/>
      <c r="B135" s="1689"/>
      <c r="C135" s="1676"/>
      <c r="D135" s="1867"/>
      <c r="E135" s="1562">
        <f t="shared" ref="E135:E139" si="25">IF(D135&lt;=25000,D135,IF(D135&gt;25000,25000,0))</f>
        <v>0</v>
      </c>
      <c r="F135" s="1815">
        <f t="shared" ref="F135:F139" si="26">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7">IF(F135=0,0,D135-F135)</f>
        <v>0</v>
      </c>
    </row>
    <row r="136" spans="1:7" x14ac:dyDescent="0.25">
      <c r="A136" s="1675"/>
      <c r="B136" s="1689"/>
      <c r="C136" s="1676"/>
      <c r="D136" s="1867"/>
      <c r="E136" s="1562">
        <f t="shared" si="25"/>
        <v>0</v>
      </c>
      <c r="F136" s="1815">
        <f t="shared" si="26"/>
        <v>0</v>
      </c>
      <c r="G136" s="1816">
        <f t="shared" si="27"/>
        <v>0</v>
      </c>
    </row>
    <row r="137" spans="1:7" x14ac:dyDescent="0.25">
      <c r="A137" s="1675"/>
      <c r="B137" s="1689"/>
      <c r="C137" s="1676"/>
      <c r="D137" s="1867"/>
      <c r="E137" s="1562">
        <f t="shared" si="25"/>
        <v>0</v>
      </c>
      <c r="F137" s="1815">
        <f t="shared" si="26"/>
        <v>0</v>
      </c>
      <c r="G137" s="1816">
        <f t="shared" si="27"/>
        <v>0</v>
      </c>
    </row>
    <row r="138" spans="1:7" x14ac:dyDescent="0.25">
      <c r="A138" s="1675"/>
      <c r="B138" s="1689"/>
      <c r="C138" s="1676"/>
      <c r="D138" s="1867"/>
      <c r="E138" s="1562">
        <f t="shared" si="25"/>
        <v>0</v>
      </c>
      <c r="F138" s="1815">
        <f t="shared" si="26"/>
        <v>0</v>
      </c>
      <c r="G138" s="1816">
        <f t="shared" si="27"/>
        <v>0</v>
      </c>
    </row>
    <row r="139" spans="1:7" x14ac:dyDescent="0.25">
      <c r="A139" s="1675"/>
      <c r="B139" s="1689"/>
      <c r="C139" s="1676"/>
      <c r="D139" s="1867"/>
      <c r="E139" s="1562">
        <f t="shared" si="25"/>
        <v>0</v>
      </c>
      <c r="F139" s="1815">
        <f t="shared" si="26"/>
        <v>0</v>
      </c>
      <c r="G139" s="1816">
        <f t="shared" si="27"/>
        <v>0</v>
      </c>
    </row>
    <row r="140" spans="1:7" x14ac:dyDescent="0.25">
      <c r="A140" s="1675"/>
      <c r="B140" s="1688"/>
      <c r="C140" s="1676"/>
      <c r="D140" s="1867"/>
      <c r="E140" s="1562">
        <f t="shared" si="1"/>
        <v>0</v>
      </c>
      <c r="F140" s="1815">
        <f t="shared" si="2"/>
        <v>0</v>
      </c>
      <c r="G140" s="1816">
        <f t="shared" si="3"/>
        <v>0</v>
      </c>
    </row>
    <row r="141" spans="1:7" x14ac:dyDescent="0.25">
      <c r="A141" s="1819" t="s">
        <v>158</v>
      </c>
      <c r="B141" s="1820"/>
      <c r="C141" s="1821"/>
      <c r="D141" s="1817">
        <f>SUM(D17:D140)</f>
        <v>423709</v>
      </c>
      <c r="E141" s="1563">
        <f t="shared" ref="E141" si="28">IF(D141&lt;=25000,D141,IF(D141&gt;25000,25000,0))</f>
        <v>25000</v>
      </c>
      <c r="F141" s="1817">
        <f>SUM(F17:F140)</f>
        <v>42476</v>
      </c>
      <c r="G141" s="1818">
        <f>SUM(G17:G140)</f>
        <v>174609</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topLeftCell="A25" colorId="8" zoomScale="110" zoomScaleNormal="110" zoomScaleSheetLayoutView="100" workbookViewId="0">
      <selection activeCell="D42" sqref="D42:H4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f>'Expenditures 15-22'!K63</f>
        <v>266784</v>
      </c>
      <c r="F10" s="975"/>
      <c r="G10" s="976"/>
      <c r="H10" s="162"/>
      <c r="I10" s="162"/>
    </row>
    <row r="11" spans="1:9" s="669" customFormat="1" ht="22.5" customHeight="1" x14ac:dyDescent="0.2">
      <c r="A11" s="2303" t="s">
        <v>1944</v>
      </c>
      <c r="B11" s="2304"/>
      <c r="C11" s="2304"/>
      <c r="D11" s="2305"/>
      <c r="E11" s="978">
        <v>22594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4903629</v>
      </c>
      <c r="F19" s="1822"/>
      <c r="G19" s="1824">
        <f>'Expenditures 15-22'!K33-SUM('Expenditures 15-22'!G33,'Expenditures 15-22'!I33)+'Expenditures 15-22'!D229</f>
        <v>4903629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92920</v>
      </c>
      <c r="F21" s="1825"/>
      <c r="G21" s="1828">
        <f>'Expenditures 15-22'!K42-SUM('Expenditures 15-22'!G42,'Expenditures 15-22'!I42)+'Expenditures 15-22'!K120-SUM('Expenditures 15-22'!G120,'Expenditures 15-22'!I120)+'Expenditures 15-22'!K180-SUM('Expenditures 15-22'!G180,'Expenditures 15-22'!I180)+'Expenditures 15-22'!D238</f>
        <v>92920</v>
      </c>
      <c r="H21" s="988"/>
      <c r="I21" s="162"/>
    </row>
    <row r="22" spans="1:9" s="669" customFormat="1" ht="12" customHeight="1" x14ac:dyDescent="0.2">
      <c r="A22" s="995" t="s">
        <v>585</v>
      </c>
      <c r="B22" s="996"/>
      <c r="C22" s="994">
        <v>2200</v>
      </c>
      <c r="D22" s="1825"/>
      <c r="E22" s="1827">
        <f>'Expenditures 15-22'!K47-SUM('Expenditures 15-22'!G47,'Expenditures 15-22'!I47)+'Expenditures 15-22'!D243</f>
        <v>112801</v>
      </c>
      <c r="F22" s="1825"/>
      <c r="G22" s="1828">
        <f>'Expenditures 15-22'!K47-SUM('Expenditures 15-22'!G47,'Expenditures 15-22'!I47)+'Expenditures 15-22'!D243</f>
        <v>112801</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844010</v>
      </c>
      <c r="F23" s="1825"/>
      <c r="G23" s="1827">
        <f>'Expenditures 15-22'!K53-SUM('Expenditures 15-22'!G53,'Expenditures 15-22'!I53)+'Expenditures 15-22'!D257+'Expenditures 15-22'!K330-SUM('Expenditures 15-22'!G330,'Expenditures 15-22'!I330)</f>
        <v>844010</v>
      </c>
      <c r="H23" s="988"/>
      <c r="I23" s="162"/>
    </row>
    <row r="24" spans="1:9" s="669" customFormat="1" ht="12" customHeight="1" x14ac:dyDescent="0.2">
      <c r="A24" s="995" t="s">
        <v>587</v>
      </c>
      <c r="B24" s="996"/>
      <c r="C24" s="994">
        <v>2400</v>
      </c>
      <c r="D24" s="1825"/>
      <c r="E24" s="1827">
        <f>'Expenditures 15-22'!K57-SUM('Expenditures 15-22'!G57,'Expenditures 15-22'!I57)+'Expenditures 15-22'!D261</f>
        <v>265085</v>
      </c>
      <c r="F24" s="1825"/>
      <c r="G24" s="1828">
        <f>'Expenditures 15-22'!K57-SUM('Expenditures 15-22'!G57,'Expenditures 15-22'!I57)+'Expenditures 15-22'!D261</f>
        <v>265085</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82906</v>
      </c>
      <c r="E27" s="1827">
        <f>E8</f>
        <v>0</v>
      </c>
      <c r="F27" s="1827">
        <f>'Expenditures 15-22'!K60-SUM('Expenditures 15-22'!G60,'Expenditures 15-22'!I60)+'Expenditures 15-22'!D264-E8</f>
        <v>82906</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596364</v>
      </c>
      <c r="F28" s="1829">
        <f>'Expenditures 15-22'!K61-SUM('Expenditures 15-22'!G61,'Expenditures 15-22'!I61)+'Expenditures 15-22'!K124-SUM('Expenditures 15-22'!G124,'Expenditures 15-22'!I124)+'Expenditures 15-22'!D266-E9</f>
        <v>596364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221568</v>
      </c>
      <c r="F29" s="1825"/>
      <c r="G29" s="1828">
        <f>'Expenditures 15-22'!K62-SUM('Expenditures 15-22'!G62,'Expenditures 15-22'!I62)+'Expenditures 15-22'!K125-SUM('Expenditures 15-22'!G125,'Expenditures 15-22'!I125)+'Expenditures 15-22'!K182-SUM('Expenditures 15-22'!G182,'Expenditures 15-22'!I182)+'Expenditures 15-22'!D267</f>
        <v>221568</v>
      </c>
      <c r="H29" s="986"/>
    </row>
    <row r="30" spans="1:9" ht="12" customHeight="1" x14ac:dyDescent="0.2">
      <c r="A30" s="995" t="s">
        <v>102</v>
      </c>
      <c r="B30" s="998"/>
      <c r="C30" s="994">
        <v>2560</v>
      </c>
      <c r="D30" s="1825"/>
      <c r="E30" s="1827">
        <f>'Expenditures 15-22'!K63-SUM('Expenditures 15-22'!G63,'Expenditures 15-22'!I63)+'Expenditures 15-22'!D268-E10</f>
        <v>10387</v>
      </c>
      <c r="F30" s="1825"/>
      <c r="G30" s="1827">
        <f>'Expenditures 15-22'!K63-SUM('Expenditures 15-22'!G63,'Expenditures 15-22'!I63)+'Expenditures 15-22'!D268-E10</f>
        <v>10387</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-174609</v>
      </c>
      <c r="F40" s="1825"/>
      <c r="G40" s="1829">
        <f>-'Contracts Paid in CY 29'!G141</f>
        <v>-174609</v>
      </c>
    </row>
    <row r="41" spans="1:7" ht="12" customHeight="1" x14ac:dyDescent="0.2">
      <c r="A41" s="999" t="s">
        <v>158</v>
      </c>
      <c r="B41" s="1000"/>
      <c r="C41" s="1001"/>
      <c r="D41" s="1829">
        <f>SUM(D19:D39)</f>
        <v>82906</v>
      </c>
      <c r="E41" s="1829">
        <f>SUM(E19:E40)</f>
        <v>6872155</v>
      </c>
      <c r="F41" s="1829">
        <f>SUM(F19:F39)</f>
        <v>679270</v>
      </c>
      <c r="G41" s="1829">
        <f>SUM(G19:G40)</f>
        <v>6275791</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82906</v>
      </c>
      <c r="F43" s="1830" t="s">
        <v>495</v>
      </c>
      <c r="G43" s="1831">
        <f>F41</f>
        <v>679270</v>
      </c>
    </row>
    <row r="44" spans="1:7" ht="12" customHeight="1" x14ac:dyDescent="0.2">
      <c r="A44" s="988"/>
      <c r="B44" s="162"/>
      <c r="C44" s="1002"/>
      <c r="D44" s="1830" t="s">
        <v>494</v>
      </c>
      <c r="E44" s="1831">
        <f>E41</f>
        <v>6872155</v>
      </c>
      <c r="F44" s="1830" t="s">
        <v>494</v>
      </c>
      <c r="G44" s="1831">
        <f>G41</f>
        <v>6275791</v>
      </c>
    </row>
    <row r="45" spans="1:7" ht="12" customHeight="1" x14ac:dyDescent="0.2">
      <c r="A45" s="988"/>
      <c r="B45" s="162"/>
      <c r="C45" s="162"/>
      <c r="D45" s="1832" t="s">
        <v>1063</v>
      </c>
      <c r="E45" s="1833">
        <f>(E43/E44)</f>
        <v>1.206404686739458E-2</v>
      </c>
      <c r="F45" s="1832" t="s">
        <v>1063</v>
      </c>
      <c r="G45" s="1833">
        <f>(G43/G44)</f>
        <v>0.10823655536011317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D42" sqref="D42:H42"/>
      <selection pane="bottomLeft" activeCell="A42" sqref="A42:H42"/>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09" t="s">
        <v>1446</v>
      </c>
      <c r="B1" s="2309"/>
      <c r="C1" s="2309"/>
      <c r="D1" s="2309"/>
      <c r="E1" s="2309"/>
      <c r="F1" s="2309"/>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0" t="s">
        <v>1627</v>
      </c>
      <c r="B5" s="2311"/>
      <c r="C5" s="2312"/>
      <c r="D5" s="2312"/>
      <c r="E5" s="2312"/>
      <c r="F5" s="2312"/>
    </row>
    <row r="6" spans="1:10" ht="12" customHeight="1" x14ac:dyDescent="0.25">
      <c r="A6" s="1875"/>
      <c r="B6" s="1876"/>
      <c r="C6" s="2313" t="str">
        <f>COVER!A17</f>
        <v>Millstadt CCSD 160</v>
      </c>
      <c r="D6" s="2313"/>
      <c r="E6" s="2313"/>
      <c r="F6" s="1877"/>
    </row>
    <row r="7" spans="1:10" ht="11.25" customHeight="1" thickBot="1" x14ac:dyDescent="0.3">
      <c r="A7" s="1875"/>
      <c r="B7" s="1876"/>
      <c r="C7" s="2314">
        <f>COVER!A13</f>
        <v>50082160004</v>
      </c>
      <c r="D7" s="2314"/>
      <c r="E7" s="2314"/>
      <c r="F7" s="1877"/>
    </row>
    <row r="8" spans="1:10" ht="25.5" customHeight="1" thickBot="1" x14ac:dyDescent="0.25">
      <c r="A8" s="1918" t="s">
        <v>2023</v>
      </c>
      <c r="B8" s="1878" t="s">
        <v>2077</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8"/>
      <c r="B39" s="1898"/>
      <c r="C39" s="1898"/>
      <c r="D39" s="1898"/>
      <c r="E39" s="1898"/>
      <c r="F39" s="1898"/>
    </row>
    <row r="40" spans="1:11" s="1895" customFormat="1" ht="12" customHeight="1" x14ac:dyDescent="0.25">
      <c r="A40" s="1899" t="s">
        <v>1458</v>
      </c>
      <c r="B40" s="1900"/>
      <c r="C40" s="2323"/>
      <c r="D40" s="2323"/>
      <c r="E40" s="2323"/>
      <c r="F40" s="2324"/>
      <c r="H40" s="1904"/>
      <c r="I40" s="1904"/>
      <c r="J40" s="1904"/>
      <c r="K40" s="1904"/>
    </row>
    <row r="41" spans="1:11" s="1895" customFormat="1" ht="12" customHeight="1" x14ac:dyDescent="0.25">
      <c r="A41" s="2325"/>
      <c r="B41" s="2326"/>
      <c r="C41" s="2326"/>
      <c r="D41" s="2326"/>
      <c r="E41" s="2326"/>
      <c r="F41" s="2327"/>
      <c r="H41" s="1904"/>
      <c r="I41" s="1904"/>
      <c r="J41" s="1904"/>
      <c r="K41" s="1904"/>
    </row>
    <row r="42" spans="1:11" s="1895" customFormat="1" ht="12" customHeight="1" x14ac:dyDescent="0.25">
      <c r="A42" s="2325"/>
      <c r="B42" s="2326"/>
      <c r="C42" s="2326"/>
      <c r="D42" s="2326"/>
      <c r="E42" s="2326"/>
      <c r="F42" s="2327"/>
      <c r="H42" s="1904"/>
      <c r="I42" s="1904"/>
      <c r="J42" s="1904"/>
      <c r="K42" s="1904"/>
    </row>
    <row r="43" spans="1:11" s="1895" customFormat="1" ht="15" x14ac:dyDescent="0.25">
      <c r="A43" s="2317"/>
      <c r="B43" s="2318"/>
      <c r="C43" s="2318"/>
      <c r="D43" s="2318"/>
      <c r="E43" s="2318"/>
      <c r="F43" s="2319"/>
      <c r="H43" s="1904"/>
      <c r="I43" s="1904"/>
      <c r="J43" s="1904"/>
      <c r="K43" s="1904"/>
    </row>
    <row r="44" spans="1:11" s="1895" customFormat="1" ht="12" hidden="1" customHeight="1" x14ac:dyDescent="0.25">
      <c r="A44" s="2317"/>
      <c r="B44" s="2318"/>
      <c r="C44" s="2318"/>
      <c r="D44" s="2318"/>
      <c r="E44" s="2318"/>
      <c r="F44" s="231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D42" sqref="D42:H4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Millstadt CCSD 160</v>
      </c>
      <c r="J6" s="2334"/>
      <c r="Q6" s="1686"/>
    </row>
    <row r="7" spans="1:17" x14ac:dyDescent="0.2">
      <c r="A7" s="2335" t="s">
        <v>924</v>
      </c>
      <c r="B7" s="2336"/>
      <c r="C7" s="2336"/>
      <c r="D7" s="2336"/>
      <c r="E7" s="2337"/>
      <c r="F7" s="1018"/>
      <c r="G7" s="1010"/>
      <c r="H7" s="1017" t="s">
        <v>390</v>
      </c>
      <c r="I7" s="2338">
        <f>COVER!A13</f>
        <v>50082160004</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153994</v>
      </c>
      <c r="F12" s="1040"/>
      <c r="G12" s="1834">
        <f t="shared" ref="G12:G18" si="0">SUM(E12:F12)</f>
        <v>153994</v>
      </c>
      <c r="H12" s="1041">
        <v>159000</v>
      </c>
      <c r="I12" s="1040"/>
      <c r="J12" s="1834">
        <f t="shared" ref="J12:J18" si="1">SUM(H12:I12)</f>
        <v>159000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153994</v>
      </c>
      <c r="F19" s="1836">
        <f t="shared" si="2"/>
        <v>0</v>
      </c>
      <c r="G19" s="1836">
        <f t="shared" si="2"/>
        <v>153994</v>
      </c>
      <c r="H19" s="1836">
        <f t="shared" si="2"/>
        <v>159000</v>
      </c>
      <c r="I19" s="1836">
        <f t="shared" si="2"/>
        <v>0</v>
      </c>
      <c r="J19" s="1836">
        <f t="shared" si="2"/>
        <v>159000</v>
      </c>
    </row>
    <row r="20" spans="1:10" ht="13.5" thickTop="1" x14ac:dyDescent="0.2">
      <c r="A20" s="1036">
        <v>9</v>
      </c>
      <c r="B20" s="2345" t="s">
        <v>1703</v>
      </c>
      <c r="C20" s="2345"/>
      <c r="D20" s="2346"/>
      <c r="E20" s="1047"/>
      <c r="F20" s="1047"/>
      <c r="G20" s="1047"/>
      <c r="H20" s="1047"/>
      <c r="I20" s="1047"/>
      <c r="J20" s="1837">
        <f>IF(AND(G19&gt;0,J19&gt;0),(((J19-G19)/G19)),"Enter Budget Data")</f>
        <v>3.250776004259906E-2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1943</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opLeftCell="A7" zoomScale="110" zoomScaleNormal="110" workbookViewId="0">
      <selection activeCell="D42" sqref="D42:H4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2095</v>
      </c>
    </row>
    <row r="6" spans="1:2" x14ac:dyDescent="0.2">
      <c r="A6" s="1069">
        <v>2</v>
      </c>
      <c r="B6" s="329" t="s">
        <v>2096</v>
      </c>
    </row>
    <row r="7" spans="1:2" x14ac:dyDescent="0.2">
      <c r="A7" s="1069">
        <v>3</v>
      </c>
      <c r="B7" s="329" t="s">
        <v>2097</v>
      </c>
    </row>
    <row r="8" spans="1:2" x14ac:dyDescent="0.2">
      <c r="A8" s="1069">
        <v>4</v>
      </c>
      <c r="B8" s="329" t="s">
        <v>2098</v>
      </c>
    </row>
    <row r="9" spans="1:2" x14ac:dyDescent="0.2">
      <c r="A9" s="1069">
        <v>5</v>
      </c>
      <c r="B9" s="329" t="s">
        <v>2099</v>
      </c>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Millstadt CCSD 160</v>
      </c>
    </row>
    <row r="65" spans="2:2" x14ac:dyDescent="0.2">
      <c r="B65" s="1071">
        <f>COVER!A13</f>
        <v>50082160004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42" sqref="D42:H4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2054</v>
      </c>
      <c r="B4" s="2373"/>
      <c r="C4" s="2373"/>
      <c r="D4" s="2373"/>
      <c r="E4" s="2373"/>
      <c r="F4" s="2374"/>
      <c r="G4" s="1075"/>
      <c r="H4" s="1075"/>
    </row>
    <row r="5" spans="1:8" ht="14.25" customHeight="1" x14ac:dyDescent="0.2">
      <c r="A5" s="2375" t="s">
        <v>2055</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6043016</v>
      </c>
      <c r="C8" s="1838">
        <f>'Acct Summary 7-8'!D8</f>
        <v>659593</v>
      </c>
      <c r="D8" s="1838">
        <f>'Acct Summary 7-8'!F8</f>
        <v>618120</v>
      </c>
      <c r="E8" s="1838">
        <f>'Acct Summary 7-8'!I8</f>
        <v>106699</v>
      </c>
      <c r="F8" s="1838">
        <f>SUM(B8:E8)</f>
        <v>7427428</v>
      </c>
    </row>
    <row r="9" spans="1:8" s="1080" customFormat="1" ht="14.25" customHeight="1" thickBot="1" x14ac:dyDescent="0.25">
      <c r="A9" s="1079" t="s">
        <v>1436</v>
      </c>
      <c r="B9" s="1839">
        <f>'Acct Summary 7-8'!C17</f>
        <v>6017552</v>
      </c>
      <c r="C9" s="1839">
        <f>'Acct Summary 7-8'!D17</f>
        <v>632155</v>
      </c>
      <c r="D9" s="1839">
        <f>'Acct Summary 7-8'!F17</f>
        <v>197490</v>
      </c>
      <c r="E9" s="1838"/>
      <c r="F9" s="1838">
        <f>SUM(B9:E9)</f>
        <v>6847197</v>
      </c>
    </row>
    <row r="10" spans="1:8" s="1080" customFormat="1" ht="14.25" thickTop="1" thickBot="1" x14ac:dyDescent="0.25">
      <c r="A10" s="1081" t="s">
        <v>1437</v>
      </c>
      <c r="B10" s="1840">
        <f>(B8-B9)</f>
        <v>25464</v>
      </c>
      <c r="C10" s="1840">
        <f>(C8-C9)</f>
        <v>27438</v>
      </c>
      <c r="D10" s="1840">
        <f>(D8-D9)</f>
        <v>420630</v>
      </c>
      <c r="E10" s="1839">
        <f>(E8-E9)</f>
        <v>106699</v>
      </c>
      <c r="F10" s="1841">
        <f>SUM(F8-F9)</f>
        <v>580231</v>
      </c>
    </row>
    <row r="11" spans="1:8" s="1080" customFormat="1" ht="14.25" thickTop="1" thickBot="1" x14ac:dyDescent="0.25">
      <c r="A11" s="1082" t="s">
        <v>1785</v>
      </c>
      <c r="B11" s="1842">
        <f>'Acct Summary 7-8'!C81</f>
        <v>127283</v>
      </c>
      <c r="C11" s="1842">
        <f>'Acct Summary 7-8'!D81</f>
        <v>32428</v>
      </c>
      <c r="D11" s="1842">
        <f>'Acct Summary 7-8'!F81</f>
        <v>1395760</v>
      </c>
      <c r="E11" s="1842">
        <f>'Acct Summary 7-8'!I81</f>
        <v>1389816</v>
      </c>
      <c r="F11" s="1843">
        <f>SUM(B11:E11)</f>
        <v>2945287</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D82" sqref="D82"/>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50082160004</v>
      </c>
    </row>
    <row r="3" spans="1:2" x14ac:dyDescent="0.2">
      <c r="A3" t="s">
        <v>1013</v>
      </c>
      <c r="B3" s="138" t="str">
        <f>COVER!A15</f>
        <v>St. Clair</v>
      </c>
    </row>
    <row r="4" spans="1:2" x14ac:dyDescent="0.2">
      <c r="A4" t="s">
        <v>1064</v>
      </c>
      <c r="B4" s="138" t="str">
        <f>COVER!A17</f>
        <v>Millstadt CCSD 160</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060-008105</v>
      </c>
    </row>
    <row r="16" spans="1:2" x14ac:dyDescent="0.2">
      <c r="A16" t="s">
        <v>442</v>
      </c>
      <c r="B16" s="138" t="str">
        <f>COVER!T13</f>
        <v>Fick, Eggemeyer &amp; Williamson</v>
      </c>
    </row>
    <row r="17" spans="1:2" x14ac:dyDescent="0.2">
      <c r="A17" t="s">
        <v>939</v>
      </c>
      <c r="B17" s="138" t="str">
        <f>COVER!T15</f>
        <v>Keith Slusser</v>
      </c>
    </row>
    <row r="18" spans="1:2" x14ac:dyDescent="0.2">
      <c r="A18" t="s">
        <v>1212</v>
      </c>
      <c r="B18" s="138" t="str">
        <f>COVER!T17</f>
        <v>205 S. Main</v>
      </c>
    </row>
    <row r="19" spans="1:2" x14ac:dyDescent="0.2">
      <c r="A19" t="s">
        <v>941</v>
      </c>
      <c r="B19" s="138" t="str">
        <f>COVER!T25</f>
        <v>keith@afewcpas.com</v>
      </c>
    </row>
    <row r="20" spans="1:2" x14ac:dyDescent="0.2">
      <c r="A20" t="s">
        <v>942</v>
      </c>
      <c r="B20" s="138" t="str">
        <f>COVER!T19</f>
        <v>Columbia</v>
      </c>
    </row>
    <row r="21" spans="1:2" x14ac:dyDescent="0.2">
      <c r="A21" t="s">
        <v>500</v>
      </c>
      <c r="B21" s="138" t="str">
        <f>COVER!X19</f>
        <v>IL</v>
      </c>
    </row>
    <row r="22" spans="1:2" x14ac:dyDescent="0.2">
      <c r="A22" t="s">
        <v>943</v>
      </c>
      <c r="B22" s="138">
        <f>COVER!Z19</f>
        <v>62236</v>
      </c>
    </row>
    <row r="23" spans="1:2" x14ac:dyDescent="0.2">
      <c r="A23" t="s">
        <v>1214</v>
      </c>
      <c r="B23" s="138" t="str">
        <f>COVER!T21</f>
        <v>314-845-7999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1583607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1456324</v>
      </c>
      <c r="C91" s="2" t="s">
        <v>594</v>
      </c>
      <c r="D91" s="2" t="str">
        <f t="shared" si="0"/>
        <v>Error?</v>
      </c>
    </row>
    <row r="92" spans="1:4" x14ac:dyDescent="0.2">
      <c r="A92" s="5">
        <v>31</v>
      </c>
      <c r="B92" s="138">
        <f>'Assets-Liab 5-6'!C39</f>
        <v>127283</v>
      </c>
      <c r="D92" s="2" t="str">
        <f t="shared" si="0"/>
        <v>Error?</v>
      </c>
    </row>
    <row r="93" spans="1:4" x14ac:dyDescent="0.2">
      <c r="A93" s="5">
        <v>32</v>
      </c>
      <c r="B93" s="138">
        <f>'Assets-Liab 5-6'!C41</f>
        <v>1583607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92428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60000</v>
      </c>
      <c r="C122" s="2" t="s">
        <v>594</v>
      </c>
      <c r="D122" s="2" t="str">
        <f t="shared" si="0"/>
        <v>Error?</v>
      </c>
    </row>
    <row r="123" spans="1:4" x14ac:dyDescent="0.2">
      <c r="A123" s="5">
        <v>62</v>
      </c>
      <c r="B123" s="138">
        <f>'Assets-Liab 5-6'!D39</f>
        <v>-35662</v>
      </c>
      <c r="D123" s="2" t="str">
        <f t="shared" si="0"/>
        <v>Error?</v>
      </c>
    </row>
    <row r="124" spans="1:4" x14ac:dyDescent="0.2">
      <c r="A124" s="5">
        <v>63</v>
      </c>
      <c r="B124" s="138">
        <f>'Assets-Liab 5-6'!D41</f>
        <v>92428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731005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731005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1395760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1395760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132052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132052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474102</v>
      </c>
      <c r="D273" s="2" t="str">
        <f t="shared" si="3"/>
        <v>Error?</v>
      </c>
    </row>
    <row r="274" spans="1:4" x14ac:dyDescent="0.2">
      <c r="A274" s="5">
        <v>213</v>
      </c>
      <c r="B274" s="138">
        <f>'Assets-Liab 5-6'!M17</f>
        <v>11092412</v>
      </c>
      <c r="D274" s="2" t="str">
        <f t="shared" si="3"/>
        <v>Error?</v>
      </c>
    </row>
    <row r="275" spans="1:4" x14ac:dyDescent="0.2">
      <c r="A275" s="5">
        <v>214</v>
      </c>
      <c r="B275" s="138">
        <f>'Assets-Liab 5-6'!M18</f>
        <v>0</v>
      </c>
      <c r="D275" s="2" t="str">
        <f t="shared" si="3"/>
        <v>Error?</v>
      </c>
    </row>
    <row r="276" spans="1:4" x14ac:dyDescent="0.2">
      <c r="A276" s="5">
        <v>215</v>
      </c>
      <c r="B276" s="138">
        <f>'Assets-Liab 5-6'!M19</f>
        <v>102385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11668899</v>
      </c>
      <c r="C279" s="2" t="s">
        <v>594</v>
      </c>
      <c r="D279" s="2" t="str">
        <f t="shared" si="3"/>
        <v>Error?</v>
      </c>
    </row>
    <row r="280" spans="1:4" x14ac:dyDescent="0.2">
      <c r="A280" s="5">
        <v>219</v>
      </c>
      <c r="B280" s="138">
        <f>'Assets-Liab 5-6'!M40</f>
        <v>11668899</v>
      </c>
      <c r="D280" s="2" t="str">
        <f t="shared" si="3"/>
        <v>Error?</v>
      </c>
    </row>
    <row r="281" spans="1:4" x14ac:dyDescent="0.2">
      <c r="A281" s="5">
        <v>220</v>
      </c>
      <c r="B281" s="138">
        <f>'Assets-Liab 5-6'!M41</f>
        <v>11668899</v>
      </c>
      <c r="C281" s="2" t="s">
        <v>594</v>
      </c>
      <c r="D281" s="2" t="str">
        <f t="shared" si="3"/>
        <v>Error?</v>
      </c>
    </row>
    <row r="282" spans="1:4" x14ac:dyDescent="0.2">
      <c r="A282" s="5">
        <v>221</v>
      </c>
      <c r="B282" s="138">
        <f>'Assets-Liab 5-6'!N21</f>
        <v>731005</v>
      </c>
      <c r="D282" s="2" t="str">
        <f t="shared" si="3"/>
        <v>Error?</v>
      </c>
    </row>
    <row r="283" spans="1:4" x14ac:dyDescent="0.2">
      <c r="A283" s="5">
        <v>222</v>
      </c>
      <c r="B283" s="138">
        <f>'Assets-Liab 5-6'!N22</f>
        <v>6047995</v>
      </c>
      <c r="D283" s="2" t="str">
        <f t="shared" si="3"/>
        <v>Error?</v>
      </c>
    </row>
    <row r="284" spans="1:4" x14ac:dyDescent="0.2">
      <c r="A284" s="5">
        <v>223</v>
      </c>
      <c r="B284" s="138">
        <f>'Assets-Liab 5-6'!N23</f>
        <v>6779000</v>
      </c>
      <c r="C284" s="2" t="s">
        <v>594</v>
      </c>
      <c r="D284" s="2" t="str">
        <f t="shared" si="3"/>
        <v>Error?</v>
      </c>
    </row>
    <row r="285" spans="1:4" x14ac:dyDescent="0.2">
      <c r="A285" s="5">
        <v>224</v>
      </c>
      <c r="B285" s="138">
        <f>'Assets-Liab 5-6'!N36</f>
        <v>6779000</v>
      </c>
      <c r="D285" s="2" t="str">
        <f t="shared" si="3"/>
        <v>Error?</v>
      </c>
    </row>
    <row r="286" spans="1:4" x14ac:dyDescent="0.2">
      <c r="A286" s="10">
        <v>225</v>
      </c>
      <c r="D286" s="2" t="str">
        <f t="shared" si="3"/>
        <v>OK</v>
      </c>
    </row>
    <row r="287" spans="1:4" x14ac:dyDescent="0.2">
      <c r="A287" s="5">
        <v>226</v>
      </c>
      <c r="B287" s="138">
        <f>'Assets-Liab 5-6'!N37</f>
        <v>6779000</v>
      </c>
      <c r="C287" s="2" t="s">
        <v>594</v>
      </c>
      <c r="D287" s="2" t="str">
        <f t="shared" si="3"/>
        <v>Error?</v>
      </c>
    </row>
    <row r="288" spans="1:4" x14ac:dyDescent="0.2">
      <c r="A288" s="5">
        <v>227</v>
      </c>
      <c r="B288" s="138">
        <f>'Assets-Liab 5-6'!N41</f>
        <v>6779000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1200000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2792408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32413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3782989</v>
      </c>
      <c r="C720" s="2" t="s">
        <v>594</v>
      </c>
      <c r="D720" s="2" t="str">
        <f t="shared" si="10"/>
        <v>Error?</v>
      </c>
    </row>
    <row r="721" spans="1:4" x14ac:dyDescent="0.2">
      <c r="A721" s="5">
        <v>660</v>
      </c>
      <c r="B721" s="138">
        <f>'Expenditures 15-22'!C36</f>
        <v>66917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2285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69202</v>
      </c>
      <c r="C727" s="2" t="s">
        <v>594</v>
      </c>
      <c r="D727" s="2" t="str">
        <f t="shared" si="10"/>
        <v>Error?</v>
      </c>
    </row>
    <row r="728" spans="1:4" x14ac:dyDescent="0.2">
      <c r="A728" s="5">
        <v>667</v>
      </c>
      <c r="B728" s="138">
        <f>'Expenditures 15-22'!C44</f>
        <v>71607</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71607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117625</v>
      </c>
      <c r="D733" s="2" t="str">
        <f t="shared" si="10"/>
        <v>Error?</v>
      </c>
    </row>
    <row r="734" spans="1:4" x14ac:dyDescent="0.2">
      <c r="A734" s="5">
        <v>673</v>
      </c>
      <c r="B734" s="138">
        <f>'Expenditures 15-22'!C53</f>
        <v>117625</v>
      </c>
      <c r="C734" s="2" t="s">
        <v>594</v>
      </c>
      <c r="D734" s="2" t="str">
        <f t="shared" si="10"/>
        <v>Error?</v>
      </c>
    </row>
    <row r="735" spans="1:4" x14ac:dyDescent="0.2">
      <c r="A735" s="5">
        <v>674</v>
      </c>
      <c r="B735" s="138">
        <f>'Expenditures 15-22'!C55</f>
        <v>171466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171466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57651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50123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107774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537674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4320663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694117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3568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858444</v>
      </c>
      <c r="C778" s="2" t="s">
        <v>594</v>
      </c>
      <c r="D778" s="2" t="str">
        <f t="shared" si="11"/>
        <v>Error?</v>
      </c>
    </row>
    <row r="779" spans="1:4" x14ac:dyDescent="0.2">
      <c r="A779" s="5">
        <v>718</v>
      </c>
      <c r="B779" s="138">
        <f>'Expenditures 15-22'!D36</f>
        <v>16325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16325</v>
      </c>
      <c r="C785" s="2" t="s">
        <v>594</v>
      </c>
      <c r="D785" s="2" t="str">
        <f t="shared" si="11"/>
        <v>Error?</v>
      </c>
    </row>
    <row r="786" spans="1:4" x14ac:dyDescent="0.2">
      <c r="A786" s="5">
        <v>725</v>
      </c>
      <c r="B786" s="138">
        <f>'Expenditures 15-22'!D44</f>
        <v>21522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21522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29184</v>
      </c>
      <c r="D791" s="2" t="str">
        <f t="shared" si="11"/>
        <v>Error?</v>
      </c>
    </row>
    <row r="792" spans="1:4" x14ac:dyDescent="0.2">
      <c r="A792" s="5">
        <v>731</v>
      </c>
      <c r="B792" s="138">
        <f>'Expenditures 15-22'!D53</f>
        <v>29184</v>
      </c>
      <c r="C792" s="2" t="s">
        <v>594</v>
      </c>
      <c r="D792" s="2" t="str">
        <f t="shared" si="11"/>
        <v>Error?</v>
      </c>
    </row>
    <row r="793" spans="1:4" x14ac:dyDescent="0.2">
      <c r="A793" s="5">
        <v>732</v>
      </c>
      <c r="B793" s="138">
        <f>'Expenditures 15-22'!D55</f>
        <v>55851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55851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12604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6986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19590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142472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1000916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6931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15641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26912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1074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1074</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7600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7600</v>
      </c>
      <c r="C847" s="2" t="s">
        <v>594</v>
      </c>
      <c r="D847" s="2" t="str">
        <f t="shared" si="12"/>
        <v>Error?</v>
      </c>
    </row>
    <row r="848" spans="1:4" x14ac:dyDescent="0.2">
      <c r="A848" s="5">
        <v>787</v>
      </c>
      <c r="B848" s="138">
        <f>'Expenditures 15-22'!E49</f>
        <v>25548</v>
      </c>
      <c r="D848" s="2" t="str">
        <f t="shared" si="12"/>
        <v>Error?</v>
      </c>
    </row>
    <row r="849" spans="1:4" x14ac:dyDescent="0.2">
      <c r="A849" s="5">
        <v>788</v>
      </c>
      <c r="B849" s="138">
        <f>'Expenditures 15-22'!E50</f>
        <v>6381</v>
      </c>
      <c r="D849" s="2" t="str">
        <f t="shared" si="12"/>
        <v>Error?</v>
      </c>
    </row>
    <row r="850" spans="1:4" x14ac:dyDescent="0.2">
      <c r="A850" s="5">
        <v>789</v>
      </c>
      <c r="B850" s="138">
        <f>'Expenditures 15-22'!E53</f>
        <v>31929</v>
      </c>
      <c r="C850" s="2" t="s">
        <v>594</v>
      </c>
      <c r="D850" s="2" t="str">
        <f t="shared" si="12"/>
        <v>Error?</v>
      </c>
    </row>
    <row r="851" spans="1:4" x14ac:dyDescent="0.2">
      <c r="A851" s="5">
        <v>790</v>
      </c>
      <c r="B851" s="138">
        <f>'Expenditures 15-22'!E55</f>
        <v>15961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15961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488</v>
      </c>
      <c r="D855" s="2" t="str">
        <f t="shared" si="12"/>
        <v>Error?</v>
      </c>
    </row>
    <row r="856" spans="1:4" x14ac:dyDescent="0.2">
      <c r="A856" s="5">
        <v>795</v>
      </c>
      <c r="B856" s="138">
        <f>'Expenditures 15-22'!E61</f>
        <v>19683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204324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224495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281059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558433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97698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1528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102429</v>
      </c>
      <c r="C894" s="2" t="s">
        <v>594</v>
      </c>
      <c r="D894" s="2" t="str">
        <f t="shared" si="12"/>
        <v>Error?</v>
      </c>
    </row>
    <row r="895" spans="1:4" x14ac:dyDescent="0.2">
      <c r="A895" s="5">
        <v>834</v>
      </c>
      <c r="B895" s="138">
        <f>'Expenditures 15-22'!F36</f>
        <v>12</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894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906</v>
      </c>
      <c r="C901" s="2" t="s">
        <v>594</v>
      </c>
      <c r="D901" s="2" t="str">
        <f t="shared" si="13"/>
        <v>Error?</v>
      </c>
    </row>
    <row r="902" spans="1:4" x14ac:dyDescent="0.2">
      <c r="A902" s="5">
        <v>841</v>
      </c>
      <c r="B902" s="138">
        <f>'Expenditures 15-22'!F44</f>
        <v>5152</v>
      </c>
      <c r="D902" s="2" t="str">
        <f t="shared" si="13"/>
        <v>Error?</v>
      </c>
    </row>
    <row r="903" spans="1:4" x14ac:dyDescent="0.2">
      <c r="A903" s="5">
        <v>842</v>
      </c>
      <c r="B903" s="138">
        <f>'Expenditures 15-22'!F45</f>
        <v>327</v>
      </c>
      <c r="D903" s="2" t="str">
        <f t="shared" si="13"/>
        <v>Error?</v>
      </c>
    </row>
    <row r="904" spans="1:4" x14ac:dyDescent="0.2">
      <c r="A904" s="5">
        <v>843</v>
      </c>
      <c r="B904" s="138">
        <f>'Expenditures 15-22'!F46</f>
        <v>5554</v>
      </c>
      <c r="D904" s="2" t="str">
        <f t="shared" si="13"/>
        <v>Error?</v>
      </c>
    </row>
    <row r="905" spans="1:4" x14ac:dyDescent="0.2">
      <c r="A905" s="5">
        <v>844</v>
      </c>
      <c r="B905" s="138">
        <f>'Expenditures 15-22'!F47</f>
        <v>11033</v>
      </c>
      <c r="C905" s="2" t="s">
        <v>594</v>
      </c>
      <c r="D905" s="2" t="str">
        <f t="shared" si="13"/>
        <v>Error?</v>
      </c>
    </row>
    <row r="906" spans="1:4" x14ac:dyDescent="0.2">
      <c r="A906" s="5">
        <v>845</v>
      </c>
      <c r="B906" s="138">
        <f>'Expenditures 15-22'!F49</f>
        <v>334</v>
      </c>
      <c r="D906" s="2" t="str">
        <f t="shared" si="13"/>
        <v>Error?</v>
      </c>
    </row>
    <row r="907" spans="1:4" x14ac:dyDescent="0.2">
      <c r="A907" s="5">
        <v>846</v>
      </c>
      <c r="B907" s="138">
        <f>'Expenditures 15-22'!F50</f>
        <v>804</v>
      </c>
      <c r="D907" s="2" t="str">
        <f t="shared" si="13"/>
        <v>Error?</v>
      </c>
    </row>
    <row r="908" spans="1:4" x14ac:dyDescent="0.2">
      <c r="A908" s="5">
        <v>847</v>
      </c>
      <c r="B908" s="138">
        <f>'Expenditures 15-22'!F53</f>
        <v>1138</v>
      </c>
      <c r="C908" s="2" t="s">
        <v>594</v>
      </c>
      <c r="D908" s="2" t="str">
        <f t="shared" si="13"/>
        <v>Error?</v>
      </c>
    </row>
    <row r="909" spans="1:4" x14ac:dyDescent="0.2">
      <c r="A909" s="5">
        <v>848</v>
      </c>
      <c r="B909" s="138">
        <f>'Expenditures 15-22'!F55</f>
        <v>1947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1947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2057</v>
      </c>
      <c r="D913" s="2" t="str">
        <f t="shared" si="13"/>
        <v>Error?</v>
      </c>
    </row>
    <row r="914" spans="1:4" x14ac:dyDescent="0.2">
      <c r="A914" s="5">
        <v>853</v>
      </c>
      <c r="B914" s="138">
        <f>'Expenditures 15-22'!F61</f>
        <v>12679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5351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20087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35111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137540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3591154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53150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4770774</v>
      </c>
      <c r="C1108" s="2" t="s">
        <v>594</v>
      </c>
      <c r="D1108" s="2" t="str">
        <f t="shared" si="16"/>
        <v>Error?</v>
      </c>
    </row>
    <row r="1109" spans="1:4" x14ac:dyDescent="0.2">
      <c r="A1109" s="5">
        <v>1048</v>
      </c>
      <c r="B1109" s="138">
        <f>'Expenditures 15-22'!K36</f>
        <v>83254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4253</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87507</v>
      </c>
      <c r="C1115" s="2" t="s">
        <v>594</v>
      </c>
      <c r="D1115" s="2" t="str">
        <f t="shared" si="16"/>
        <v>Error?</v>
      </c>
    </row>
    <row r="1116" spans="1:4" x14ac:dyDescent="0.2">
      <c r="A1116" s="5">
        <v>1055</v>
      </c>
      <c r="B1116" s="138">
        <f>'Expenditures 15-22'!K44</f>
        <v>98281</v>
      </c>
      <c r="C1116" s="2" t="s">
        <v>594</v>
      </c>
      <c r="D1116" s="2" t="str">
        <f t="shared" si="16"/>
        <v>Error?</v>
      </c>
    </row>
    <row r="1117" spans="1:4" x14ac:dyDescent="0.2">
      <c r="A1117" s="5">
        <v>1056</v>
      </c>
      <c r="B1117" s="138">
        <f>'Expenditures 15-22'!K45</f>
        <v>7927</v>
      </c>
      <c r="C1117" s="2" t="s">
        <v>594</v>
      </c>
      <c r="D1117" s="2" t="str">
        <f t="shared" si="16"/>
        <v>Error?</v>
      </c>
    </row>
    <row r="1118" spans="1:4" x14ac:dyDescent="0.2">
      <c r="A1118" s="5">
        <v>1057</v>
      </c>
      <c r="B1118" s="138">
        <f>'Expenditures 15-22'!K46</f>
        <v>5554</v>
      </c>
      <c r="C1118" s="2" t="s">
        <v>594</v>
      </c>
      <c r="D1118" s="2" t="str">
        <f t="shared" si="16"/>
        <v>Error?</v>
      </c>
    </row>
    <row r="1119" spans="1:4" x14ac:dyDescent="0.2">
      <c r="A1119" s="5">
        <v>1058</v>
      </c>
      <c r="B1119" s="138">
        <f>'Expenditures 15-22'!K47</f>
        <v>111762</v>
      </c>
      <c r="C1119" s="2" t="s">
        <v>594</v>
      </c>
      <c r="D1119" s="2" t="str">
        <f t="shared" si="16"/>
        <v>Error?</v>
      </c>
    </row>
    <row r="1120" spans="1:4" x14ac:dyDescent="0.2">
      <c r="A1120" s="5">
        <v>1059</v>
      </c>
      <c r="B1120" s="138">
        <f>'Expenditures 15-22'!K49</f>
        <v>25882</v>
      </c>
      <c r="C1120" s="2" t="s">
        <v>594</v>
      </c>
      <c r="D1120" s="2" t="str">
        <f t="shared" si="16"/>
        <v>Error?</v>
      </c>
    </row>
    <row r="1121" spans="1:4" x14ac:dyDescent="0.2">
      <c r="A1121" s="5">
        <v>1060</v>
      </c>
      <c r="B1121" s="138">
        <f>'Expenditures 15-22'!K50</f>
        <v>153994</v>
      </c>
      <c r="C1121" s="2" t="s">
        <v>594</v>
      </c>
      <c r="D1121" s="2" t="str">
        <f t="shared" si="16"/>
        <v>Error?</v>
      </c>
    </row>
    <row r="1122" spans="1:4" x14ac:dyDescent="0.2">
      <c r="A1122" s="5">
        <v>1061</v>
      </c>
      <c r="B1122" s="138">
        <f>'Expenditures 15-22'!K53</f>
        <v>179876</v>
      </c>
      <c r="C1122" s="2" t="s">
        <v>594</v>
      </c>
      <c r="D1122" s="2" t="str">
        <f t="shared" si="16"/>
        <v>Error?</v>
      </c>
    </row>
    <row r="1123" spans="1:4" x14ac:dyDescent="0.2">
      <c r="A1123" s="5">
        <v>1062</v>
      </c>
      <c r="B1123" s="138">
        <f>'Expenditures 15-22'!K55</f>
        <v>245225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245225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72800</v>
      </c>
      <c r="C1127" s="2" t="s">
        <v>594</v>
      </c>
      <c r="D1127" s="2" t="str">
        <f t="shared" si="16"/>
        <v>Error?</v>
      </c>
    </row>
    <row r="1128" spans="1:4" x14ac:dyDescent="0.2">
      <c r="A1128" s="5">
        <v>1067</v>
      </c>
      <c r="B1128" s="138">
        <f>'Expenditures 15-22'!K61</f>
        <v>32362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266784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371946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996316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250462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6017552</v>
      </c>
      <c r="C1152" s="2" t="s">
        <v>594</v>
      </c>
      <c r="D1152" s="2" t="str">
        <f t="shared" si="17"/>
        <v>Error?</v>
      </c>
    </row>
    <row r="1153" spans="1:4" x14ac:dyDescent="0.2">
      <c r="A1153" s="5">
        <v>1092</v>
      </c>
      <c r="B1153" s="138">
        <f>'Expenditures 15-22'!K115</f>
        <v>25464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227002</v>
      </c>
      <c r="D1221" s="2" t="str">
        <f t="shared" si="18"/>
        <v>Error?</v>
      </c>
    </row>
    <row r="1222" spans="1:4" x14ac:dyDescent="0.2">
      <c r="A1222" s="10">
        <v>1161</v>
      </c>
      <c r="D1222" s="2" t="str">
        <f t="shared" si="18"/>
        <v>OK</v>
      </c>
    </row>
    <row r="1223" spans="1:4" x14ac:dyDescent="0.2">
      <c r="A1223" s="5">
        <v>1162</v>
      </c>
      <c r="B1223" s="138">
        <f>'Expenditures 15-22'!C127</f>
        <v>227002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227002</v>
      </c>
      <c r="C1225" s="2" t="s">
        <v>594</v>
      </c>
      <c r="D1225" s="2" t="str">
        <f t="shared" si="18"/>
        <v>Error?</v>
      </c>
    </row>
    <row r="1226" spans="1:4" x14ac:dyDescent="0.2">
      <c r="A1226" s="5">
        <v>1165</v>
      </c>
      <c r="B1226" s="138">
        <f>'Expenditures 15-22'!C151</f>
        <v>227002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34783</v>
      </c>
      <c r="D1229" s="2" t="str">
        <f t="shared" si="18"/>
        <v>Error?</v>
      </c>
    </row>
    <row r="1230" spans="1:4" x14ac:dyDescent="0.2">
      <c r="A1230" s="10">
        <v>1169</v>
      </c>
      <c r="D1230" s="2" t="str">
        <f t="shared" si="18"/>
        <v>OK</v>
      </c>
    </row>
    <row r="1231" spans="1:4" x14ac:dyDescent="0.2">
      <c r="A1231" s="5">
        <v>1170</v>
      </c>
      <c r="B1231" s="138">
        <f>'Expenditures 15-22'!D127</f>
        <v>34783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34783</v>
      </c>
      <c r="C1233" s="2" t="s">
        <v>594</v>
      </c>
      <c r="D1233" s="2" t="str">
        <f t="shared" si="18"/>
        <v>Error?</v>
      </c>
    </row>
    <row r="1234" spans="1:4" x14ac:dyDescent="0.2">
      <c r="A1234" s="5">
        <v>1173</v>
      </c>
      <c r="B1234" s="138">
        <f>'Expenditures 15-22'!D151</f>
        <v>34783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41373</v>
      </c>
      <c r="D1237" s="2" t="str">
        <f t="shared" si="18"/>
        <v>Error?</v>
      </c>
    </row>
    <row r="1238" spans="1:4" x14ac:dyDescent="0.2">
      <c r="A1238" s="10">
        <v>1177</v>
      </c>
      <c r="D1238" s="2" t="str">
        <f t="shared" si="18"/>
        <v>OK</v>
      </c>
    </row>
    <row r="1239" spans="1:4" x14ac:dyDescent="0.2">
      <c r="A1239" s="5">
        <v>1178</v>
      </c>
      <c r="B1239" s="138">
        <f>'Expenditures 15-22'!E127</f>
        <v>41373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41373</v>
      </c>
      <c r="C1241" s="2" t="s">
        <v>594</v>
      </c>
      <c r="D1241" s="2" t="str">
        <f t="shared" si="18"/>
        <v>Error?</v>
      </c>
    </row>
    <row r="1242" spans="1:4" x14ac:dyDescent="0.2">
      <c r="A1242" s="5">
        <v>1181</v>
      </c>
      <c r="B1242" s="138">
        <f>'Expenditures 15-22'!E151</f>
        <v>41373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207835</v>
      </c>
      <c r="D1245" s="2" t="str">
        <f t="shared" si="18"/>
        <v>Error?</v>
      </c>
    </row>
    <row r="1246" spans="1:4" x14ac:dyDescent="0.2">
      <c r="A1246" s="10">
        <v>1185</v>
      </c>
      <c r="D1246" s="2" t="str">
        <f t="shared" si="18"/>
        <v>OK</v>
      </c>
    </row>
    <row r="1247" spans="1:4" x14ac:dyDescent="0.2">
      <c r="A1247" s="5">
        <v>1186</v>
      </c>
      <c r="B1247" s="138">
        <f>'Expenditures 15-22'!F127</f>
        <v>207835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207835</v>
      </c>
      <c r="C1249" s="2" t="s">
        <v>594</v>
      </c>
      <c r="D1249" s="2" t="str">
        <f t="shared" si="18"/>
        <v>Error?</v>
      </c>
    </row>
    <row r="1250" spans="1:4" x14ac:dyDescent="0.2">
      <c r="A1250" s="5">
        <v>1189</v>
      </c>
      <c r="B1250" s="138">
        <f>'Expenditures 15-22'!F151</f>
        <v>207835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121162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121162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121162</v>
      </c>
      <c r="C1258" s="2" t="s">
        <v>594</v>
      </c>
      <c r="D1258" s="2" t="str">
        <f t="shared" si="18"/>
        <v>Error?</v>
      </c>
    </row>
    <row r="1259" spans="1:4" x14ac:dyDescent="0.2">
      <c r="A1259" s="5">
        <v>1198</v>
      </c>
      <c r="B1259" s="138">
        <f>'Expenditures 15-22'!G151</f>
        <v>121162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632155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632155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632155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632155</v>
      </c>
      <c r="C1288" s="2" t="s">
        <v>594</v>
      </c>
      <c r="D1288" s="2" t="str">
        <f t="shared" si="19"/>
        <v>Error?</v>
      </c>
    </row>
    <row r="1289" spans="1:4" x14ac:dyDescent="0.2">
      <c r="A1289" s="5">
        <v>1228</v>
      </c>
      <c r="B1289" s="138">
        <f>'Expenditures 15-22'!K152</f>
        <v>27438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186182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825000</v>
      </c>
      <c r="D1315" s="2" t="str">
        <f t="shared" si="19"/>
        <v>Error?</v>
      </c>
    </row>
    <row r="1316" spans="1:4" x14ac:dyDescent="0.2">
      <c r="A1316" s="5">
        <v>1255</v>
      </c>
      <c r="B1316" s="138">
        <f>'Expenditures 15-22'!H171</f>
        <v>66987</v>
      </c>
      <c r="D1316" s="2" t="str">
        <f t="shared" si="19"/>
        <v>Error?</v>
      </c>
    </row>
    <row r="1317" spans="1:4" x14ac:dyDescent="0.2">
      <c r="A1317" s="5">
        <v>1256</v>
      </c>
      <c r="B1317" s="138">
        <f>'Expenditures 15-22'!H172</f>
        <v>1078169</v>
      </c>
      <c r="C1317" s="2" t="s">
        <v>594</v>
      </c>
      <c r="D1317" s="2" t="str">
        <f t="shared" si="19"/>
        <v>Error?</v>
      </c>
    </row>
    <row r="1318" spans="1:4" x14ac:dyDescent="0.2">
      <c r="A1318" s="5">
        <v>1257</v>
      </c>
      <c r="B1318" s="138">
        <f>'Expenditures 15-22'!H174</f>
        <v>1078169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186182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825000</v>
      </c>
      <c r="C1329" s="2" t="s">
        <v>594</v>
      </c>
      <c r="D1329" s="2" t="str">
        <f t="shared" si="19"/>
        <v>Error?</v>
      </c>
    </row>
    <row r="1330" spans="1:4" x14ac:dyDescent="0.2">
      <c r="A1330" s="5">
        <v>1269</v>
      </c>
      <c r="B1330" s="138">
        <f>'Expenditures 15-22'!K171</f>
        <v>66987</v>
      </c>
      <c r="C1330" s="2" t="s">
        <v>594</v>
      </c>
      <c r="D1330" s="2" t="str">
        <f t="shared" si="19"/>
        <v>Error?</v>
      </c>
    </row>
    <row r="1331" spans="1:4" x14ac:dyDescent="0.2">
      <c r="A1331" s="5">
        <v>1270</v>
      </c>
      <c r="B1331" s="138">
        <f>'Expenditures 15-22'!K172</f>
        <v>1078169</v>
      </c>
      <c r="C1331" s="2" t="s">
        <v>594</v>
      </c>
      <c r="D1331" s="2" t="str">
        <f t="shared" si="19"/>
        <v>Error?</v>
      </c>
    </row>
    <row r="1332" spans="1:4" x14ac:dyDescent="0.2">
      <c r="A1332" s="5">
        <v>1271</v>
      </c>
      <c r="B1332" s="138">
        <f>'Expenditures 15-22'!K174</f>
        <v>1078169</v>
      </c>
      <c r="C1332" s="2" t="s">
        <v>594</v>
      </c>
      <c r="D1332" s="2" t="str">
        <f t="shared" si="19"/>
        <v>Error?</v>
      </c>
    </row>
    <row r="1333" spans="1:4" x14ac:dyDescent="0.2">
      <c r="A1333" s="5">
        <v>1272</v>
      </c>
      <c r="B1333" s="138">
        <f>'Expenditures 15-22'!K175</f>
        <v>101778</v>
      </c>
      <c r="C1333" s="2" t="s">
        <v>594</v>
      </c>
      <c r="D1333" s="2" t="str">
        <f t="shared" si="19"/>
        <v>Error?</v>
      </c>
    </row>
    <row r="1334" spans="1:4" x14ac:dyDescent="0.2">
      <c r="A1334" s="10">
        <v>1273</v>
      </c>
      <c r="D1334" s="2" t="str">
        <f t="shared" si="19"/>
        <v>OK</v>
      </c>
    </row>
    <row r="1335" spans="1:4" x14ac:dyDescent="0.2">
      <c r="A1335" s="5">
        <v>1274</v>
      </c>
      <c r="B1335" s="138">
        <f>'Expenditures 15-22'!C182</f>
        <v>138924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138924</v>
      </c>
      <c r="C1339" s="2" t="s">
        <v>594</v>
      </c>
      <c r="D1339" s="2" t="str">
        <f t="shared" si="19"/>
        <v>Error?</v>
      </c>
    </row>
    <row r="1340" spans="1:4" x14ac:dyDescent="0.2">
      <c r="A1340" s="5">
        <v>1279</v>
      </c>
      <c r="B1340" s="138">
        <f>'Expenditures 15-22'!C210</f>
        <v>138924</v>
      </c>
      <c r="C1340" s="2" t="s">
        <v>594</v>
      </c>
      <c r="D1340" s="2" t="str">
        <f t="shared" si="19"/>
        <v>Error?</v>
      </c>
    </row>
    <row r="1341" spans="1:4" x14ac:dyDescent="0.2">
      <c r="A1341" s="5">
        <v>1280</v>
      </c>
      <c r="B1341" s="138">
        <f>'Expenditures 15-22'!D182</f>
        <v>14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v>
      </c>
      <c r="C1345" s="2" t="s">
        <v>594</v>
      </c>
      <c r="D1345" s="2" t="str">
        <f t="shared" si="20"/>
        <v>Error?</v>
      </c>
    </row>
    <row r="1346" spans="1:4" x14ac:dyDescent="0.2">
      <c r="A1346" s="5">
        <v>1285</v>
      </c>
      <c r="B1346" s="138">
        <f>'Expenditures 15-22'!D210</f>
        <v>14</v>
      </c>
      <c r="C1346" s="2" t="s">
        <v>594</v>
      </c>
      <c r="D1346" s="2" t="str">
        <f t="shared" si="20"/>
        <v>Error?</v>
      </c>
    </row>
    <row r="1347" spans="1:4" x14ac:dyDescent="0.2">
      <c r="A1347" s="5">
        <v>1286</v>
      </c>
      <c r="B1347" s="138">
        <f>'Expenditures 15-22'!E182</f>
        <v>8517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8517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8517</v>
      </c>
      <c r="C1353" s="2" t="s">
        <v>594</v>
      </c>
      <c r="D1353" s="2" t="str">
        <f t="shared" si="20"/>
        <v>Error?</v>
      </c>
    </row>
    <row r="1354" spans="1:4" x14ac:dyDescent="0.2">
      <c r="A1354" s="5">
        <v>1293</v>
      </c>
      <c r="B1354" s="138">
        <f>'Expenditures 15-22'!F182</f>
        <v>50035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50035</v>
      </c>
      <c r="C1358" s="2" t="s">
        <v>594</v>
      </c>
      <c r="D1358" s="2" t="str">
        <f t="shared" si="20"/>
        <v>Error?</v>
      </c>
    </row>
    <row r="1359" spans="1:4" x14ac:dyDescent="0.2">
      <c r="A1359" s="5">
        <v>1298</v>
      </c>
      <c r="B1359" s="138">
        <f>'Expenditures 15-22'!F210</f>
        <v>50035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197490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197490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197490</v>
      </c>
      <c r="C1388" s="2" t="s">
        <v>594</v>
      </c>
      <c r="D1388" s="2" t="str">
        <f t="shared" si="20"/>
        <v>Error?</v>
      </c>
    </row>
    <row r="1389" spans="1:4" x14ac:dyDescent="0.2">
      <c r="A1389" s="5">
        <v>1328</v>
      </c>
      <c r="B1389" s="138">
        <f>'Expenditures 15-22'!K211</f>
        <v>420630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1807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132855</v>
      </c>
      <c r="C1410" s="2" t="s">
        <v>594</v>
      </c>
      <c r="D1410" s="2" t="str">
        <f t="shared" si="21"/>
        <v>Error?</v>
      </c>
    </row>
    <row r="1411" spans="1:4" x14ac:dyDescent="0.2">
      <c r="A1411" s="5">
        <v>1350</v>
      </c>
      <c r="B1411" s="138">
        <f>'Expenditures 15-22'!D232</f>
        <v>970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4443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5413</v>
      </c>
      <c r="C1417" s="2" t="s">
        <v>594</v>
      </c>
      <c r="D1417" s="2" t="str">
        <f t="shared" si="21"/>
        <v>Error?</v>
      </c>
    </row>
    <row r="1418" spans="1:4" x14ac:dyDescent="0.2">
      <c r="A1418" s="5">
        <v>1357</v>
      </c>
      <c r="B1418" s="138">
        <f>'Expenditures 15-22'!D240</f>
        <v>1039</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1039</v>
      </c>
      <c r="C1421" s="2" t="s">
        <v>594</v>
      </c>
      <c r="D1421" s="2" t="str">
        <f t="shared" si="21"/>
        <v>Error?</v>
      </c>
    </row>
    <row r="1422" spans="1:4" x14ac:dyDescent="0.2">
      <c r="A1422" s="5">
        <v>1361</v>
      </c>
      <c r="B1422" s="138">
        <f>'Expenditures 15-22'!D245</f>
        <v>416</v>
      </c>
      <c r="D1422" s="2" t="str">
        <f t="shared" si="21"/>
        <v>Error?</v>
      </c>
    </row>
    <row r="1423" spans="1:4" x14ac:dyDescent="0.2">
      <c r="A1423" s="5">
        <v>1362</v>
      </c>
      <c r="B1423" s="138">
        <f>'Expenditures 15-22'!D246</f>
        <v>8872</v>
      </c>
      <c r="D1423" s="2" t="str">
        <f t="shared" si="21"/>
        <v>Error?</v>
      </c>
    </row>
    <row r="1424" spans="1:4" x14ac:dyDescent="0.2">
      <c r="A1424" s="5">
        <v>1363</v>
      </c>
      <c r="B1424" s="138">
        <f>'Expenditures 15-22'!D257</f>
        <v>9288</v>
      </c>
      <c r="C1424" s="2" t="s">
        <v>594</v>
      </c>
      <c r="D1424" s="2" t="str">
        <f t="shared" si="21"/>
        <v>Error?</v>
      </c>
    </row>
    <row r="1425" spans="1:4" x14ac:dyDescent="0.2">
      <c r="A1425" s="5">
        <v>1364</v>
      </c>
      <c r="B1425" s="138">
        <f>'Expenditures 15-22'!D259</f>
        <v>19860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19860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10106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53009</v>
      </c>
      <c r="D1431" s="2" t="str">
        <f t="shared" si="21"/>
        <v>Error?</v>
      </c>
    </row>
    <row r="1432" spans="1:4" x14ac:dyDescent="0.2">
      <c r="A1432" s="5">
        <v>1371</v>
      </c>
      <c r="B1432" s="138">
        <f>'Expenditures 15-22'!D267</f>
        <v>24078</v>
      </c>
      <c r="D1432" s="2" t="str">
        <f t="shared" si="21"/>
        <v>Error?</v>
      </c>
    </row>
    <row r="1433" spans="1:4" x14ac:dyDescent="0.2">
      <c r="A1433" s="5">
        <v>1372</v>
      </c>
      <c r="B1433" s="138">
        <f>'Expenditures 15-22'!D268</f>
        <v>10387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97580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133180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266035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1807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132855</v>
      </c>
      <c r="C1474" s="2" t="s">
        <v>594</v>
      </c>
      <c r="D1474" s="2" t="str">
        <f t="shared" si="22"/>
        <v>Error?</v>
      </c>
    </row>
    <row r="1475" spans="1:4" x14ac:dyDescent="0.2">
      <c r="A1475" s="5">
        <v>1414</v>
      </c>
      <c r="B1475" s="138">
        <f>'Expenditures 15-22'!K232</f>
        <v>970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4443</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5413</v>
      </c>
      <c r="C1481" s="2" t="s">
        <v>594</v>
      </c>
      <c r="D1481" s="2" t="str">
        <f t="shared" si="22"/>
        <v>Error?</v>
      </c>
    </row>
    <row r="1482" spans="1:4" x14ac:dyDescent="0.2">
      <c r="A1482" s="5">
        <v>1421</v>
      </c>
      <c r="B1482" s="138">
        <f>'Expenditures 15-22'!K240</f>
        <v>1039</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1039</v>
      </c>
      <c r="C1485" s="2" t="s">
        <v>594</v>
      </c>
      <c r="D1485" s="2" t="str">
        <f t="shared" si="22"/>
        <v>Error?</v>
      </c>
    </row>
    <row r="1486" spans="1:4" x14ac:dyDescent="0.2">
      <c r="A1486" s="5">
        <v>1425</v>
      </c>
      <c r="B1486" s="138">
        <f>'Expenditures 15-22'!K245</f>
        <v>416</v>
      </c>
      <c r="C1486" s="2" t="s">
        <v>594</v>
      </c>
      <c r="D1486" s="2" t="str">
        <f t="shared" si="22"/>
        <v>Error?</v>
      </c>
    </row>
    <row r="1487" spans="1:4" x14ac:dyDescent="0.2">
      <c r="A1487" s="5">
        <v>1426</v>
      </c>
      <c r="B1487" s="138">
        <f>'Expenditures 15-22'!K246</f>
        <v>8872</v>
      </c>
      <c r="C1487" s="2" t="s">
        <v>594</v>
      </c>
      <c r="D1487" s="2" t="str">
        <f t="shared" si="22"/>
        <v>Error?</v>
      </c>
    </row>
    <row r="1488" spans="1:4" x14ac:dyDescent="0.2">
      <c r="A1488" s="5">
        <v>1427</v>
      </c>
      <c r="B1488" s="138">
        <f>'Expenditures 15-22'!K257</f>
        <v>9288</v>
      </c>
      <c r="C1488" s="2" t="s">
        <v>594</v>
      </c>
      <c r="D1488" s="2" t="str">
        <f t="shared" si="22"/>
        <v>Error?</v>
      </c>
    </row>
    <row r="1489" spans="1:4" x14ac:dyDescent="0.2">
      <c r="A1489" s="5">
        <v>1428</v>
      </c>
      <c r="B1489" s="138">
        <f>'Expenditures 15-22'!K259</f>
        <v>19860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19860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10106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53009</v>
      </c>
      <c r="C1495" s="2" t="s">
        <v>594</v>
      </c>
      <c r="D1495" s="2" t="str">
        <f t="shared" si="22"/>
        <v>Error?</v>
      </c>
    </row>
    <row r="1496" spans="1:4" x14ac:dyDescent="0.2">
      <c r="A1496" s="5">
        <v>1435</v>
      </c>
      <c r="B1496" s="138">
        <f>'Expenditures 15-22'!K267</f>
        <v>24078</v>
      </c>
      <c r="C1496" s="2" t="s">
        <v>594</v>
      </c>
      <c r="D1496" s="2" t="str">
        <f t="shared" si="22"/>
        <v>Error?</v>
      </c>
    </row>
    <row r="1497" spans="1:4" x14ac:dyDescent="0.2">
      <c r="A1497" s="5">
        <v>1436</v>
      </c>
      <c r="B1497" s="138">
        <f>'Expenditures 15-22'!K268</f>
        <v>10387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97580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133180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266035</v>
      </c>
      <c r="C1517" s="2" t="s">
        <v>594</v>
      </c>
      <c r="D1517" s="2" t="str">
        <f t="shared" si="22"/>
        <v>Error?</v>
      </c>
    </row>
    <row r="1518" spans="1:4" x14ac:dyDescent="0.2">
      <c r="A1518" s="5">
        <v>1457</v>
      </c>
      <c r="B1518" s="138">
        <f>'Expenditures 15-22'!K296</f>
        <v>27152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101819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127283</v>
      </c>
      <c r="C1630" s="2" t="s">
        <v>594</v>
      </c>
      <c r="D1630" s="2" t="str">
        <f t="shared" si="24"/>
        <v>Error?</v>
      </c>
    </row>
    <row r="1631" spans="1:4" x14ac:dyDescent="0.2">
      <c r="A1631" s="5">
        <v>1570</v>
      </c>
      <c r="B1631" s="138">
        <f>'Acct Summary 7-8'!D79</f>
        <v>61684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32428</v>
      </c>
      <c r="C1644" s="2" t="s">
        <v>594</v>
      </c>
      <c r="D1644" s="2" t="str">
        <f t="shared" si="24"/>
        <v>Error?</v>
      </c>
    </row>
    <row r="1645" spans="1:4" x14ac:dyDescent="0.2">
      <c r="A1645" s="5">
        <v>1584</v>
      </c>
      <c r="B1645" s="138">
        <f>'Acct Summary 7-8'!E79</f>
        <v>572533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731005</v>
      </c>
      <c r="C1658" s="2" t="s">
        <v>594</v>
      </c>
      <c r="D1658" s="2" t="str">
        <f t="shared" si="24"/>
        <v>Error?</v>
      </c>
    </row>
    <row r="1659" spans="1:4" x14ac:dyDescent="0.2">
      <c r="A1659" s="5">
        <v>1598</v>
      </c>
      <c r="B1659" s="138">
        <f>'Acct Summary 7-8'!F79</f>
        <v>975130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1395760</v>
      </c>
      <c r="C1672" s="2" t="s">
        <v>594</v>
      </c>
      <c r="D1672" s="2" t="str">
        <f t="shared" si="25"/>
        <v>Error?</v>
      </c>
    </row>
    <row r="1673" spans="1:4" x14ac:dyDescent="0.2">
      <c r="A1673" s="5">
        <v>1612</v>
      </c>
      <c r="B1673" s="138">
        <f>'Acct Summary 7-8'!G79</f>
        <v>104900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132052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3755790</v>
      </c>
      <c r="C1744" s="2" t="s">
        <v>594</v>
      </c>
      <c r="D1744" s="2" t="str">
        <f t="shared" si="26"/>
        <v>Error?</v>
      </c>
    </row>
    <row r="1745" spans="1:5" x14ac:dyDescent="0.2">
      <c r="A1745" s="5">
        <v>1684</v>
      </c>
      <c r="B1745" s="138">
        <f>'Tax Sched 23'!B5</f>
        <v>533493</v>
      </c>
      <c r="C1745" s="2" t="s">
        <v>594</v>
      </c>
      <c r="D1745" s="2" t="str">
        <f t="shared" si="26"/>
        <v>Error?</v>
      </c>
    </row>
    <row r="1746" spans="1:5" x14ac:dyDescent="0.2">
      <c r="A1746" s="5">
        <v>1685</v>
      </c>
      <c r="B1746" s="138">
        <f>'Tax Sched 23'!B6</f>
        <v>1179947</v>
      </c>
      <c r="C1746" s="2" t="s">
        <v>594</v>
      </c>
      <c r="D1746" s="2" t="str">
        <f t="shared" si="26"/>
        <v>Error?</v>
      </c>
    </row>
    <row r="1747" spans="1:5" x14ac:dyDescent="0.2">
      <c r="A1747" s="5">
        <v>1686</v>
      </c>
      <c r="B1747" s="138">
        <f>'Tax Sched 23'!B7</f>
        <v>256076</v>
      </c>
      <c r="C1747" s="2" t="s">
        <v>594</v>
      </c>
      <c r="D1747" s="2" t="str">
        <f t="shared" si="26"/>
        <v>Error?</v>
      </c>
    </row>
    <row r="1748" spans="1:5" x14ac:dyDescent="0.2">
      <c r="A1748" s="5">
        <v>1687</v>
      </c>
      <c r="B1748" s="138">
        <f>'Tax Sched 23'!B8</f>
        <v>146594</v>
      </c>
      <c r="C1748" s="2" t="s">
        <v>594</v>
      </c>
      <c r="D1748" s="2" t="str">
        <f t="shared" si="26"/>
        <v>Error?</v>
      </c>
    </row>
    <row r="1749" spans="1:5" x14ac:dyDescent="0.2">
      <c r="A1749" s="5">
        <v>1688</v>
      </c>
      <c r="B1749" s="138">
        <f>'Tax Sched 23'!B10</f>
        <v>106699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691072</v>
      </c>
      <c r="C1752" s="2" t="s">
        <v>594</v>
      </c>
      <c r="D1752" s="2" t="str">
        <f t="shared" si="26"/>
        <v>Error?</v>
      </c>
    </row>
    <row r="1753" spans="1:5" x14ac:dyDescent="0.2">
      <c r="A1753" s="5">
        <v>1692</v>
      </c>
      <c r="B1753" s="138">
        <f>'Tax Sched 23'!B12</f>
        <v>106700</v>
      </c>
      <c r="C1753" s="2" t="s">
        <v>594</v>
      </c>
      <c r="D1753" s="2" t="str">
        <f t="shared" si="26"/>
        <v>Error?</v>
      </c>
    </row>
    <row r="1754" spans="1:5" x14ac:dyDescent="0.2">
      <c r="A1754" s="5">
        <v>1693</v>
      </c>
      <c r="B1754" s="138">
        <f>'Tax Sched 23'!B14</f>
        <v>42683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7072347</v>
      </c>
      <c r="C1759" s="2" t="s">
        <v>594</v>
      </c>
      <c r="D1759" s="2" t="str">
        <f t="shared" si="26"/>
        <v>Error?</v>
      </c>
    </row>
    <row r="1760" spans="1:5" x14ac:dyDescent="0.2">
      <c r="A1760" s="5">
        <v>1699</v>
      </c>
      <c r="B1760" s="138">
        <f>'Tax Sched 23'!D4</f>
        <v>2891379</v>
      </c>
      <c r="C1760" s="2" t="s">
        <v>594</v>
      </c>
      <c r="D1760" s="2" t="str">
        <f t="shared" si="26"/>
        <v>Error?</v>
      </c>
    </row>
    <row r="1761" spans="1:5" x14ac:dyDescent="0.2">
      <c r="A1761" s="5">
        <v>1700</v>
      </c>
      <c r="B1761" s="138">
        <f>'Tax Sched 23'!D5</f>
        <v>410707</v>
      </c>
      <c r="C1761" s="2" t="s">
        <v>594</v>
      </c>
      <c r="D1761" s="2" t="str">
        <f t="shared" si="26"/>
        <v>Error?</v>
      </c>
    </row>
    <row r="1762" spans="1:5" s="8" customFormat="1" x14ac:dyDescent="0.2">
      <c r="A1762" s="5">
        <v>1701</v>
      </c>
      <c r="B1762" s="138">
        <f>'Tax Sched 23'!D6</f>
        <v>919494</v>
      </c>
      <c r="C1762" s="2" t="s">
        <v>594</v>
      </c>
      <c r="D1762" s="2" t="str">
        <f t="shared" si="26"/>
        <v>Error?</v>
      </c>
      <c r="E1762" s="9"/>
    </row>
    <row r="1763" spans="1:5" x14ac:dyDescent="0.2">
      <c r="A1763" s="5">
        <v>1702</v>
      </c>
      <c r="B1763" s="138">
        <f>'Tax Sched 23'!D7</f>
        <v>197138</v>
      </c>
      <c r="C1763" s="2" t="s">
        <v>594</v>
      </c>
      <c r="D1763" s="2" t="str">
        <f t="shared" si="26"/>
        <v>Error?</v>
      </c>
    </row>
    <row r="1764" spans="1:5" x14ac:dyDescent="0.2">
      <c r="A1764" s="5">
        <v>1703</v>
      </c>
      <c r="B1764" s="138">
        <f>'Tax Sched 23'!D8</f>
        <v>104650</v>
      </c>
      <c r="C1764" s="2" t="s">
        <v>594</v>
      </c>
      <c r="D1764" s="2" t="str">
        <f t="shared" si="26"/>
        <v>Error?</v>
      </c>
    </row>
    <row r="1765" spans="1:5" x14ac:dyDescent="0.2">
      <c r="A1765" s="5">
        <v>1704</v>
      </c>
      <c r="B1765" s="138">
        <f>'Tax Sched 23'!D10</f>
        <v>82142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543779</v>
      </c>
      <c r="C1768" s="2" t="s">
        <v>594</v>
      </c>
      <c r="D1768" s="2" t="str">
        <f t="shared" si="26"/>
        <v>Error?</v>
      </c>
    </row>
    <row r="1769" spans="1:5" x14ac:dyDescent="0.2">
      <c r="A1769" s="5">
        <v>1708</v>
      </c>
      <c r="B1769" s="138">
        <f>'Tax Sched 23'!D12</f>
        <v>82143</v>
      </c>
      <c r="C1769" s="2" t="s">
        <v>594</v>
      </c>
      <c r="D1769" s="2" t="str">
        <f t="shared" si="26"/>
        <v>Error?</v>
      </c>
    </row>
    <row r="1770" spans="1:5" x14ac:dyDescent="0.2">
      <c r="A1770" s="5">
        <v>1709</v>
      </c>
      <c r="B1770" s="138">
        <f>'Tax Sched 23'!D14</f>
        <v>32860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5451084</v>
      </c>
      <c r="C1775" s="2" t="s">
        <v>594</v>
      </c>
      <c r="D1775" s="2" t="str">
        <f t="shared" si="26"/>
        <v>Error?</v>
      </c>
    </row>
    <row r="1776" spans="1:5" x14ac:dyDescent="0.2">
      <c r="A1776" s="5">
        <v>1715</v>
      </c>
      <c r="B1776" s="138">
        <f>'Tax Sched 23'!C4</f>
        <v>864411</v>
      </c>
      <c r="D1776" s="2" t="str">
        <f t="shared" si="26"/>
        <v>Error?</v>
      </c>
    </row>
    <row r="1777" spans="1:4" x14ac:dyDescent="0.2">
      <c r="A1777" s="5">
        <v>1716</v>
      </c>
      <c r="B1777" s="138">
        <f>'Tax Sched 23'!C5</f>
        <v>122786</v>
      </c>
      <c r="D1777" s="2" t="str">
        <f t="shared" si="26"/>
        <v>Error?</v>
      </c>
    </row>
    <row r="1778" spans="1:4" x14ac:dyDescent="0.2">
      <c r="A1778" s="5">
        <v>1717</v>
      </c>
      <c r="B1778" s="138">
        <f>'Tax Sched 23'!C6</f>
        <v>260453</v>
      </c>
      <c r="D1778" s="2" t="str">
        <f t="shared" si="26"/>
        <v>Error?</v>
      </c>
    </row>
    <row r="1779" spans="1:4" x14ac:dyDescent="0.2">
      <c r="A1779" s="5">
        <v>1718</v>
      </c>
      <c r="B1779" s="138">
        <f>'Tax Sched 23'!C7</f>
        <v>58938</v>
      </c>
      <c r="D1779" s="2" t="str">
        <f t="shared" si="26"/>
        <v>Error?</v>
      </c>
    </row>
    <row r="1780" spans="1:4" x14ac:dyDescent="0.2">
      <c r="A1780" s="5">
        <v>1719</v>
      </c>
      <c r="B1780" s="138">
        <f>'Tax Sched 23'!C8</f>
        <v>41944</v>
      </c>
      <c r="D1780" s="2" t="str">
        <f t="shared" si="26"/>
        <v>Error?</v>
      </c>
    </row>
    <row r="1781" spans="1:4" x14ac:dyDescent="0.2">
      <c r="A1781" s="5">
        <v>1720</v>
      </c>
      <c r="B1781" s="138">
        <f>'Tax Sched 23'!C10</f>
        <v>24557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147293</v>
      </c>
      <c r="D1784" s="2" t="str">
        <f t="shared" si="26"/>
        <v>Error?</v>
      </c>
    </row>
    <row r="1785" spans="1:4" x14ac:dyDescent="0.2">
      <c r="A1785" s="5">
        <v>1724</v>
      </c>
      <c r="B1785" s="138">
        <f>'Tax Sched 23'!C12</f>
        <v>24557</v>
      </c>
      <c r="D1785" s="2" t="str">
        <f t="shared" si="26"/>
        <v>Error?</v>
      </c>
    </row>
    <row r="1786" spans="1:4" x14ac:dyDescent="0.2">
      <c r="A1786" s="5">
        <v>1725</v>
      </c>
      <c r="B1786" s="138">
        <f>'Tax Sched 23'!C14</f>
        <v>9823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1621263</v>
      </c>
      <c r="C1791" s="2" t="s">
        <v>594</v>
      </c>
      <c r="D1791" s="2" t="str">
        <f t="shared" ref="D1791:D1854" si="27">IF(ISBLANK(B1791),"OK",IF(A1791-B1791=0,"OK","Error?"))</f>
        <v>Error?</v>
      </c>
    </row>
    <row r="1792" spans="1:4" x14ac:dyDescent="0.2">
      <c r="A1792" s="5">
        <v>1731</v>
      </c>
      <c r="B1792" s="138">
        <f>'Tax Sched 23'!F4</f>
        <v>2539934</v>
      </c>
      <c r="C1792" s="2" t="s">
        <v>594</v>
      </c>
      <c r="D1792" s="2" t="str">
        <f t="shared" si="27"/>
        <v>Error?</v>
      </c>
    </row>
    <row r="1793" spans="1:4" x14ac:dyDescent="0.2">
      <c r="A1793" s="5">
        <v>1732</v>
      </c>
      <c r="B1793" s="138">
        <f>'Tax Sched 23'!F5</f>
        <v>360786</v>
      </c>
      <c r="C1793" s="2" t="s">
        <v>594</v>
      </c>
      <c r="D1793" s="2" t="str">
        <f t="shared" si="27"/>
        <v>Error?</v>
      </c>
    </row>
    <row r="1794" spans="1:4" x14ac:dyDescent="0.2">
      <c r="A1794" s="5">
        <v>1733</v>
      </c>
      <c r="B1794" s="138">
        <f>'Tax Sched 23'!F6</f>
        <v>765299</v>
      </c>
      <c r="C1794" s="2" t="s">
        <v>594</v>
      </c>
      <c r="D1794" s="2" t="str">
        <f t="shared" si="27"/>
        <v>Error?</v>
      </c>
    </row>
    <row r="1795" spans="1:4" x14ac:dyDescent="0.2">
      <c r="A1795" s="5">
        <v>1734</v>
      </c>
      <c r="B1795" s="138">
        <f>'Tax Sched 23'!F7</f>
        <v>173176</v>
      </c>
      <c r="C1795" s="2" t="s">
        <v>594</v>
      </c>
      <c r="D1795" s="2" t="str">
        <f t="shared" si="27"/>
        <v>Error?</v>
      </c>
    </row>
    <row r="1796" spans="1:4" x14ac:dyDescent="0.2">
      <c r="A1796" s="5">
        <v>1735</v>
      </c>
      <c r="B1796" s="138">
        <f>'Tax Sched 23'!F8</f>
        <v>123244</v>
      </c>
      <c r="C1796" s="2" t="s">
        <v>594</v>
      </c>
      <c r="D1796" s="2" t="str">
        <f t="shared" si="27"/>
        <v>Error?</v>
      </c>
    </row>
    <row r="1797" spans="1:4" x14ac:dyDescent="0.2">
      <c r="A1797" s="5">
        <v>1736</v>
      </c>
      <c r="B1797" s="138">
        <f>'Tax Sched 23'!F10</f>
        <v>72157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432800</v>
      </c>
      <c r="C1800" s="2" t="s">
        <v>594</v>
      </c>
      <c r="D1800" s="2" t="str">
        <f t="shared" si="27"/>
        <v>Error?</v>
      </c>
    </row>
    <row r="1801" spans="1:4" x14ac:dyDescent="0.2">
      <c r="A1801" s="5">
        <v>1740</v>
      </c>
      <c r="B1801" s="138">
        <f>'Tax Sched 23'!F12</f>
        <v>72157</v>
      </c>
      <c r="C1801" s="2" t="s">
        <v>594</v>
      </c>
      <c r="D1801" s="2" t="str">
        <f t="shared" si="27"/>
        <v>Error?</v>
      </c>
    </row>
    <row r="1802" spans="1:4" x14ac:dyDescent="0.2">
      <c r="A1802" s="5">
        <v>1741</v>
      </c>
      <c r="B1802" s="138">
        <f>'Tax Sched 23'!F14</f>
        <v>28863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4763817</v>
      </c>
      <c r="C1807" s="2" t="s">
        <v>594</v>
      </c>
      <c r="D1807" s="2" t="str">
        <f t="shared" si="27"/>
        <v>Error?</v>
      </c>
    </row>
    <row r="1808" spans="1:4" x14ac:dyDescent="0.2">
      <c r="A1808" s="5">
        <v>1747</v>
      </c>
      <c r="B1808" s="138">
        <f>'Tax Sched 23'!E4</f>
        <v>3404345</v>
      </c>
      <c r="D1808" s="2" t="str">
        <f t="shared" si="27"/>
        <v>Error?</v>
      </c>
    </row>
    <row r="1809" spans="1:4" x14ac:dyDescent="0.2">
      <c r="A1809" s="5">
        <v>1748</v>
      </c>
      <c r="B1809" s="138">
        <f>'Tax Sched 23'!E5</f>
        <v>483572</v>
      </c>
      <c r="D1809" s="2" t="str">
        <f t="shared" si="27"/>
        <v>Error?</v>
      </c>
    </row>
    <row r="1810" spans="1:4" x14ac:dyDescent="0.2">
      <c r="A1810" s="5">
        <v>1749</v>
      </c>
      <c r="B1810" s="138">
        <f>'Tax Sched 23'!E6</f>
        <v>1025752</v>
      </c>
      <c r="D1810" s="2" t="str">
        <f t="shared" si="27"/>
        <v>Error?</v>
      </c>
    </row>
    <row r="1811" spans="1:4" x14ac:dyDescent="0.2">
      <c r="A1811" s="5">
        <v>1750</v>
      </c>
      <c r="B1811" s="138">
        <f>'Tax Sched 23'!E7</f>
        <v>232114</v>
      </c>
      <c r="D1811" s="2" t="str">
        <f t="shared" si="27"/>
        <v>Error?</v>
      </c>
    </row>
    <row r="1812" spans="1:4" x14ac:dyDescent="0.2">
      <c r="A1812" s="5">
        <v>1751</v>
      </c>
      <c r="B1812" s="138">
        <f>'Tax Sched 23'!E8</f>
        <v>165188</v>
      </c>
      <c r="D1812" s="2" t="str">
        <f t="shared" si="27"/>
        <v>Error?</v>
      </c>
    </row>
    <row r="1813" spans="1:4" x14ac:dyDescent="0.2">
      <c r="A1813" s="5">
        <v>1752</v>
      </c>
      <c r="B1813" s="138">
        <f>'Tax Sched 23'!E10</f>
        <v>96714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580093</v>
      </c>
      <c r="D1816" s="2" t="str">
        <f t="shared" si="27"/>
        <v>Error?</v>
      </c>
    </row>
    <row r="1817" spans="1:4" x14ac:dyDescent="0.2">
      <c r="A1817" s="5">
        <v>1756</v>
      </c>
      <c r="B1817" s="138">
        <f>'Tax Sched 23'!E12</f>
        <v>96714</v>
      </c>
      <c r="D1817" s="2" t="str">
        <f t="shared" si="27"/>
        <v>Error?</v>
      </c>
    </row>
    <row r="1818" spans="1:4" x14ac:dyDescent="0.2">
      <c r="A1818" s="5">
        <v>1757</v>
      </c>
      <c r="B1818" s="138">
        <f>'Tax Sched 23'!E14</f>
        <v>38686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6385080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6404000</v>
      </c>
      <c r="C1939" s="2" t="s">
        <v>594</v>
      </c>
      <c r="D1939" s="2" t="str">
        <f t="shared" si="29"/>
        <v>Error?</v>
      </c>
    </row>
    <row r="1940" spans="1:5" x14ac:dyDescent="0.2">
      <c r="A1940" s="5">
        <v>1879</v>
      </c>
      <c r="B1940" s="138">
        <f>'Short-Term Long-Term Debt 24'!F49</f>
        <v>1200000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42683</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42683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42683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474102</v>
      </c>
      <c r="D2008" s="2" t="str">
        <f t="shared" si="30"/>
        <v>Error?</v>
      </c>
    </row>
    <row r="2009" spans="1:4" x14ac:dyDescent="0.2">
      <c r="A2009" s="5">
        <v>1948</v>
      </c>
      <c r="B2009" s="138">
        <f>'Cap Outlay Deprec 26'!C8</f>
        <v>9070063</v>
      </c>
      <c r="D2009" s="2" t="str">
        <f t="shared" si="30"/>
        <v>Error?</v>
      </c>
    </row>
    <row r="2010" spans="1:4" x14ac:dyDescent="0.2">
      <c r="A2010" s="5">
        <v>1949</v>
      </c>
      <c r="B2010" s="138">
        <f>'Cap Outlay Deprec 26'!C10</f>
        <v>8093514</v>
      </c>
      <c r="D2010" s="2" t="str">
        <f t="shared" si="30"/>
        <v>Error?</v>
      </c>
    </row>
    <row r="2011" spans="1:4" x14ac:dyDescent="0.2">
      <c r="A2011" s="5">
        <v>1950</v>
      </c>
      <c r="B2011" s="138">
        <f>'Cap Outlay Deprec 26'!C12</f>
        <v>809074</v>
      </c>
      <c r="D2011" s="2" t="str">
        <f t="shared" si="30"/>
        <v>Error?</v>
      </c>
    </row>
    <row r="2012" spans="1:4" x14ac:dyDescent="0.2">
      <c r="A2012" s="5">
        <v>1951</v>
      </c>
      <c r="B2012" s="138">
        <f>'Cap Outlay Deprec 26'!C13</f>
        <v>1384526</v>
      </c>
      <c r="D2012" s="2" t="str">
        <f t="shared" si="30"/>
        <v>Error?</v>
      </c>
    </row>
    <row r="2013" spans="1:4" x14ac:dyDescent="0.2">
      <c r="A2013" s="5">
        <v>1952</v>
      </c>
      <c r="B2013" s="138">
        <f>'Cap Outlay Deprec 26'!C16</f>
        <v>19831279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474102</v>
      </c>
      <c r="C2026" s="2" t="s">
        <v>594</v>
      </c>
      <c r="D2026" s="2" t="str">
        <f t="shared" si="30"/>
        <v>Error?</v>
      </c>
    </row>
    <row r="2027" spans="1:4" x14ac:dyDescent="0.2">
      <c r="A2027" s="5">
        <v>1966</v>
      </c>
      <c r="B2027" s="138">
        <f>'Cap Outlay Deprec 26'!F8</f>
        <v>9070063</v>
      </c>
      <c r="C2027" s="2" t="s">
        <v>594</v>
      </c>
      <c r="D2027" s="2" t="str">
        <f t="shared" si="30"/>
        <v>Error?</v>
      </c>
    </row>
    <row r="2028" spans="1:4" x14ac:dyDescent="0.2">
      <c r="A2028" s="5">
        <v>1967</v>
      </c>
      <c r="B2028" s="138">
        <f>'Cap Outlay Deprec 26'!F10</f>
        <v>8093514</v>
      </c>
      <c r="C2028" s="2" t="s">
        <v>594</v>
      </c>
      <c r="D2028" s="2" t="str">
        <f t="shared" si="30"/>
        <v>Error?</v>
      </c>
    </row>
    <row r="2029" spans="1:4" x14ac:dyDescent="0.2">
      <c r="A2029" s="5">
        <v>1968</v>
      </c>
      <c r="B2029" s="138">
        <f>'Cap Outlay Deprec 26'!F12</f>
        <v>809074</v>
      </c>
      <c r="C2029" s="2" t="s">
        <v>594</v>
      </c>
      <c r="D2029" s="2" t="str">
        <f t="shared" si="30"/>
        <v>Error?</v>
      </c>
    </row>
    <row r="2030" spans="1:4" x14ac:dyDescent="0.2">
      <c r="A2030" s="5">
        <v>1969</v>
      </c>
      <c r="B2030" s="138">
        <f>'Cap Outlay Deprec 26'!F13</f>
        <v>1384526</v>
      </c>
      <c r="C2030" s="2" t="s">
        <v>594</v>
      </c>
      <c r="D2030" s="2" t="str">
        <f t="shared" si="30"/>
        <v>Error?</v>
      </c>
    </row>
    <row r="2031" spans="1:4" x14ac:dyDescent="0.2">
      <c r="A2031" s="5">
        <v>1970</v>
      </c>
      <c r="B2031" s="138">
        <f>'Cap Outlay Deprec 26'!F16</f>
        <v>19831279</v>
      </c>
      <c r="C2031" s="2" t="s">
        <v>594</v>
      </c>
      <c r="D2031" s="2" t="str">
        <f t="shared" si="30"/>
        <v>Error?</v>
      </c>
    </row>
    <row r="2032" spans="1:4" x14ac:dyDescent="0.2">
      <c r="A2032" s="10">
        <v>1971</v>
      </c>
      <c r="D2032" s="2" t="str">
        <f t="shared" si="30"/>
        <v>OK</v>
      </c>
    </row>
    <row r="2033" spans="1:4" x14ac:dyDescent="0.2">
      <c r="A2033" s="5">
        <v>1972</v>
      </c>
      <c r="B2033" s="138">
        <f>'Cap Outlay Deprec 26'!H8</f>
        <v>4207653</v>
      </c>
      <c r="D2033" s="2" t="str">
        <f t="shared" si="30"/>
        <v>Error?</v>
      </c>
    </row>
    <row r="2034" spans="1:4" x14ac:dyDescent="0.2">
      <c r="A2034" s="5">
        <v>1973</v>
      </c>
      <c r="B2034" s="138">
        <f>'Cap Outlay Deprec 26'!H10</f>
        <v>1500666</v>
      </c>
      <c r="D2034" s="2" t="str">
        <f t="shared" si="30"/>
        <v>Error?</v>
      </c>
    </row>
    <row r="2035" spans="1:4" x14ac:dyDescent="0.2">
      <c r="A2035" s="5">
        <v>1974</v>
      </c>
      <c r="B2035" s="138">
        <f>'Cap Outlay Deprec 26'!H12</f>
        <v>802204</v>
      </c>
      <c r="D2035" s="2" t="str">
        <f t="shared" si="30"/>
        <v>Error?</v>
      </c>
    </row>
    <row r="2036" spans="1:4" x14ac:dyDescent="0.2">
      <c r="A2036" s="5">
        <v>1975</v>
      </c>
      <c r="B2036" s="138">
        <f>'Cap Outlay Deprec 26'!H13</f>
        <v>1255503</v>
      </c>
      <c r="D2036" s="2" t="str">
        <f t="shared" si="30"/>
        <v>Error?</v>
      </c>
    </row>
    <row r="2037" spans="1:4" x14ac:dyDescent="0.2">
      <c r="A2037" s="5">
        <v>1976</v>
      </c>
      <c r="B2037" s="138">
        <f>'Cap Outlay Deprec 26'!H16</f>
        <v>7766026</v>
      </c>
      <c r="C2037" s="2" t="s">
        <v>594</v>
      </c>
      <c r="D2037" s="2" t="str">
        <f t="shared" si="30"/>
        <v>Error?</v>
      </c>
    </row>
    <row r="2038" spans="1:4" x14ac:dyDescent="0.2">
      <c r="A2038" s="10">
        <v>1977</v>
      </c>
      <c r="D2038" s="2" t="str">
        <f t="shared" si="30"/>
        <v>OK</v>
      </c>
    </row>
    <row r="2039" spans="1:4" x14ac:dyDescent="0.2">
      <c r="A2039" s="5">
        <v>1978</v>
      </c>
      <c r="B2039" s="138">
        <f>'Cap Outlay Deprec 26'!I8</f>
        <v>181401</v>
      </c>
      <c r="D2039" s="2" t="str">
        <f t="shared" si="30"/>
        <v>Error?</v>
      </c>
    </row>
    <row r="2040" spans="1:4" x14ac:dyDescent="0.2">
      <c r="A2040" s="5">
        <v>1979</v>
      </c>
      <c r="B2040" s="138">
        <f>'Cap Outlay Deprec 26'!I10</f>
        <v>181444</v>
      </c>
      <c r="D2040" s="2" t="str">
        <f t="shared" si="30"/>
        <v>Error?</v>
      </c>
    </row>
    <row r="2041" spans="1:4" x14ac:dyDescent="0.2">
      <c r="A2041" s="5">
        <v>1980</v>
      </c>
      <c r="B2041" s="138">
        <f>'Cap Outlay Deprec 26'!I12</f>
        <v>6870</v>
      </c>
      <c r="D2041" s="2" t="str">
        <f t="shared" si="30"/>
        <v>Error?</v>
      </c>
    </row>
    <row r="2042" spans="1:4" x14ac:dyDescent="0.2">
      <c r="A2042" s="5">
        <v>1981</v>
      </c>
      <c r="B2042" s="138">
        <f>'Cap Outlay Deprec 26'!I13</f>
        <v>56639</v>
      </c>
      <c r="D2042" s="2" t="str">
        <f t="shared" si="30"/>
        <v>Error?</v>
      </c>
    </row>
    <row r="2043" spans="1:4" x14ac:dyDescent="0.2">
      <c r="A2043" s="5">
        <v>1982</v>
      </c>
      <c r="B2043" s="138">
        <f>'Cap Outlay Deprec 26'!I16</f>
        <v>426354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4389054</v>
      </c>
      <c r="C2051" s="2" t="s">
        <v>594</v>
      </c>
      <c r="D2051" s="2" t="str">
        <f t="shared" si="31"/>
        <v>Error?</v>
      </c>
    </row>
    <row r="2052" spans="1:4" x14ac:dyDescent="0.2">
      <c r="A2052" s="5">
        <v>1991</v>
      </c>
      <c r="B2052" s="138">
        <f>'Cap Outlay Deprec 26'!K10</f>
        <v>1682110</v>
      </c>
      <c r="C2052" s="2" t="s">
        <v>594</v>
      </c>
      <c r="D2052" s="2" t="str">
        <f t="shared" si="31"/>
        <v>Error?</v>
      </c>
    </row>
    <row r="2053" spans="1:4" x14ac:dyDescent="0.2">
      <c r="A2053" s="5">
        <v>1992</v>
      </c>
      <c r="B2053" s="138">
        <f>'Cap Outlay Deprec 26'!K12</f>
        <v>809074</v>
      </c>
      <c r="C2053" s="2" t="s">
        <v>594</v>
      </c>
      <c r="D2053" s="2" t="str">
        <f t="shared" si="31"/>
        <v>Error?</v>
      </c>
    </row>
    <row r="2054" spans="1:4" x14ac:dyDescent="0.2">
      <c r="A2054" s="5">
        <v>1993</v>
      </c>
      <c r="B2054" s="138">
        <f>'Cap Outlay Deprec 26'!K13</f>
        <v>1312142</v>
      </c>
      <c r="C2054" s="2" t="s">
        <v>594</v>
      </c>
      <c r="D2054" s="2" t="str">
        <f t="shared" si="31"/>
        <v>Error?</v>
      </c>
    </row>
    <row r="2055" spans="1:4" x14ac:dyDescent="0.2">
      <c r="A2055" s="5">
        <v>1994</v>
      </c>
      <c r="B2055" s="138">
        <f>'Cap Outlay Deprec 26'!K16</f>
        <v>8192380</v>
      </c>
      <c r="C2055" s="2" t="s">
        <v>594</v>
      </c>
      <c r="D2055" s="2" t="str">
        <f t="shared" si="31"/>
        <v>Error?</v>
      </c>
    </row>
    <row r="2056" spans="1:4" x14ac:dyDescent="0.2">
      <c r="A2056" s="5">
        <v>1995</v>
      </c>
      <c r="B2056" s="138">
        <f>'Cap Outlay Deprec 26'!L5</f>
        <v>474102</v>
      </c>
      <c r="C2056" s="2" t="s">
        <v>594</v>
      </c>
      <c r="D2056" s="2" t="str">
        <f t="shared" si="31"/>
        <v>Error?</v>
      </c>
    </row>
    <row r="2057" spans="1:4" x14ac:dyDescent="0.2">
      <c r="A2057" s="5">
        <v>1996</v>
      </c>
      <c r="B2057" s="138">
        <f>'Cap Outlay Deprec 26'!L8</f>
        <v>4681009</v>
      </c>
      <c r="C2057" s="2" t="s">
        <v>594</v>
      </c>
      <c r="D2057" s="2" t="str">
        <f t="shared" si="31"/>
        <v>Error?</v>
      </c>
    </row>
    <row r="2058" spans="1:4" x14ac:dyDescent="0.2">
      <c r="A2058" s="5">
        <v>1997</v>
      </c>
      <c r="B2058" s="138">
        <f>'Cap Outlay Deprec 26'!L10</f>
        <v>6411404</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72384</v>
      </c>
      <c r="C2060" s="2" t="s">
        <v>594</v>
      </c>
      <c r="D2060" s="2" t="str">
        <f t="shared" si="31"/>
        <v>Error?</v>
      </c>
    </row>
    <row r="2061" spans="1:4" x14ac:dyDescent="0.2">
      <c r="A2061" s="5">
        <v>2000</v>
      </c>
      <c r="B2061" s="138">
        <f>'Cap Outlay Deprec 26'!L16</f>
        <v>11638899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250462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68090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1395760</v>
      </c>
      <c r="D2475" s="2" t="str">
        <f t="shared" si="37"/>
        <v>Error?</v>
      </c>
    </row>
    <row r="2476" spans="1:4" x14ac:dyDescent="0.2">
      <c r="A2476" s="10">
        <v>2415</v>
      </c>
      <c r="D2476" s="2" t="str">
        <f t="shared" si="37"/>
        <v>OK</v>
      </c>
    </row>
    <row r="2477" spans="1:4" x14ac:dyDescent="0.2">
      <c r="A2477" s="5">
        <v>2416</v>
      </c>
      <c r="B2477" s="138">
        <f>'Assets-Liab 5-6'!G38</f>
        <v>132052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731005</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4528735</v>
      </c>
      <c r="C2551" s="2" t="s">
        <v>594</v>
      </c>
      <c r="D2551" s="2" t="str">
        <f t="shared" si="38"/>
        <v>Error?</v>
      </c>
    </row>
    <row r="2552" spans="1:4" x14ac:dyDescent="0.2">
      <c r="A2552" s="10">
        <v>2491</v>
      </c>
      <c r="D2552" s="2" t="str">
        <f t="shared" si="38"/>
        <v>OK</v>
      </c>
    </row>
    <row r="2553" spans="1:4" x14ac:dyDescent="0.2">
      <c r="A2553" s="5">
        <v>2492</v>
      </c>
      <c r="B2553" s="138">
        <f>'Acct Summary 7-8'!C6</f>
        <v>1180334</v>
      </c>
      <c r="C2553" s="2" t="s">
        <v>594</v>
      </c>
      <c r="D2553" s="2" t="str">
        <f t="shared" si="38"/>
        <v>Error?</v>
      </c>
    </row>
    <row r="2554" spans="1:4" x14ac:dyDescent="0.2">
      <c r="A2554" s="5">
        <v>2493</v>
      </c>
      <c r="B2554" s="138">
        <f>'Acct Summary 7-8'!C7</f>
        <v>230621</v>
      </c>
      <c r="C2554" s="2" t="s">
        <v>594</v>
      </c>
      <c r="D2554" s="2" t="str">
        <f t="shared" si="38"/>
        <v>Error?</v>
      </c>
    </row>
    <row r="2555" spans="1:4" x14ac:dyDescent="0.2">
      <c r="A2555" s="5">
        <v>2494</v>
      </c>
      <c r="B2555" s="138">
        <f>'Acct Summary 7-8'!C8</f>
        <v>6043016</v>
      </c>
      <c r="C2555" s="2" t="s">
        <v>594</v>
      </c>
      <c r="D2555" s="2" t="str">
        <f t="shared" si="38"/>
        <v>Error?</v>
      </c>
    </row>
    <row r="2556" spans="1:4" x14ac:dyDescent="0.2">
      <c r="A2556" s="5">
        <v>2495</v>
      </c>
      <c r="B2556" s="138">
        <f>'Acct Summary 7-8'!C12</f>
        <v>4770774</v>
      </c>
      <c r="C2556" s="2" t="s">
        <v>594</v>
      </c>
      <c r="D2556" s="2" t="str">
        <f t="shared" si="38"/>
        <v>Error?</v>
      </c>
    </row>
    <row r="2557" spans="1:4" x14ac:dyDescent="0.2">
      <c r="A2557" s="5">
        <v>2496</v>
      </c>
      <c r="B2557" s="138">
        <f>'Acct Summary 7-8'!C13</f>
        <v>996316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250462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6017552</v>
      </c>
      <c r="C2561" s="2" t="s">
        <v>594</v>
      </c>
      <c r="D2561" s="2" t="str">
        <f t="shared" si="39"/>
        <v>Error?</v>
      </c>
    </row>
    <row r="2562" spans="1:4" x14ac:dyDescent="0.2">
      <c r="A2562" s="5">
        <v>2501</v>
      </c>
      <c r="B2562" s="138">
        <f>'Acct Summary 7-8'!C20</f>
        <v>25464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659593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659593</v>
      </c>
      <c r="C2568" s="2" t="s">
        <v>594</v>
      </c>
      <c r="D2568" s="2" t="str">
        <f t="shared" si="39"/>
        <v>Error?</v>
      </c>
    </row>
    <row r="2569" spans="1:4" x14ac:dyDescent="0.2">
      <c r="A2569" s="5">
        <v>2508</v>
      </c>
      <c r="B2569" s="138">
        <f>'Acct Summary 7-8'!D13</f>
        <v>632155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632155</v>
      </c>
      <c r="C2573" s="2" t="s">
        <v>594</v>
      </c>
      <c r="D2573" s="2" t="str">
        <f t="shared" si="39"/>
        <v>Error?</v>
      </c>
    </row>
    <row r="2574" spans="1:4" x14ac:dyDescent="0.2">
      <c r="A2574" s="5">
        <v>2513</v>
      </c>
      <c r="B2574" s="138">
        <f>'Acct Summary 7-8'!D20</f>
        <v>27438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266744</v>
      </c>
      <c r="C2591" s="2" t="s">
        <v>594</v>
      </c>
      <c r="D2591" s="2" t="str">
        <f t="shared" si="39"/>
        <v>Error?</v>
      </c>
    </row>
    <row r="2592" spans="1:4" x14ac:dyDescent="0.2">
      <c r="A2592" s="10">
        <v>2531</v>
      </c>
      <c r="D2592" s="2" t="str">
        <f t="shared" si="39"/>
        <v>OK</v>
      </c>
    </row>
    <row r="2593" spans="1:4" x14ac:dyDescent="0.2">
      <c r="A2593" s="5">
        <v>2532</v>
      </c>
      <c r="B2593" s="138">
        <f>'Acct Summary 7-8'!F6</f>
        <v>351376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618120</v>
      </c>
      <c r="C2595" s="2" t="s">
        <v>594</v>
      </c>
      <c r="D2595" s="2" t="str">
        <f t="shared" si="39"/>
        <v>Error?</v>
      </c>
    </row>
    <row r="2596" spans="1:4" x14ac:dyDescent="0.2">
      <c r="A2596" s="5">
        <v>2535</v>
      </c>
      <c r="B2596" s="138">
        <f>'Acct Summary 7-8'!F13</f>
        <v>197490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197490</v>
      </c>
      <c r="C2600" s="2" t="s">
        <v>594</v>
      </c>
      <c r="D2600" s="2" t="str">
        <f t="shared" si="39"/>
        <v>Error?</v>
      </c>
    </row>
    <row r="2601" spans="1:4" x14ac:dyDescent="0.2">
      <c r="A2601" s="5">
        <v>2540</v>
      </c>
      <c r="B2601" s="138">
        <f>'Acct Summary 7-8'!F20</f>
        <v>420630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293187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293187</v>
      </c>
      <c r="C2606" s="2" t="s">
        <v>594</v>
      </c>
      <c r="D2606" s="2" t="str">
        <f t="shared" si="39"/>
        <v>Error?</v>
      </c>
    </row>
    <row r="2607" spans="1:4" x14ac:dyDescent="0.2">
      <c r="A2607" s="5">
        <v>2546</v>
      </c>
      <c r="B2607" s="138">
        <f>'Acct Summary 7-8'!G12</f>
        <v>132855</v>
      </c>
      <c r="C2607" s="2" t="s">
        <v>594</v>
      </c>
      <c r="D2607" s="2" t="str">
        <f t="shared" si="39"/>
        <v>Error?</v>
      </c>
    </row>
    <row r="2608" spans="1:4" x14ac:dyDescent="0.2">
      <c r="A2608" s="5">
        <v>2547</v>
      </c>
      <c r="B2608" s="138">
        <f>'Acct Summary 7-8'!G13</f>
        <v>133180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266035</v>
      </c>
      <c r="C2612" s="2" t="s">
        <v>594</v>
      </c>
      <c r="D2612" s="2" t="str">
        <f t="shared" si="39"/>
        <v>Error?</v>
      </c>
    </row>
    <row r="2613" spans="1:4" x14ac:dyDescent="0.2">
      <c r="A2613" s="5">
        <v>2552</v>
      </c>
      <c r="B2613" s="138">
        <f>'Acct Summary 7-8'!G20</f>
        <v>27152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1179947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1179947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1078169</v>
      </c>
      <c r="C2634" s="2" t="s">
        <v>594</v>
      </c>
      <c r="D2634" s="2" t="str">
        <f t="shared" si="40"/>
        <v>Error?</v>
      </c>
    </row>
    <row r="2635" spans="1:4" x14ac:dyDescent="0.2">
      <c r="A2635" s="5">
        <v>2574</v>
      </c>
      <c r="B2635" s="138">
        <f>'Acct Summary 7-8'!E17</f>
        <v>1078169</v>
      </c>
      <c r="C2635" s="2" t="s">
        <v>594</v>
      </c>
      <c r="D2635" s="2" t="str">
        <f t="shared" si="40"/>
        <v>Error?</v>
      </c>
    </row>
    <row r="2636" spans="1:4" x14ac:dyDescent="0.2">
      <c r="A2636" s="5">
        <v>2575</v>
      </c>
      <c r="B2636" s="138">
        <f>'Acct Summary 7-8'!E20</f>
        <v>101778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250462</v>
      </c>
      <c r="C2789" s="2" t="s">
        <v>594</v>
      </c>
      <c r="D2789" s="2" t="str">
        <f t="shared" si="42"/>
        <v>Error?</v>
      </c>
    </row>
    <row r="2790" spans="1:4" x14ac:dyDescent="0.2">
      <c r="A2790" s="5">
        <v>2729</v>
      </c>
      <c r="B2790" s="138">
        <f>'Expenditures 15-22'!E102</f>
        <v>250462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-66508</v>
      </c>
      <c r="D2887" s="2" t="str">
        <f t="shared" si="44"/>
        <v>Error?</v>
      </c>
    </row>
    <row r="2888" spans="1:4" x14ac:dyDescent="0.2">
      <c r="A2888" s="5">
        <v>2827</v>
      </c>
      <c r="B2888" s="138">
        <f>'Assets-Liab 5-6'!I13</f>
        <v>1389816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85471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1389816</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1389816</v>
      </c>
      <c r="C2913" s="2" t="s">
        <v>594</v>
      </c>
      <c r="D2913" s="2" t="str">
        <f t="shared" si="44"/>
        <v>Error?</v>
      </c>
    </row>
    <row r="2914" spans="1:4" x14ac:dyDescent="0.2">
      <c r="A2914" s="5">
        <v>2853</v>
      </c>
      <c r="B2914" s="138">
        <f>'Assets-Liab 5-6'!L33</f>
        <v>85471</v>
      </c>
      <c r="D2914" s="2" t="str">
        <f t="shared" si="44"/>
        <v>Error?</v>
      </c>
    </row>
    <row r="2915" spans="1:4" x14ac:dyDescent="0.2">
      <c r="A2915" s="10">
        <v>2854</v>
      </c>
      <c r="D2915" s="2" t="str">
        <f t="shared" si="44"/>
        <v>OK</v>
      </c>
    </row>
    <row r="2916" spans="1:4" x14ac:dyDescent="0.2">
      <c r="A2916" s="5">
        <v>2855</v>
      </c>
      <c r="B2916" s="138">
        <f>'Assets-Liab 5-6'!L34</f>
        <v>85471</v>
      </c>
      <c r="C2916" s="2" t="s">
        <v>594</v>
      </c>
      <c r="D2916" s="2" t="str">
        <f t="shared" si="44"/>
        <v>Error?</v>
      </c>
    </row>
    <row r="2917" spans="1:4" x14ac:dyDescent="0.2">
      <c r="A2917" s="5">
        <v>2856</v>
      </c>
      <c r="B2917" s="138">
        <f>'Assets-Liab 5-6'!L41</f>
        <v>85471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250462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250462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4291</v>
      </c>
      <c r="D3055" s="2" t="str">
        <f t="shared" si="46"/>
        <v>Error?</v>
      </c>
    </row>
    <row r="3056" spans="1:4" x14ac:dyDescent="0.2">
      <c r="A3056" s="5">
        <v>2995</v>
      </c>
      <c r="B3056" s="138">
        <f>'Expenditures 15-22'!D10</f>
        <v>31</v>
      </c>
      <c r="D3056" s="2" t="str">
        <f t="shared" si="46"/>
        <v>Error?</v>
      </c>
    </row>
    <row r="3057" spans="1:4" x14ac:dyDescent="0.2">
      <c r="A3057" s="5">
        <v>2996</v>
      </c>
      <c r="B3057" s="138">
        <f>'Expenditures 15-22'!E10</f>
        <v>3437</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7759</v>
      </c>
      <c r="C3062" s="2" t="s">
        <v>594</v>
      </c>
      <c r="D3062" s="2" t="str">
        <f t="shared" si="46"/>
        <v>Error?</v>
      </c>
    </row>
    <row r="3063" spans="1:4" x14ac:dyDescent="0.2">
      <c r="A3063" s="10">
        <v>3002</v>
      </c>
      <c r="D3063" s="2" t="str">
        <f t="shared" si="46"/>
        <v>OK</v>
      </c>
    </row>
    <row r="3064" spans="1:4" x14ac:dyDescent="0.2">
      <c r="A3064" s="5">
        <v>3003</v>
      </c>
      <c r="B3064" s="138">
        <f>'Expenditures 15-22'!D219</f>
        <v>315</v>
      </c>
      <c r="D3064" s="2" t="str">
        <f t="shared" si="46"/>
        <v>Error?</v>
      </c>
    </row>
    <row r="3065" spans="1:4" x14ac:dyDescent="0.2">
      <c r="A3065" s="5">
        <v>3004</v>
      </c>
      <c r="B3065" s="138">
        <f>'Expenditures 15-22'!K219</f>
        <v>315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106699</v>
      </c>
      <c r="C3225" s="2" t="s">
        <v>594</v>
      </c>
      <c r="D3225" s="2" t="str">
        <f t="shared" si="49"/>
        <v>Error?</v>
      </c>
    </row>
    <row r="3226" spans="1:4" x14ac:dyDescent="0.2">
      <c r="A3226" s="5">
        <v>3165</v>
      </c>
      <c r="B3226" s="138">
        <f>'Acct Summary 7-8'!I8</f>
        <v>106699</v>
      </c>
      <c r="C3226" s="2" t="s">
        <v>594</v>
      </c>
      <c r="D3226" s="2" t="str">
        <f t="shared" si="49"/>
        <v>Error?</v>
      </c>
    </row>
    <row r="3227" spans="1:4" x14ac:dyDescent="0.2">
      <c r="A3227" s="5">
        <v>3166</v>
      </c>
      <c r="B3227" s="138">
        <f>'Acct Summary 7-8'!I20</f>
        <v>106699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25464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56694</v>
      </c>
      <c r="C3237" s="2" t="s">
        <v>594</v>
      </c>
      <c r="D3237" s="2" t="str">
        <f t="shared" si="49"/>
        <v>Error?</v>
      </c>
    </row>
    <row r="3238" spans="1:4" x14ac:dyDescent="0.2">
      <c r="A3238" s="5">
        <v>3177</v>
      </c>
      <c r="B3238" s="138">
        <f>'Acct Summary 7-8'!D77</f>
        <v>-56694</v>
      </c>
      <c r="C3238" s="2" t="s">
        <v>594</v>
      </c>
      <c r="D3238" s="2" t="str">
        <f t="shared" si="49"/>
        <v>Error?</v>
      </c>
    </row>
    <row r="3239" spans="1:4" x14ac:dyDescent="0.2">
      <c r="A3239" s="5">
        <v>3178</v>
      </c>
      <c r="B3239" s="138">
        <f>'Acct Summary 7-8'!D78</f>
        <v>-29256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420630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27152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56694</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56694</v>
      </c>
      <c r="C3277" s="2" t="s">
        <v>594</v>
      </c>
      <c r="D3277" s="2" t="str">
        <f t="shared" si="50"/>
        <v>Error?</v>
      </c>
    </row>
    <row r="3278" spans="1:4" x14ac:dyDescent="0.2">
      <c r="A3278" s="5">
        <v>3217</v>
      </c>
      <c r="B3278" s="138">
        <f>'Acct Summary 7-8'!E78</f>
        <v>158472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1200000</v>
      </c>
      <c r="C3317" s="2" t="s">
        <v>594</v>
      </c>
      <c r="D3317" s="2" t="str">
        <f t="shared" si="50"/>
        <v>Error?</v>
      </c>
    </row>
    <row r="3318" spans="1:4" x14ac:dyDescent="0.2">
      <c r="A3318" s="5">
        <v>3257</v>
      </c>
      <c r="B3318" s="138">
        <f>'Acct Summary 7-8'!I76</f>
        <v>19500</v>
      </c>
      <c r="C3318" s="2" t="s">
        <v>594</v>
      </c>
      <c r="D3318" s="2" t="str">
        <f t="shared" si="50"/>
        <v>Error?</v>
      </c>
    </row>
    <row r="3319" spans="1:4" x14ac:dyDescent="0.2">
      <c r="A3319" s="5">
        <v>3258</v>
      </c>
      <c r="B3319" s="138">
        <f>'Acct Summary 7-8'!I77</f>
        <v>1180500</v>
      </c>
      <c r="C3319" s="2" t="s">
        <v>594</v>
      </c>
      <c r="D3319" s="2" t="str">
        <f t="shared" si="50"/>
        <v>Error?</v>
      </c>
    </row>
    <row r="3320" spans="1:4" x14ac:dyDescent="0.2">
      <c r="A3320" s="5">
        <v>3259</v>
      </c>
      <c r="B3320" s="138">
        <f>'Acct Summary 7-8'!I78</f>
        <v>1287199</v>
      </c>
      <c r="C3320" s="2" t="s">
        <v>594</v>
      </c>
      <c r="D3320" s="2" t="str">
        <f t="shared" si="50"/>
        <v>Error?</v>
      </c>
    </row>
    <row r="3321" spans="1:4" x14ac:dyDescent="0.2">
      <c r="A3321" s="5">
        <v>3260</v>
      </c>
      <c r="B3321" s="138">
        <f>'Acct Summary 7-8'!I79</f>
        <v>102617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1389816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953877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160728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903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3203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1118711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67643</v>
      </c>
      <c r="D3387" s="2" t="str">
        <f t="shared" si="51"/>
        <v>Error?</v>
      </c>
    </row>
    <row r="3388" spans="1:4" x14ac:dyDescent="0.2">
      <c r="A3388" s="5">
        <v>3327</v>
      </c>
      <c r="B3388" s="138">
        <f>'Expenditures 15-22'!D217</f>
        <v>63090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67643</v>
      </c>
      <c r="C3390" s="2" t="s">
        <v>594</v>
      </c>
      <c r="D3390" s="2" t="str">
        <f t="shared" si="51"/>
        <v>Error?</v>
      </c>
    </row>
    <row r="3391" spans="1:4" x14ac:dyDescent="0.2">
      <c r="A3391" s="5">
        <v>3330</v>
      </c>
      <c r="B3391" s="138">
        <f>'Expenditures 15-22'!K217</f>
        <v>63090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103326</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1523607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92428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731005</v>
      </c>
      <c r="D3417" s="2" t="str">
        <f t="shared" si="52"/>
        <v>Error?</v>
      </c>
    </row>
    <row r="3418" spans="1:4" x14ac:dyDescent="0.2">
      <c r="A3418" s="10">
        <v>3357</v>
      </c>
      <c r="D3418" s="2" t="str">
        <f t="shared" si="52"/>
        <v>OK</v>
      </c>
    </row>
    <row r="3419" spans="1:4" x14ac:dyDescent="0.2">
      <c r="A3419" s="5">
        <v>3358</v>
      </c>
      <c r="B3419" s="138">
        <f>'Assets-Liab 5-6'!F4</f>
        <v>1395760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132052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85471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146593</v>
      </c>
      <c r="C3446" s="2" t="s">
        <v>594</v>
      </c>
      <c r="D3446" s="2" t="str">
        <f t="shared" si="52"/>
        <v>Error?</v>
      </c>
    </row>
    <row r="3447" spans="1:4" x14ac:dyDescent="0.2">
      <c r="A3447" s="5">
        <v>3386</v>
      </c>
      <c r="B3447" s="138">
        <f>'Tax Sched 23'!D16</f>
        <v>104649</v>
      </c>
      <c r="C3447" s="2" t="s">
        <v>594</v>
      </c>
      <c r="D3447" s="2" t="str">
        <f t="shared" si="52"/>
        <v>Error?</v>
      </c>
    </row>
    <row r="3448" spans="1:4" x14ac:dyDescent="0.2">
      <c r="A3448" s="5">
        <v>3387</v>
      </c>
      <c r="B3448" s="138">
        <f>'Tax Sched 23'!C16</f>
        <v>41944</v>
      </c>
      <c r="D3448" s="2" t="str">
        <f t="shared" si="52"/>
        <v>Error?</v>
      </c>
    </row>
    <row r="3449" spans="1:4" x14ac:dyDescent="0.2">
      <c r="A3449" s="5">
        <v>3388</v>
      </c>
      <c r="B3449" s="138">
        <f>'Tax Sched 23'!F16</f>
        <v>123244</v>
      </c>
      <c r="C3449" s="2" t="s">
        <v>594</v>
      </c>
      <c r="D3449" s="2" t="str">
        <f t="shared" si="52"/>
        <v>Error?</v>
      </c>
    </row>
    <row r="3450" spans="1:4" x14ac:dyDescent="0.2">
      <c r="A3450" s="5">
        <v>3389</v>
      </c>
      <c r="B3450" s="138">
        <f>'Tax Sched 23'!E16</f>
        <v>165188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97797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97797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97797</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97797</v>
      </c>
      <c r="C3568" s="2" t="s">
        <v>594</v>
      </c>
      <c r="D3568" s="2" t="str">
        <f t="shared" si="54"/>
        <v>Error?</v>
      </c>
    </row>
    <row r="3569" spans="1:4" x14ac:dyDescent="0.2">
      <c r="A3569" s="5">
        <v>3508</v>
      </c>
      <c r="B3569" s="138">
        <f>'Acct Summary 7-8'!K4</f>
        <v>106700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106700</v>
      </c>
      <c r="C3571" s="2" t="s">
        <v>594</v>
      </c>
      <c r="D3571" s="2" t="str">
        <f t="shared" si="54"/>
        <v>Error?</v>
      </c>
    </row>
    <row r="3572" spans="1:4" x14ac:dyDescent="0.2">
      <c r="A3572" s="5">
        <v>3511</v>
      </c>
      <c r="B3572" s="138">
        <f>'Acct Summary 7-8'!K13</f>
        <v>24916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24916</v>
      </c>
      <c r="C3575" s="2" t="s">
        <v>594</v>
      </c>
      <c r="D3575" s="2" t="str">
        <f t="shared" si="54"/>
        <v>Error?</v>
      </c>
    </row>
    <row r="3576" spans="1:4" x14ac:dyDescent="0.2">
      <c r="A3576" s="5">
        <v>3515</v>
      </c>
      <c r="B3576" s="138">
        <f>'Acct Summary 7-8'!K20</f>
        <v>81784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81784</v>
      </c>
      <c r="C3588" s="2" t="s">
        <v>594</v>
      </c>
      <c r="D3588" s="2" t="str">
        <f t="shared" si="55"/>
        <v>Error?</v>
      </c>
    </row>
    <row r="3589" spans="1:4" x14ac:dyDescent="0.2">
      <c r="A3589" s="5">
        <v>3528</v>
      </c>
      <c r="B3589" s="138">
        <f>'Acct Summary 7-8'!K79</f>
        <v>16013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97797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24916</v>
      </c>
      <c r="D3632" s="2" t="str">
        <f t="shared" si="55"/>
        <v>Error?</v>
      </c>
    </row>
    <row r="3633" spans="1:4" x14ac:dyDescent="0.2">
      <c r="A3633" s="5">
        <v>3572</v>
      </c>
      <c r="B3633" s="138">
        <f>'Expenditures 15-22'!E350</f>
        <v>24916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24916</v>
      </c>
      <c r="C3635" s="2" t="s">
        <v>594</v>
      </c>
      <c r="D3635" s="2" t="str">
        <f t="shared" si="55"/>
        <v>Error?</v>
      </c>
    </row>
    <row r="3636" spans="1:4" x14ac:dyDescent="0.2">
      <c r="A3636" s="5">
        <v>3575</v>
      </c>
      <c r="B3636" s="138">
        <f>'Expenditures 15-22'!E367</f>
        <v>24916</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24916</v>
      </c>
      <c r="C3669" s="2" t="s">
        <v>594</v>
      </c>
      <c r="D3669" s="2" t="str">
        <f t="shared" si="56"/>
        <v>Error?</v>
      </c>
    </row>
    <row r="3670" spans="1:4" x14ac:dyDescent="0.2">
      <c r="A3670" s="5">
        <v>3609</v>
      </c>
      <c r="B3670" s="138">
        <f>'Expenditures 15-22'!K350</f>
        <v>24916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24916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24916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81784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106700</v>
      </c>
      <c r="C3725" s="2" t="s">
        <v>594</v>
      </c>
      <c r="D3725" s="2" t="str">
        <f t="shared" si="57"/>
        <v>Error?</v>
      </c>
    </row>
    <row r="3726" spans="1:4" x14ac:dyDescent="0.2">
      <c r="A3726" s="5">
        <v>3665</v>
      </c>
      <c r="B3726" s="138">
        <f>'Tax Sched 23'!D13</f>
        <v>82143</v>
      </c>
      <c r="C3726" s="2" t="s">
        <v>594</v>
      </c>
      <c r="D3726" s="2" t="str">
        <f t="shared" si="57"/>
        <v>Error?</v>
      </c>
    </row>
    <row r="3727" spans="1:4" x14ac:dyDescent="0.2">
      <c r="A3727" s="5">
        <v>3666</v>
      </c>
      <c r="B3727" s="138">
        <f>'Tax Sched 23'!C13</f>
        <v>24557</v>
      </c>
      <c r="D3727" s="2" t="str">
        <f t="shared" si="57"/>
        <v>Error?</v>
      </c>
    </row>
    <row r="3728" spans="1:4" x14ac:dyDescent="0.2">
      <c r="A3728" s="5">
        <v>3667</v>
      </c>
      <c r="B3728" s="138">
        <f>'Tax Sched 23'!F13</f>
        <v>72157</v>
      </c>
      <c r="C3728" s="2" t="s">
        <v>594</v>
      </c>
      <c r="D3728" s="2" t="str">
        <f t="shared" si="57"/>
        <v>Error?</v>
      </c>
    </row>
    <row r="3729" spans="1:4" x14ac:dyDescent="0.2">
      <c r="A3729" s="5">
        <v>3668</v>
      </c>
      <c r="B3729" s="138">
        <f>'Tax Sched 23'!E13</f>
        <v>96714</v>
      </c>
      <c r="D3729" s="2" t="str">
        <f t="shared" si="57"/>
        <v>Error?</v>
      </c>
    </row>
    <row r="3730" spans="1:4" x14ac:dyDescent="0.2">
      <c r="A3730" s="5">
        <v>3669</v>
      </c>
      <c r="B3730" s="138">
        <f>'ICR Computation 30'!E10</f>
        <v>266784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2877183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8920199</v>
      </c>
      <c r="C4122" s="2" t="s">
        <v>594</v>
      </c>
      <c r="D4122" s="2" t="str">
        <f t="shared" si="63"/>
        <v>Error?</v>
      </c>
    </row>
    <row r="4123" spans="1:4" x14ac:dyDescent="0.2">
      <c r="A4123" s="5">
        <v>4062</v>
      </c>
      <c r="B4123" s="138">
        <f>'Acct Summary 7-8'!D10</f>
        <v>659593</v>
      </c>
      <c r="C4123" s="2" t="s">
        <v>594</v>
      </c>
      <c r="D4123" s="2" t="str">
        <f t="shared" si="63"/>
        <v>Error?</v>
      </c>
    </row>
    <row r="4124" spans="1:4" x14ac:dyDescent="0.2">
      <c r="A4124" s="5">
        <v>4063</v>
      </c>
      <c r="B4124" s="138">
        <f>'Acct Summary 7-8'!E10</f>
        <v>1179947</v>
      </c>
      <c r="C4124" s="2" t="s">
        <v>594</v>
      </c>
      <c r="D4124" s="2" t="str">
        <f t="shared" si="63"/>
        <v>Error?</v>
      </c>
    </row>
    <row r="4125" spans="1:4" x14ac:dyDescent="0.2">
      <c r="A4125" s="5">
        <v>4064</v>
      </c>
      <c r="B4125" s="138">
        <f>'Acct Summary 7-8'!F10</f>
        <v>618120</v>
      </c>
      <c r="C4125" s="2" t="s">
        <v>594</v>
      </c>
      <c r="D4125" s="2" t="str">
        <f t="shared" si="63"/>
        <v>Error?</v>
      </c>
    </row>
    <row r="4126" spans="1:4" x14ac:dyDescent="0.2">
      <c r="A4126" s="5">
        <v>4065</v>
      </c>
      <c r="B4126" s="138">
        <f>'Acct Summary 7-8'!G10</f>
        <v>293187</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106699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106700</v>
      </c>
      <c r="C4130" s="2" t="s">
        <v>594</v>
      </c>
      <c r="D4130" s="2" t="str">
        <f t="shared" si="63"/>
        <v>Error?</v>
      </c>
    </row>
    <row r="4131" spans="1:4" x14ac:dyDescent="0.2">
      <c r="A4131" s="5">
        <v>4070</v>
      </c>
      <c r="B4131" s="138">
        <f>'Acct Summary 7-8'!C18</f>
        <v>2877183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8894735</v>
      </c>
      <c r="C4136" s="2" t="s">
        <v>594</v>
      </c>
      <c r="D4136" s="2" t="str">
        <f t="shared" si="63"/>
        <v>Error?</v>
      </c>
    </row>
    <row r="4137" spans="1:4" x14ac:dyDescent="0.2">
      <c r="A4137" s="5">
        <v>4076</v>
      </c>
      <c r="B4137" s="138">
        <f>'Acct Summary 7-8'!D19</f>
        <v>632155</v>
      </c>
      <c r="C4137" s="2" t="s">
        <v>594</v>
      </c>
      <c r="D4137" s="2" t="str">
        <f t="shared" si="63"/>
        <v>Error?</v>
      </c>
    </row>
    <row r="4138" spans="1:4" x14ac:dyDescent="0.2">
      <c r="A4138" s="5">
        <v>4077</v>
      </c>
      <c r="B4138" s="138">
        <f>'Acct Summary 7-8'!E19</f>
        <v>1078169</v>
      </c>
      <c r="C4138" s="2" t="s">
        <v>594</v>
      </c>
      <c r="D4138" s="2" t="str">
        <f t="shared" si="63"/>
        <v>Error?</v>
      </c>
    </row>
    <row r="4139" spans="1:4" x14ac:dyDescent="0.2">
      <c r="A4139" s="5">
        <v>4078</v>
      </c>
      <c r="B4139" s="138">
        <f>'Acct Summary 7-8'!F19</f>
        <v>197490</v>
      </c>
      <c r="C4139" s="2" t="s">
        <v>594</v>
      </c>
      <c r="D4139" s="2" t="str">
        <f t="shared" si="63"/>
        <v>Error?</v>
      </c>
    </row>
    <row r="4140" spans="1:4" x14ac:dyDescent="0.2">
      <c r="A4140" s="5">
        <v>4079</v>
      </c>
      <c r="B4140" s="138">
        <f>'Acct Summary 7-8'!G19</f>
        <v>266035</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24916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6779000</v>
      </c>
      <c r="C4171" s="2" t="s">
        <v>594</v>
      </c>
      <c r="D4171" s="2" t="str">
        <f t="shared" si="64"/>
        <v>Error?</v>
      </c>
    </row>
    <row r="4172" spans="1:4" x14ac:dyDescent="0.2">
      <c r="A4172" s="5">
        <v>4111</v>
      </c>
      <c r="B4172" s="138">
        <f>'Short-Term Long-Term Debt 24'!J49</f>
        <v>6047995</v>
      </c>
      <c r="C4172" s="2" t="s">
        <v>594</v>
      </c>
      <c r="D4172" s="2" t="str">
        <f t="shared" si="64"/>
        <v>Error?</v>
      </c>
    </row>
    <row r="4173" spans="1:4" x14ac:dyDescent="0.2">
      <c r="A4173" s="5">
        <v>4112</v>
      </c>
      <c r="B4173" s="138">
        <f>'Short-Term Long-Term Debt 24'!H49</f>
        <v>825000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1760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2130</v>
      </c>
      <c r="C4268" s="2" t="s">
        <v>594</v>
      </c>
      <c r="D4268" s="2" t="str">
        <f t="shared" si="65"/>
        <v>Error?</v>
      </c>
    </row>
    <row r="4269" spans="1:5" x14ac:dyDescent="0.2">
      <c r="A4269" s="12">
        <v>4208</v>
      </c>
      <c r="B4269" s="138">
        <f>'FP Info 3'!J16</f>
        <v>2945287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37464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4773</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16017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193428686</v>
      </c>
      <c r="D4995" s="2" t="str">
        <f t="shared" si="77"/>
        <v>Error?</v>
      </c>
    </row>
    <row r="4996" spans="1:4" x14ac:dyDescent="0.2">
      <c r="A4996" s="12">
        <v>4935</v>
      </c>
      <c r="B4996" s="138">
        <f>'FP Info 3'!H31</f>
        <v>13346579.334000001</v>
      </c>
      <c r="D4996" s="2" t="str">
        <f t="shared" si="77"/>
        <v>Error?</v>
      </c>
    </row>
    <row r="4997" spans="1:4" x14ac:dyDescent="0.2">
      <c r="A4997" s="12">
        <v>4936</v>
      </c>
      <c r="B4997" s="138">
        <f>'FP Info 3'!H37</f>
        <v>6779000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3755790</v>
      </c>
      <c r="D5061" s="2" t="str">
        <f t="shared" si="78"/>
        <v>Error?</v>
      </c>
    </row>
    <row r="5062" spans="1:4" x14ac:dyDescent="0.2">
      <c r="A5062" s="10">
        <v>5001</v>
      </c>
      <c r="D5062" s="2" t="str">
        <f t="shared" si="78"/>
        <v>OK</v>
      </c>
    </row>
    <row r="5063" spans="1:4" x14ac:dyDescent="0.2">
      <c r="A5063" s="5">
        <v>5002</v>
      </c>
      <c r="B5063" s="138">
        <f>'Revenues 9-14'!C7</f>
        <v>42683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3798473</v>
      </c>
      <c r="C5066" s="2" t="s">
        <v>594</v>
      </c>
      <c r="D5066" s="2" t="str">
        <f t="shared" si="78"/>
        <v>Error?</v>
      </c>
    </row>
    <row r="5067" spans="1:4" x14ac:dyDescent="0.2">
      <c r="A5067" s="5">
        <v>5006</v>
      </c>
      <c r="B5067" s="138">
        <f>'Revenues 9-14'!C14</f>
        <v>2621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60481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63102</v>
      </c>
      <c r="C5071" s="2" t="s">
        <v>594</v>
      </c>
      <c r="D5071" s="2" t="str">
        <f t="shared" si="78"/>
        <v>Error?</v>
      </c>
    </row>
    <row r="5072" spans="1:4" x14ac:dyDescent="0.2">
      <c r="A5072" s="5">
        <v>5011</v>
      </c>
      <c r="B5072" s="138">
        <f>'Revenues 9-14'!C20</f>
        <v>246607</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383803</v>
      </c>
      <c r="C5087" s="2" t="s">
        <v>594</v>
      </c>
      <c r="D5087" s="2" t="str">
        <f t="shared" si="78"/>
        <v>Error?</v>
      </c>
    </row>
    <row r="5088" spans="1:4" x14ac:dyDescent="0.2">
      <c r="A5088" s="5">
        <v>5027</v>
      </c>
      <c r="B5088" s="138">
        <f>'Revenues 9-14'!C65</f>
        <v>48939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48939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164824</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164824</v>
      </c>
      <c r="C5096" s="2" t="s">
        <v>594</v>
      </c>
      <c r="D5096" s="2" t="str">
        <f t="shared" si="78"/>
        <v>Error?</v>
      </c>
    </row>
    <row r="5097" spans="1:4" x14ac:dyDescent="0.2">
      <c r="A5097" s="5">
        <v>5036</v>
      </c>
      <c r="B5097" s="138">
        <f>'Revenues 9-14'!C77</f>
        <v>11192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11192</v>
      </c>
      <c r="C5102" s="2" t="s">
        <v>594</v>
      </c>
      <c r="D5102" s="2" t="str">
        <f t="shared" si="78"/>
        <v>Error?</v>
      </c>
    </row>
    <row r="5103" spans="1:4" x14ac:dyDescent="0.2">
      <c r="A5103" s="5">
        <v>5042</v>
      </c>
      <c r="B5103" s="138">
        <f>'Revenues 9-14'!C84</f>
        <v>58402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58402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594</v>
      </c>
      <c r="D5120" s="2" t="str">
        <f t="shared" si="79"/>
        <v>Error?</v>
      </c>
    </row>
    <row r="5121" spans="1:4" x14ac:dyDescent="0.2">
      <c r="A5121" s="5">
        <v>5060</v>
      </c>
      <c r="B5121" s="138">
        <f>'Revenues 9-14'!C109</f>
        <v>4528735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103326</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103326</v>
      </c>
      <c r="C5125" s="2" t="s">
        <v>594</v>
      </c>
      <c r="D5125" s="2" t="str">
        <f t="shared" si="79"/>
        <v>Error?</v>
      </c>
    </row>
    <row r="5126" spans="1:4" x14ac:dyDescent="0.2">
      <c r="A5126" s="5">
        <v>5065</v>
      </c>
      <c r="B5126" s="138">
        <f>'Revenues 9-14'!C117</f>
        <v>1014818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1014818</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51009</v>
      </c>
      <c r="D5134" s="2" t="str">
        <f t="shared" si="79"/>
        <v>Error?</v>
      </c>
    </row>
    <row r="5135" spans="1:4" x14ac:dyDescent="0.2">
      <c r="A5135" s="5">
        <v>5074</v>
      </c>
      <c r="B5135" s="138">
        <f>'Revenues 9-14'!C126</f>
        <v>81137</v>
      </c>
      <c r="D5135" s="2" t="str">
        <f t="shared" si="79"/>
        <v>Error?</v>
      </c>
    </row>
    <row r="5136" spans="1:4" x14ac:dyDescent="0.2">
      <c r="A5136" s="10">
        <v>5075</v>
      </c>
      <c r="D5136" s="2" t="str">
        <f t="shared" si="79"/>
        <v>OK</v>
      </c>
    </row>
    <row r="5137" spans="1:4" x14ac:dyDescent="0.2">
      <c r="A5137" s="5">
        <v>5076</v>
      </c>
      <c r="B5137" s="138">
        <f>'Revenues 9-14'!C127</f>
        <v>31410</v>
      </c>
      <c r="D5137" s="2" t="str">
        <f t="shared" si="79"/>
        <v>Error?</v>
      </c>
    </row>
    <row r="5138" spans="1:4" x14ac:dyDescent="0.2">
      <c r="A5138" s="10">
        <v>5077</v>
      </c>
      <c r="D5138" s="2" t="str">
        <f t="shared" si="79"/>
        <v>OK</v>
      </c>
    </row>
    <row r="5139" spans="1:4" x14ac:dyDescent="0.2">
      <c r="A5139" s="5">
        <v>5078</v>
      </c>
      <c r="B5139" s="138">
        <f>'Revenues 9-14'!C128</f>
        <v>372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163928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838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165516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1180334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71797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14215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86012</v>
      </c>
      <c r="C5246" s="2" t="s">
        <v>594</v>
      </c>
      <c r="D5246" s="2" t="str">
        <f t="shared" si="80"/>
        <v>Error?</v>
      </c>
    </row>
    <row r="5247" spans="1:4" x14ac:dyDescent="0.2">
      <c r="A5247" s="5">
        <v>5186</v>
      </c>
      <c r="B5247" s="138">
        <f>'Revenues 9-14'!C203</f>
        <v>86355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4773</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86355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230621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230621</v>
      </c>
      <c r="C5326" s="2" t="s">
        <v>594</v>
      </c>
      <c r="D5326" s="2" t="str">
        <f t="shared" si="82"/>
        <v>Error?</v>
      </c>
    </row>
    <row r="5327" spans="1:4" x14ac:dyDescent="0.2">
      <c r="A5327" s="5">
        <v>5266</v>
      </c>
      <c r="B5327" s="138">
        <f>'Revenues 9-14'!C275</f>
        <v>6043016</v>
      </c>
      <c r="C5327" s="2" t="s">
        <v>594</v>
      </c>
      <c r="D5327" s="2" t="str">
        <f t="shared" si="82"/>
        <v>Error?</v>
      </c>
    </row>
    <row r="5328" spans="1:4" x14ac:dyDescent="0.2">
      <c r="A5328" s="5">
        <v>5267</v>
      </c>
      <c r="B5328" s="138">
        <f>'Revenues 9-14'!D5</f>
        <v>533493</v>
      </c>
      <c r="D5328" s="2" t="str">
        <f t="shared" si="82"/>
        <v>Error?</v>
      </c>
    </row>
    <row r="5329" spans="1:4" x14ac:dyDescent="0.2">
      <c r="A5329" s="10">
        <v>5268</v>
      </c>
      <c r="D5329" s="2" t="str">
        <f t="shared" si="82"/>
        <v>OK</v>
      </c>
    </row>
    <row r="5330" spans="1:4" x14ac:dyDescent="0.2">
      <c r="A5330" s="5">
        <v>5269</v>
      </c>
      <c r="B5330" s="138">
        <f>'Revenues 9-14'!D6</f>
        <v>106700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640193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19358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42</v>
      </c>
      <c r="D5354" s="2" t="str">
        <f t="shared" si="82"/>
        <v>Error?</v>
      </c>
    </row>
    <row r="5355" spans="1:4" x14ac:dyDescent="0.2">
      <c r="A5355" s="5">
        <v>5294</v>
      </c>
      <c r="B5355" s="138">
        <f>'Revenues 9-14'!D108</f>
        <v>19400</v>
      </c>
      <c r="C5355" s="2" t="s">
        <v>594</v>
      </c>
      <c r="D5355" s="2" t="str">
        <f t="shared" si="82"/>
        <v>Error?</v>
      </c>
    </row>
    <row r="5356" spans="1:4" x14ac:dyDescent="0.2">
      <c r="A5356" s="5">
        <v>5295</v>
      </c>
      <c r="B5356" s="138">
        <f>'Revenues 9-14'!D109</f>
        <v>659593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659593</v>
      </c>
      <c r="C5508" s="2" t="s">
        <v>594</v>
      </c>
      <c r="D5508" s="2" t="str">
        <f t="shared" si="85"/>
        <v>Error?</v>
      </c>
    </row>
    <row r="5509" spans="1:4" x14ac:dyDescent="0.2">
      <c r="A5509" s="5">
        <v>5448</v>
      </c>
      <c r="B5509" s="138">
        <f>'Revenues 9-14'!E5</f>
        <v>1179947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1179947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1179947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1179947</v>
      </c>
      <c r="C5552" s="2" t="s">
        <v>594</v>
      </c>
      <c r="D5552" s="2" t="str">
        <f t="shared" si="85"/>
        <v>Error?</v>
      </c>
    </row>
    <row r="5553" spans="1:4" x14ac:dyDescent="0.2">
      <c r="A5553" s="5">
        <v>5492</v>
      </c>
      <c r="B5553" s="138">
        <f>'Revenues 9-14'!F5</f>
        <v>256076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256076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4868</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4868</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5800</v>
      </c>
      <c r="D5586" s="2" t="str">
        <f t="shared" si="86"/>
        <v>Error?</v>
      </c>
    </row>
    <row r="5587" spans="1:4" x14ac:dyDescent="0.2">
      <c r="A5587" s="5">
        <v>5526</v>
      </c>
      <c r="B5587" s="138">
        <f>'Revenues 9-14'!F108</f>
        <v>5800</v>
      </c>
      <c r="C5587" s="2" t="s">
        <v>594</v>
      </c>
      <c r="D5587" s="2" t="str">
        <f t="shared" si="86"/>
        <v>Error?</v>
      </c>
    </row>
    <row r="5588" spans="1:4" x14ac:dyDescent="0.2">
      <c r="A5588" s="5">
        <v>5527</v>
      </c>
      <c r="B5588" s="138">
        <f>'Revenues 9-14'!F109</f>
        <v>266744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294614</v>
      </c>
      <c r="D5615" s="2" t="str">
        <f t="shared" si="86"/>
        <v>Error?</v>
      </c>
    </row>
    <row r="5616" spans="1:4" x14ac:dyDescent="0.2">
      <c r="A5616" s="10">
        <v>5555</v>
      </c>
      <c r="D5616" s="2" t="str">
        <f t="shared" si="86"/>
        <v>OK</v>
      </c>
    </row>
    <row r="5617" spans="1:4" x14ac:dyDescent="0.2">
      <c r="A5617" s="5">
        <v>5556</v>
      </c>
      <c r="B5617" s="138">
        <f>'Revenues 9-14'!F152</f>
        <v>56762</v>
      </c>
      <c r="D5617" s="2" t="str">
        <f t="shared" si="86"/>
        <v>Error?</v>
      </c>
    </row>
    <row r="5618" spans="1:4" x14ac:dyDescent="0.2">
      <c r="A5618" s="5">
        <v>5557</v>
      </c>
      <c r="B5618" s="138">
        <f>'Revenues 9-14'!F154</f>
        <v>351376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351376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351376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618120</v>
      </c>
      <c r="C5720" s="2" t="s">
        <v>594</v>
      </c>
      <c r="D5720" s="2" t="str">
        <f t="shared" si="88"/>
        <v>Error?</v>
      </c>
    </row>
    <row r="5721" spans="1:4" x14ac:dyDescent="0.2">
      <c r="A5721" s="5">
        <v>5660</v>
      </c>
      <c r="B5721" s="138">
        <f>'Revenues 9-14'!G5</f>
        <v>146594</v>
      </c>
      <c r="D5721" s="2" t="str">
        <f t="shared" si="88"/>
        <v>Error?</v>
      </c>
    </row>
    <row r="5722" spans="1:4" x14ac:dyDescent="0.2">
      <c r="A5722" s="5">
        <v>5661</v>
      </c>
      <c r="B5722" s="138">
        <f>'Revenues 9-14'!G7</f>
        <v>0</v>
      </c>
      <c r="D5722" s="2" t="str">
        <f t="shared" si="88"/>
        <v>Error?</v>
      </c>
    </row>
    <row r="5723" spans="1:4" x14ac:dyDescent="0.2">
      <c r="A5723" s="5">
        <v>5662</v>
      </c>
      <c r="B5723" s="138">
        <f>'Revenues 9-14'!G8</f>
        <v>146593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293187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293187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106699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106699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106699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106700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106700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106700</v>
      </c>
      <c r="C6023" s="2" t="s">
        <v>594</v>
      </c>
      <c r="D6023" s="2" t="str">
        <f t="shared" si="93"/>
        <v>Error?</v>
      </c>
    </row>
    <row r="6024" spans="1:5" x14ac:dyDescent="0.2">
      <c r="A6024" s="5">
        <v>5963</v>
      </c>
      <c r="B6024" s="138">
        <f>'Revenues 9-14'!G109</f>
        <v>293187</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106699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106700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22594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742.51099999999997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60000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1456324</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242973</v>
      </c>
      <c r="D6124" s="2" t="str">
        <f t="shared" si="94"/>
        <v>Error?</v>
      </c>
      <c r="E6124" s="2" t="s">
        <v>199</v>
      </c>
    </row>
    <row r="6125" spans="1:5" x14ac:dyDescent="0.2">
      <c r="A6125">
        <v>6064</v>
      </c>
      <c r="B6125" s="138">
        <f>'Assets-Liab 5-6'!C25</f>
        <v>1456324</v>
      </c>
      <c r="D6125" s="2" t="str">
        <f t="shared" si="94"/>
        <v>Error?</v>
      </c>
      <c r="E6125" s="2" t="s">
        <v>199</v>
      </c>
    </row>
    <row r="6126" spans="1:5" x14ac:dyDescent="0.2">
      <c r="A6126">
        <v>6065</v>
      </c>
      <c r="B6126" s="138">
        <f>'Assets-Liab 5-6'!D25</f>
        <v>60000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242973</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242973</v>
      </c>
      <c r="D6216" s="2" t="str">
        <f t="shared" si="96"/>
        <v>Error?</v>
      </c>
      <c r="E6216" s="2" t="s">
        <v>199</v>
      </c>
    </row>
    <row r="6217" spans="1:5" x14ac:dyDescent="0.2">
      <c r="A6217">
        <v>6156</v>
      </c>
      <c r="B6217" s="138">
        <f>'Assets-Liab 5-6'!J4</f>
        <v>242973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691072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691072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691072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654846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654846</v>
      </c>
      <c r="D6229" s="2" t="str">
        <f t="shared" si="96"/>
        <v>Error?</v>
      </c>
      <c r="E6229" s="2" t="s">
        <v>199</v>
      </c>
    </row>
    <row r="6230" spans="1:5" x14ac:dyDescent="0.2">
      <c r="A6230">
        <v>6169</v>
      </c>
      <c r="B6230" s="138">
        <f>'Acct Summary 7-8'!J20</f>
        <v>36226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19500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36226</v>
      </c>
      <c r="D6263" s="2" t="str">
        <f t="shared" si="96"/>
        <v>Error?</v>
      </c>
      <c r="E6263" s="2" t="s">
        <v>199</v>
      </c>
    </row>
    <row r="6264" spans="1:5" x14ac:dyDescent="0.2">
      <c r="A6264">
        <v>6203</v>
      </c>
      <c r="B6264" s="138">
        <f>'Acct Summary 7-8'!J79</f>
        <v>206747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242973</v>
      </c>
      <c r="D6266" s="2" t="str">
        <f t="shared" si="96"/>
        <v>Error?</v>
      </c>
      <c r="E6266" s="2" t="s">
        <v>199</v>
      </c>
    </row>
    <row r="6267" spans="1:5" x14ac:dyDescent="0.2">
      <c r="A6267">
        <v>6206</v>
      </c>
      <c r="B6267" s="138">
        <f>'Acct Summary 7-8'!C82</f>
        <v>25464</v>
      </c>
      <c r="D6267" s="2" t="str">
        <f t="shared" si="96"/>
        <v>Error?</v>
      </c>
      <c r="E6267" s="2" t="s">
        <v>199</v>
      </c>
    </row>
    <row r="6268" spans="1:5" x14ac:dyDescent="0.2">
      <c r="A6268">
        <v>6207</v>
      </c>
      <c r="B6268" s="138">
        <f>'Acct Summary 7-8'!D82</f>
        <v>-29256</v>
      </c>
      <c r="D6268" s="2" t="str">
        <f t="shared" si="96"/>
        <v>Error?</v>
      </c>
      <c r="E6268" s="2" t="s">
        <v>199</v>
      </c>
    </row>
    <row r="6269" spans="1:5" x14ac:dyDescent="0.2">
      <c r="A6269">
        <v>6208</v>
      </c>
      <c r="B6269" s="138">
        <f>'Acct Summary 7-8'!E82</f>
        <v>158472</v>
      </c>
      <c r="D6269" s="2" t="str">
        <f t="shared" si="96"/>
        <v>Error?</v>
      </c>
      <c r="E6269" s="2" t="s">
        <v>199</v>
      </c>
    </row>
    <row r="6270" spans="1:5" x14ac:dyDescent="0.2">
      <c r="A6270">
        <v>6209</v>
      </c>
      <c r="B6270" s="138">
        <f>'Acct Summary 7-8'!F82</f>
        <v>420630</v>
      </c>
      <c r="D6270" s="2" t="str">
        <f t="shared" si="96"/>
        <v>Error?</v>
      </c>
      <c r="E6270" s="2" t="s">
        <v>199</v>
      </c>
    </row>
    <row r="6271" spans="1:5" x14ac:dyDescent="0.2">
      <c r="A6271">
        <v>6210</v>
      </c>
      <c r="B6271" s="138">
        <f>'Acct Summary 7-8'!G82</f>
        <v>27152</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1287199</v>
      </c>
      <c r="D6273" s="2" t="str">
        <f t="shared" si="97"/>
        <v>Error?</v>
      </c>
      <c r="E6273" s="2" t="s">
        <v>199</v>
      </c>
    </row>
    <row r="6274" spans="1:5" x14ac:dyDescent="0.2">
      <c r="A6274">
        <v>6213</v>
      </c>
      <c r="B6274" s="138">
        <f>'Acct Summary 7-8'!J82</f>
        <v>36226</v>
      </c>
      <c r="D6274" s="2" t="str">
        <f t="shared" si="97"/>
        <v>Error?</v>
      </c>
      <c r="E6274" s="2" t="s">
        <v>199</v>
      </c>
    </row>
    <row r="6275" spans="1:5" x14ac:dyDescent="0.2">
      <c r="A6275">
        <v>6214</v>
      </c>
      <c r="B6275" s="138">
        <f>'Acct Summary 7-8'!K82</f>
        <v>81784</v>
      </c>
      <c r="D6275" s="2" t="str">
        <f t="shared" si="97"/>
        <v>Error?</v>
      </c>
      <c r="E6275" s="2" t="s">
        <v>199</v>
      </c>
    </row>
    <row r="6276" spans="1:5" x14ac:dyDescent="0.2">
      <c r="A6276">
        <v>6215</v>
      </c>
      <c r="B6276" s="138">
        <f>'Acct Summary 7-8'!C83</f>
        <v>0.20005813816456244</v>
      </c>
      <c r="D6276" s="2" t="str">
        <f t="shared" si="97"/>
        <v>Error?</v>
      </c>
      <c r="E6276" s="2" t="s">
        <v>199</v>
      </c>
    </row>
    <row r="6277" spans="1:5" x14ac:dyDescent="0.2">
      <c r="A6277">
        <v>6216</v>
      </c>
      <c r="B6277" s="138">
        <f>'Acct Summary 7-8'!D83</f>
        <v>-0.90218329838411249</v>
      </c>
      <c r="D6277" s="2" t="str">
        <f t="shared" si="97"/>
        <v>Error?</v>
      </c>
      <c r="E6277" s="2" t="s">
        <v>199</v>
      </c>
    </row>
    <row r="6278" spans="1:5" x14ac:dyDescent="0.2">
      <c r="A6278">
        <v>6217</v>
      </c>
      <c r="B6278" s="138">
        <f>'Acct Summary 7-8'!E83</f>
        <v>0.21678647888865329</v>
      </c>
      <c r="D6278" s="2" t="str">
        <f t="shared" si="97"/>
        <v>Error?</v>
      </c>
      <c r="E6278" s="2" t="s">
        <v>199</v>
      </c>
    </row>
    <row r="6279" spans="1:5" x14ac:dyDescent="0.2">
      <c r="A6279">
        <v>6218</v>
      </c>
      <c r="B6279" s="138">
        <f>'Acct Summary 7-8'!F83</f>
        <v>0.30136269845818764</v>
      </c>
      <c r="D6279" s="2" t="str">
        <f t="shared" si="97"/>
        <v>Error?</v>
      </c>
      <c r="E6279" s="2" t="s">
        <v>199</v>
      </c>
    </row>
    <row r="6280" spans="1:5" x14ac:dyDescent="0.2">
      <c r="A6280">
        <v>6219</v>
      </c>
      <c r="B6280" s="138">
        <f>'Acct Summary 7-8'!G83</f>
        <v>0.20561596946657376</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0.92616504630828833</v>
      </c>
      <c r="D6282" s="2" t="str">
        <f t="shared" si="97"/>
        <v>Error?</v>
      </c>
      <c r="E6282" s="2" t="s">
        <v>199</v>
      </c>
    </row>
    <row r="6283" spans="1:5" x14ac:dyDescent="0.2">
      <c r="A6283">
        <v>6222</v>
      </c>
      <c r="B6283" s="138">
        <f>'Acct Summary 7-8'!J83</f>
        <v>0.14909475538434311</v>
      </c>
      <c r="D6283" s="2" t="str">
        <f t="shared" si="97"/>
        <v>Error?</v>
      </c>
      <c r="E6283" s="2" t="s">
        <v>199</v>
      </c>
    </row>
    <row r="6284" spans="1:5" x14ac:dyDescent="0.2">
      <c r="A6284">
        <v>6223</v>
      </c>
      <c r="B6284" s="138">
        <f>'Acct Summary 7-8'!K83</f>
        <v>0.83626287104921415</v>
      </c>
      <c r="D6284" s="2" t="str">
        <f t="shared" si="97"/>
        <v>Error?</v>
      </c>
      <c r="E6284" s="2" t="s">
        <v>199</v>
      </c>
    </row>
    <row r="6285" spans="1:5" x14ac:dyDescent="0.2">
      <c r="A6285">
        <v>6224</v>
      </c>
      <c r="B6285" s="138">
        <f>'Acct Summary 7-8'!E37</f>
        <v>56694</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691072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691072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137196</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691072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654846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691072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9309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9309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168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168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191294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191294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447065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447065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7010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7010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654846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654846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654846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654846</v>
      </c>
      <c r="D7224" s="2" t="str">
        <f t="shared" si="111"/>
        <v>Error?</v>
      </c>
    </row>
    <row r="7225" spans="1:4" x14ac:dyDescent="0.2">
      <c r="A7225">
        <v>7164</v>
      </c>
      <c r="B7225" s="138">
        <f>'Expenditures 15-22'!K343</f>
        <v>36226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426354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56694</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42683</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423709</v>
      </c>
      <c r="D7797" s="2" t="str">
        <f t="shared" si="127"/>
        <v>Error?</v>
      </c>
      <c r="E7797" s="4" t="s">
        <v>2019</v>
      </c>
    </row>
    <row r="7798" spans="1:5" x14ac:dyDescent="0.2">
      <c r="A7798">
        <v>7737</v>
      </c>
      <c r="B7798" s="138">
        <f>'Contracts Paid in CY 29'!F141</f>
        <v>42476</v>
      </c>
      <c r="D7798" s="2" t="str">
        <f t="shared" si="127"/>
        <v>Error?</v>
      </c>
      <c r="E7798" s="4" t="s">
        <v>2019</v>
      </c>
    </row>
    <row r="7799" spans="1:5" x14ac:dyDescent="0.2">
      <c r="A7799">
        <v>7738</v>
      </c>
      <c r="B7799" s="138">
        <f>'Contracts Paid in CY 29'!G141</f>
        <v>174609</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Millstadt CCSD 160</v>
      </c>
      <c r="B7" s="2420"/>
      <c r="C7" s="2420"/>
      <c r="D7" s="2421"/>
      <c r="E7" s="2422">
        <f>COVER!A13</f>
        <v>50082160004</v>
      </c>
      <c r="F7" s="2423"/>
      <c r="G7" s="2429" t="str">
        <f>COVER!T23</f>
        <v>060-008105</v>
      </c>
      <c r="H7" s="2430"/>
      <c r="I7" s="2430"/>
      <c r="J7" s="2430"/>
      <c r="K7" s="2430"/>
      <c r="L7" s="243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2"/>
      <c r="B9" s="2433"/>
      <c r="C9" s="2433"/>
      <c r="D9" s="2433"/>
      <c r="E9" s="2433"/>
      <c r="F9" s="2434"/>
      <c r="G9" s="2403" t="str">
        <f>COVER!T13</f>
        <v>Fick, Eggemeyer &amp; Williamson</v>
      </c>
      <c r="H9" s="2435"/>
      <c r="I9" s="2435"/>
      <c r="J9" s="2435"/>
      <c r="K9" s="2435"/>
      <c r="L9" s="2436"/>
    </row>
    <row r="10" spans="1:29" ht="13.5" customHeight="1" x14ac:dyDescent="0.2">
      <c r="A10" s="2409">
        <f>COVER!A38</f>
        <v>0</v>
      </c>
      <c r="B10" s="2410"/>
      <c r="C10" s="2410"/>
      <c r="D10" s="2410"/>
      <c r="E10" s="2410"/>
      <c r="F10" s="2411"/>
      <c r="G10" s="2403" t="str">
        <f>COVER!T17</f>
        <v>205 S. Main</v>
      </c>
      <c r="H10" s="2404"/>
      <c r="I10" s="2404"/>
      <c r="J10" s="2404"/>
      <c r="K10" s="2404"/>
      <c r="L10" s="2405"/>
    </row>
    <row r="11" spans="1:29" ht="13.5" customHeight="1" x14ac:dyDescent="0.2">
      <c r="A11" s="1185" t="s">
        <v>1599</v>
      </c>
      <c r="B11" s="1186"/>
      <c r="C11" s="1187"/>
      <c r="D11" s="1192"/>
      <c r="E11" s="1187"/>
      <c r="F11" s="1191"/>
      <c r="G11" s="2403" t="str">
        <f>COVER!T19</f>
        <v>Columbia</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keith@afewcpas.com</v>
      </c>
      <c r="J13" s="2416"/>
      <c r="K13" s="2416"/>
      <c r="L13" s="2417"/>
    </row>
    <row r="14" spans="1:29" ht="13.5" customHeight="1" x14ac:dyDescent="0.2">
      <c r="A14" s="2403" t="str">
        <f>COVER!A19</f>
        <v>211 West Mill</v>
      </c>
      <c r="B14" s="2404"/>
      <c r="C14" s="2404"/>
      <c r="D14" s="2404"/>
      <c r="E14" s="2404"/>
      <c r="F14" s="2405"/>
      <c r="G14" s="1196" t="s">
        <v>1247</v>
      </c>
      <c r="H14" s="1194"/>
      <c r="I14" s="1194"/>
      <c r="J14" s="1194"/>
      <c r="K14" s="1194"/>
      <c r="L14" s="1195"/>
    </row>
    <row r="15" spans="1:29" ht="13.5" customHeight="1" x14ac:dyDescent="0.2">
      <c r="A15" s="2403" t="str">
        <f>COVER!A21</f>
        <v>Millstadt</v>
      </c>
      <c r="B15" s="2404"/>
      <c r="C15" s="2404"/>
      <c r="D15" s="2404"/>
      <c r="E15" s="2404"/>
      <c r="F15" s="2405"/>
      <c r="G15" s="2400" t="str">
        <f>COVER!T15</f>
        <v>Keith Slusser</v>
      </c>
      <c r="H15" s="2401"/>
      <c r="I15" s="2401"/>
      <c r="J15" s="2401"/>
      <c r="K15" s="2401"/>
      <c r="L15" s="2402"/>
    </row>
    <row r="16" spans="1:29" ht="12.2" customHeight="1" x14ac:dyDescent="0.2">
      <c r="A16" s="2425">
        <f>COVER!A25</f>
        <v>62260</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6" t="s">
        <v>1246</v>
      </c>
      <c r="H17" s="1194"/>
      <c r="I17" s="1194"/>
      <c r="J17" s="1194"/>
      <c r="K17" s="1198" t="s">
        <v>1245</v>
      </c>
      <c r="L17" s="1191"/>
      <c r="M17" s="1184"/>
    </row>
    <row r="18" spans="1:13" ht="12.2" customHeight="1" x14ac:dyDescent="0.2">
      <c r="A18" s="2409"/>
      <c r="B18" s="2410"/>
      <c r="C18" s="2410"/>
      <c r="D18" s="2410"/>
      <c r="E18" s="2410"/>
      <c r="F18" s="2411"/>
      <c r="G18" s="2419" t="str">
        <f>COVER!T21</f>
        <v>314-845-7999</v>
      </c>
      <c r="H18" s="2420"/>
      <c r="I18" s="2420"/>
      <c r="J18" s="2420"/>
      <c r="K18" s="2419" t="str">
        <f>COVER!X21</f>
        <v>314-845-7770</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Millstadt CCSD 160</v>
      </c>
      <c r="B1" s="2418"/>
      <c r="C1" s="2418"/>
      <c r="D1" s="2418"/>
    </row>
    <row r="2" spans="1:11" s="1215" customFormat="1" ht="12.75" x14ac:dyDescent="0.2">
      <c r="A2" s="2442">
        <f>'Single Audit Cover'!E7</f>
        <v>50082160004</v>
      </c>
      <c r="B2" s="2443"/>
      <c r="C2" s="2443"/>
      <c r="D2" s="2443"/>
    </row>
    <row r="3" spans="1:11" s="1215" customFormat="1" ht="12.75" x14ac:dyDescent="0.2">
      <c r="A3" s="2441" t="s">
        <v>1593</v>
      </c>
      <c r="B3" s="2418"/>
      <c r="C3" s="2418"/>
      <c r="D3" s="241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3"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Millstadt CCSD 160</v>
      </c>
      <c r="B1" s="2445"/>
      <c r="C1" s="2445"/>
      <c r="D1" s="2445"/>
      <c r="E1" s="2445"/>
    </row>
    <row r="2" spans="1:5" x14ac:dyDescent="0.2">
      <c r="A2" s="2446">
        <f>'Single Audit Cover'!E7</f>
        <v>50082160004</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230621</v>
      </c>
    </row>
    <row r="11" spans="1:5" ht="18" customHeight="1" x14ac:dyDescent="0.2">
      <c r="A11" s="1261" t="s">
        <v>1302</v>
      </c>
      <c r="B11" s="1262"/>
      <c r="C11" s="1262"/>
    </row>
    <row r="12" spans="1:5" x14ac:dyDescent="0.2">
      <c r="A12" s="1261" t="s">
        <v>1301</v>
      </c>
      <c r="B12" s="1262" t="s">
        <v>1300</v>
      </c>
      <c r="C12" s="1262"/>
      <c r="D12" s="1264">
        <f>SUM('Revenues 9-14'!C112:D112,'Revenues 9-14'!F112:G112)</f>
        <v>103326</v>
      </c>
    </row>
    <row r="13" spans="1:5" x14ac:dyDescent="0.2">
      <c r="A13" s="1261" t="s">
        <v>1299</v>
      </c>
      <c r="B13" s="1262"/>
      <c r="C13" s="1262"/>
    </row>
    <row r="14" spans="1:5" x14ac:dyDescent="0.2">
      <c r="A14" s="1261" t="s">
        <v>1830</v>
      </c>
      <c r="B14" s="1262"/>
      <c r="C14" s="1262"/>
      <c r="D14" s="1264">
        <f>'ICR Computation 30'!E11</f>
        <v>22594</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-37464</v>
      </c>
    </row>
    <row r="19" spans="1:4" ht="13.5" thickBot="1" x14ac:dyDescent="0.25">
      <c r="A19" s="1265" t="s">
        <v>1297</v>
      </c>
      <c r="D19" s="1266">
        <f>SUM(D10:D17)</f>
        <v>319077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319077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319077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Millstadt CCSD 160</v>
      </c>
      <c r="B1" s="2458"/>
      <c r="C1" s="2458"/>
      <c r="D1" s="2458"/>
      <c r="E1" s="2458"/>
      <c r="F1" s="2458"/>
    </row>
    <row r="2" spans="1:7" ht="13.5" customHeight="1" x14ac:dyDescent="0.2">
      <c r="A2" s="2459">
        <f>'Single Audit Cover'!E7</f>
        <v>50082160004</v>
      </c>
      <c r="B2" s="2459"/>
      <c r="C2" s="2459"/>
      <c r="D2" s="2459"/>
      <c r="E2" s="2459"/>
      <c r="F2" s="2459"/>
      <c r="G2" s="1275"/>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6" t="s">
        <v>1831</v>
      </c>
      <c r="C6" s="317"/>
      <c r="D6" s="317"/>
    </row>
    <row r="7" spans="1:7" ht="60.95" customHeight="1" x14ac:dyDescent="0.2">
      <c r="A7" s="2457" t="s">
        <v>1832</v>
      </c>
      <c r="B7" s="2457"/>
      <c r="C7" s="2457"/>
      <c r="D7" s="2457"/>
      <c r="E7" s="2457"/>
      <c r="F7" s="2457"/>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7" t="s">
        <v>1834</v>
      </c>
      <c r="B13" s="2457"/>
      <c r="C13" s="2457"/>
      <c r="D13" s="2457"/>
      <c r="E13" s="2457"/>
      <c r="F13" s="2457"/>
    </row>
    <row r="14" spans="1:7" ht="9.75" customHeight="1" x14ac:dyDescent="0.2">
      <c r="C14" s="1260"/>
      <c r="D14" s="1260"/>
    </row>
    <row r="15" spans="1:7" ht="13.5" customHeight="1" x14ac:dyDescent="0.2">
      <c r="C15" s="1871" t="s">
        <v>1332</v>
      </c>
      <c r="D15" s="2455" t="s">
        <v>1331</v>
      </c>
      <c r="E15" s="2455"/>
      <c r="F15" s="2455"/>
    </row>
    <row r="16" spans="1:7" ht="13.5" customHeight="1" x14ac:dyDescent="0.2">
      <c r="A16" s="1282"/>
      <c r="B16" s="1276" t="s">
        <v>1330</v>
      </c>
      <c r="C16" s="1871" t="s">
        <v>1329</v>
      </c>
      <c r="D16" s="2456" t="s">
        <v>1670</v>
      </c>
      <c r="E16" s="2456"/>
      <c r="F16" s="2456"/>
    </row>
    <row r="17" spans="1:6" ht="20.45" customHeight="1" x14ac:dyDescent="0.2">
      <c r="A17" s="1283"/>
      <c r="B17" s="1284"/>
      <c r="C17" s="1285"/>
      <c r="D17" s="2450"/>
      <c r="E17" s="2450"/>
      <c r="F17" s="2450"/>
    </row>
    <row r="18" spans="1:6" ht="20.65" customHeight="1" x14ac:dyDescent="0.2">
      <c r="A18" s="1283"/>
      <c r="B18" s="1284"/>
      <c r="C18" s="1285"/>
      <c r="D18" s="2450"/>
      <c r="E18" s="2450"/>
      <c r="F18" s="2450"/>
    </row>
    <row r="19" spans="1:6" ht="20.65" customHeight="1" x14ac:dyDescent="0.2">
      <c r="A19" s="1283"/>
      <c r="B19" s="1284"/>
      <c r="C19" s="1285"/>
      <c r="D19" s="2450"/>
      <c r="E19" s="2450"/>
      <c r="F19" s="2450"/>
    </row>
    <row r="20" spans="1:6" ht="20.65" customHeight="1" x14ac:dyDescent="0.2">
      <c r="A20" s="1283"/>
      <c r="B20" s="1284"/>
      <c r="C20" s="1285"/>
      <c r="D20" s="2450"/>
      <c r="E20" s="2450"/>
      <c r="F20" s="2450"/>
    </row>
    <row r="21" spans="1:6" ht="20.65" customHeight="1" x14ac:dyDescent="0.2">
      <c r="A21" s="1283"/>
      <c r="B21" s="1284"/>
      <c r="C21" s="1285"/>
      <c r="D21" s="2450"/>
      <c r="E21" s="2450"/>
      <c r="F21" s="2450"/>
    </row>
    <row r="22" spans="1:6" ht="20.65" customHeight="1" x14ac:dyDescent="0.2">
      <c r="A22" s="1283"/>
      <c r="B22" s="1284"/>
      <c r="C22" s="1285"/>
      <c r="D22" s="2450"/>
      <c r="E22" s="2450"/>
      <c r="F22" s="2450"/>
    </row>
    <row r="23" spans="1:6" ht="20.65" customHeight="1" x14ac:dyDescent="0.2">
      <c r="A23" s="1283"/>
      <c r="B23" s="1284"/>
      <c r="C23" s="1285"/>
      <c r="D23" s="2450"/>
      <c r="E23" s="2450"/>
      <c r="F23" s="2450"/>
    </row>
    <row r="24" spans="1:6" ht="20.65" customHeight="1" x14ac:dyDescent="0.2">
      <c r="A24" s="1283"/>
      <c r="B24" s="1284"/>
      <c r="C24" s="1285"/>
      <c r="D24" s="2450"/>
      <c r="E24" s="2450"/>
      <c r="F24" s="2450"/>
    </row>
    <row r="25" spans="1:6" ht="20.65" customHeight="1" x14ac:dyDescent="0.2">
      <c r="A25" s="1283"/>
      <c r="B25" s="1284"/>
      <c r="C25" s="1285"/>
      <c r="D25" s="2450"/>
      <c r="E25" s="2450"/>
      <c r="F25" s="2450"/>
    </row>
    <row r="26" spans="1:6" ht="20.65" customHeight="1" x14ac:dyDescent="0.2">
      <c r="A26" s="1283"/>
      <c r="B26" s="1284"/>
      <c r="C26" s="1285"/>
      <c r="D26" s="2450"/>
      <c r="E26" s="2450"/>
      <c r="F26" s="2450"/>
    </row>
    <row r="27" spans="1:6" ht="20.65" customHeight="1" x14ac:dyDescent="0.2">
      <c r="A27" s="1283"/>
      <c r="B27" s="1284"/>
      <c r="C27" s="1285"/>
      <c r="D27" s="2450"/>
      <c r="E27" s="2450"/>
      <c r="F27" s="2450"/>
    </row>
    <row r="28" spans="1:6" ht="20.65" customHeight="1" x14ac:dyDescent="0.2">
      <c r="A28" s="1283"/>
      <c r="B28" s="1284"/>
      <c r="C28" s="1285"/>
      <c r="D28" s="2450"/>
      <c r="E28" s="2450"/>
      <c r="F28" s="2450"/>
    </row>
    <row r="29" spans="1:6" ht="20.65" customHeight="1" x14ac:dyDescent="0.2">
      <c r="A29" s="1283"/>
      <c r="B29" s="1284"/>
      <c r="C29" s="1285"/>
      <c r="D29" s="2450"/>
      <c r="E29" s="2450"/>
      <c r="F29" s="2450"/>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1" t="s">
        <v>1835</v>
      </c>
      <c r="B32" s="2451"/>
      <c r="C32" s="2451"/>
      <c r="D32" s="2451"/>
      <c r="E32" s="2451"/>
      <c r="F32" s="2451"/>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2">
        <f>+C33+C34</f>
        <v>0</v>
      </c>
      <c r="F34" s="245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4" t="s">
        <v>1672</v>
      </c>
      <c r="C49" s="2454"/>
      <c r="D49" s="2454"/>
      <c r="E49" s="1399"/>
    </row>
    <row r="50" spans="1:5" s="1300" customFormat="1" ht="3.75" customHeight="1" x14ac:dyDescent="0.2">
      <c r="A50" s="1299"/>
      <c r="B50" s="1870"/>
      <c r="C50" s="1870"/>
      <c r="D50" s="1870"/>
      <c r="E50" s="1399"/>
    </row>
    <row r="51" spans="1:5" s="1300" customFormat="1" ht="20.25" customHeight="1" x14ac:dyDescent="0.2">
      <c r="A51" s="1301">
        <v>6</v>
      </c>
      <c r="B51" s="2449" t="s">
        <v>1632</v>
      </c>
      <c r="C51" s="2449"/>
      <c r="D51" s="2449"/>
    </row>
    <row r="52" spans="1:5" ht="14.25" customHeight="1" x14ac:dyDescent="0.2">
      <c r="A52" s="1301"/>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Millstadt CCSD 160</v>
      </c>
      <c r="C1" s="2462"/>
      <c r="D1" s="2462"/>
      <c r="E1" s="2462"/>
      <c r="F1" s="2462"/>
      <c r="G1" s="2462"/>
      <c r="H1" s="2462"/>
      <c r="I1" s="2462"/>
      <c r="J1" s="2462"/>
      <c r="K1" s="2462"/>
      <c r="L1" s="2462"/>
      <c r="M1" s="2462"/>
    </row>
    <row r="2" spans="2:14" ht="15" x14ac:dyDescent="0.2">
      <c r="B2" s="2459">
        <f>'Single Audit Cover'!E7</f>
        <v>50082160004</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Millstadt CCSD 160</v>
      </c>
      <c r="C1" s="2477"/>
      <c r="D1" s="2477"/>
      <c r="E1" s="2477"/>
      <c r="F1" s="2477"/>
      <c r="G1" s="2477"/>
      <c r="H1" s="2477"/>
      <c r="I1" s="2477"/>
      <c r="J1" s="1422"/>
    </row>
    <row r="2" spans="2:10" s="317" customFormat="1" ht="12.75" customHeight="1" x14ac:dyDescent="0.2">
      <c r="B2" s="2478">
        <f>'Single Audit Cover'!E7</f>
        <v>50082160004</v>
      </c>
      <c r="C2" s="2479"/>
      <c r="D2" s="2479"/>
      <c r="E2" s="2479"/>
      <c r="F2" s="2479"/>
      <c r="G2" s="2479"/>
      <c r="H2" s="2479"/>
      <c r="I2" s="2479"/>
      <c r="J2" s="1422"/>
    </row>
    <row r="3" spans="2:10" s="317" customFormat="1" ht="12.75" customHeight="1" x14ac:dyDescent="0.2">
      <c r="B3" s="2480" t="s">
        <v>1347</v>
      </c>
      <c r="C3" s="2481"/>
      <c r="D3" s="2481"/>
      <c r="E3" s="2481"/>
      <c r="F3" s="2481"/>
      <c r="G3" s="2481"/>
      <c r="H3" s="2481"/>
      <c r="I3" s="2481"/>
      <c r="J3" s="1423"/>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0" t="s">
        <v>1346</v>
      </c>
      <c r="C7" s="2481"/>
      <c r="D7" s="2481"/>
      <c r="E7" s="2481"/>
      <c r="F7" s="2481"/>
      <c r="G7" s="2481"/>
      <c r="H7" s="2481"/>
      <c r="I7" s="248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2"/>
      <c r="D11" s="248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3"/>
      <c r="E29" s="2483"/>
      <c r="F29" s="2483"/>
      <c r="G29" s="2483"/>
      <c r="H29" s="2483"/>
      <c r="I29" s="2483"/>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4" t="s">
        <v>1854</v>
      </c>
      <c r="D37" s="2485"/>
      <c r="E37" s="2485"/>
      <c r="F37" s="2486"/>
      <c r="G37" s="2484" t="s">
        <v>1674</v>
      </c>
      <c r="H37" s="2485"/>
      <c r="I37" s="2486"/>
    </row>
    <row r="38" spans="2:9" ht="16.5" customHeight="1" x14ac:dyDescent="0.2">
      <c r="B38" s="1444"/>
      <c r="C38" s="2472"/>
      <c r="D38" s="2473"/>
      <c r="E38" s="2473"/>
      <c r="F38" s="2474"/>
      <c r="G38" s="2487"/>
      <c r="H38" s="2488"/>
      <c r="I38" s="2489"/>
    </row>
    <row r="39" spans="2:9" ht="16.5" customHeight="1" x14ac:dyDescent="0.2">
      <c r="B39" s="1444"/>
      <c r="C39" s="2472"/>
      <c r="D39" s="2473"/>
      <c r="E39" s="2473"/>
      <c r="F39" s="2474"/>
      <c r="G39" s="2475"/>
      <c r="H39" s="2475"/>
      <c r="I39" s="2475"/>
    </row>
    <row r="40" spans="2:9" ht="16.5" customHeight="1" x14ac:dyDescent="0.2">
      <c r="B40" s="1444"/>
      <c r="C40" s="2472"/>
      <c r="D40" s="2473"/>
      <c r="E40" s="2473"/>
      <c r="F40" s="2474"/>
      <c r="G40" s="2475"/>
      <c r="H40" s="2475"/>
      <c r="I40" s="2475"/>
    </row>
    <row r="41" spans="2:9" ht="16.5" customHeight="1" x14ac:dyDescent="0.2">
      <c r="B41" s="1444"/>
      <c r="C41" s="2472"/>
      <c r="D41" s="2473"/>
      <c r="E41" s="2473"/>
      <c r="F41" s="2474"/>
      <c r="G41" s="2475"/>
      <c r="H41" s="2475"/>
      <c r="I41" s="2475"/>
    </row>
    <row r="42" spans="2:9" ht="16.5" customHeight="1" x14ac:dyDescent="0.2">
      <c r="B42" s="1444"/>
      <c r="C42" s="2472"/>
      <c r="D42" s="2473"/>
      <c r="E42" s="2473"/>
      <c r="F42" s="2474"/>
      <c r="G42" s="2475"/>
      <c r="H42" s="2475"/>
      <c r="I42" s="2475"/>
    </row>
    <row r="43" spans="2:9" ht="16.5" customHeight="1" x14ac:dyDescent="0.2">
      <c r="B43" s="1444"/>
      <c r="C43" s="2465" t="s">
        <v>1675</v>
      </c>
      <c r="D43" s="2466"/>
      <c r="E43" s="2466"/>
      <c r="F43" s="2467"/>
      <c r="G43" s="2468">
        <f>SUM(G38:I42)</f>
        <v>0</v>
      </c>
      <c r="H43" s="2468"/>
      <c r="I43" s="2468"/>
    </row>
    <row r="44" spans="2:9" ht="12.75" customHeight="1" x14ac:dyDescent="0.2"/>
    <row r="45" spans="2:9" ht="12.75" customHeight="1" x14ac:dyDescent="0.2">
      <c r="B45" s="1435" t="s">
        <v>1951</v>
      </c>
      <c r="D45" s="2469">
        <v>0</v>
      </c>
      <c r="E45" s="247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1"/>
      <c r="F49" s="2471"/>
      <c r="G49" s="247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Millstadt CCSD 160</v>
      </c>
      <c r="C1" s="2476"/>
      <c r="D1" s="2476"/>
      <c r="E1" s="2476"/>
      <c r="F1" s="2476"/>
      <c r="G1" s="2476"/>
      <c r="H1" s="2476"/>
      <c r="I1" s="2476"/>
      <c r="J1" s="2476"/>
      <c r="K1" s="2476"/>
      <c r="L1" s="1374"/>
      <c r="M1" s="1374"/>
    </row>
    <row r="2" spans="1:13" ht="12" customHeight="1" x14ac:dyDescent="0.2">
      <c r="B2" s="2478">
        <f>'Single Audit Cover'!E7</f>
        <v>50082160004</v>
      </c>
      <c r="C2" s="2478"/>
      <c r="D2" s="2478"/>
      <c r="E2" s="2478"/>
      <c r="F2" s="2478"/>
      <c r="G2" s="2478"/>
      <c r="H2" s="2478"/>
      <c r="I2" s="2478"/>
      <c r="J2" s="2478"/>
      <c r="K2" s="2478"/>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Millstadt CCSD 160</v>
      </c>
      <c r="C1" s="2499"/>
      <c r="D1" s="2499"/>
      <c r="E1" s="2499"/>
      <c r="F1" s="2499"/>
      <c r="G1" s="2499"/>
      <c r="H1" s="2499"/>
      <c r="I1" s="2499"/>
      <c r="J1" s="2499"/>
      <c r="K1" s="2499"/>
      <c r="L1" s="1465"/>
    </row>
    <row r="2" spans="1:12" ht="12.75" customHeight="1" x14ac:dyDescent="0.2">
      <c r="B2" s="2500">
        <f>'Single Audit Cover'!E7</f>
        <v>50082160004</v>
      </c>
      <c r="C2" s="2500"/>
      <c r="D2" s="2500"/>
      <c r="E2" s="2500"/>
      <c r="F2" s="2500"/>
      <c r="G2" s="2500"/>
      <c r="H2" s="2500"/>
      <c r="I2" s="2500"/>
      <c r="J2" s="2500"/>
      <c r="K2" s="2500"/>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3"/>
      <c r="G12" s="2483"/>
      <c r="H12" s="2483"/>
      <c r="I12" s="2483"/>
      <c r="J12" s="2483"/>
      <c r="K12" s="248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6" t="str">
        <f>'Single Audit Cover'!A7</f>
        <v>Millstadt CCSD 160</v>
      </c>
      <c r="C1" s="2476"/>
      <c r="D1" s="2476"/>
      <c r="E1" s="1491"/>
    </row>
    <row r="2" spans="2:5" s="1282" customFormat="1" ht="12.75" customHeight="1" x14ac:dyDescent="0.2">
      <c r="B2" s="2478">
        <f>'Single Audit Cover'!E7</f>
        <v>50082160004</v>
      </c>
      <c r="C2" s="2478"/>
      <c r="D2" s="2478"/>
      <c r="E2" s="1492"/>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 ds:uri="4d435f69-8686-490b-bd6d-b153bf22ab50"/>
    <ds:schemaRef ds:uri="d21dc803-237d-4c68-8692-8d731fd29118"/>
    <ds:schemaRef ds:uri="6ce3111e-7420-4802-b50a-75d4e9a0b98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2018-10-01T13:10:48Z</cp:lastPrinted>
  <dcterms:created xsi:type="dcterms:W3CDTF">2003-10-29T19:06:34Z</dcterms:created>
  <dcterms:modified xsi:type="dcterms:W3CDTF">2018-10-02T17:51:13Z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