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12990" windowHeight="898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 SEFA (4)" sheetId="185" r:id="rId32"/>
    <sheet name="SF&amp;QC Sec-1" sheetId="174" r:id="rId33"/>
    <sheet name="SF&amp;QC Sec-2" sheetId="175" r:id="rId34"/>
    <sheet name="SF&amp;QC Sec-3" sheetId="176" r:id="rId35"/>
    <sheet name="SSPAF" sheetId="177" r:id="rId36"/>
  </sheets>
  <definedNames>
    <definedName name="_xlnm.Print_Area" localSheetId="28">' SEFA'!$B$1:$M$46</definedName>
    <definedName name="_xlnm.Print_Area" localSheetId="29">' SEFA (2)'!$B$1:$M$46</definedName>
    <definedName name="_xlnm.Print_Area" localSheetId="30">' SEFA (3)'!$B$1:$M$46</definedName>
    <definedName name="_xlnm.Print_Area" localSheetId="31">' SEFA (4)'!$B$1:$M$46</definedName>
    <definedName name="_xlnm.Print_Area" localSheetId="2">'Aud Quest 2'!$A$1:$J$120</definedName>
    <definedName name="_xlnm.Print_Area" localSheetId="15">'ICR Computation 30'!$A$1:$G$46</definedName>
    <definedName name="_xlnm.Print_Area" localSheetId="18">'Itemization 33'!$A$1:$B$53</definedName>
    <definedName name="_xlnm.Print_Area" localSheetId="13">'PCTC-OEPP 27-28'!$A$1:$G$189</definedName>
    <definedName name="_xlnm.Print_Area" localSheetId="27">'SEFA NOTES'!$A$1:$F$52</definedName>
    <definedName name="_xlnm.Print_Area" localSheetId="26">'SEFA Reconcile'!$A$1:$E$49</definedName>
    <definedName name="_xlnm.Print_Area" localSheetId="32">'SF&amp;QC Sec-1'!$A$1:$J$63</definedName>
    <definedName name="_xlnm.Print_Area" localSheetId="34">'SF&amp;QC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5" i="185" l="1"/>
  <c r="E15" i="185"/>
  <c r="G15" i="185"/>
  <c r="F15" i="185"/>
  <c r="I16" i="183"/>
  <c r="G16" i="183"/>
  <c r="F16" i="183"/>
  <c r="E16" i="183"/>
  <c r="I24" i="179"/>
  <c r="G24" i="179"/>
  <c r="F24" i="179"/>
  <c r="E24" i="179"/>
  <c r="K18" i="179"/>
  <c r="I18" i="179"/>
  <c r="G18" i="179"/>
  <c r="F18" i="179"/>
  <c r="E18" i="179"/>
  <c r="I17" i="185" l="1"/>
  <c r="G17" i="185"/>
  <c r="F17" i="185"/>
  <c r="E17" i="185"/>
  <c r="I16" i="185"/>
  <c r="I25" i="185" s="1"/>
  <c r="G16" i="185"/>
  <c r="G25" i="185" s="1"/>
  <c r="F16" i="185"/>
  <c r="F25" i="185" s="1"/>
  <c r="E16" i="185"/>
  <c r="I14" i="185"/>
  <c r="G14" i="185"/>
  <c r="F14" i="185"/>
  <c r="E25" i="185" l="1"/>
  <c r="I18" i="185"/>
  <c r="F18" i="185"/>
  <c r="I19" i="185"/>
  <c r="F19" i="185"/>
  <c r="E14" i="185"/>
  <c r="K13" i="185"/>
  <c r="I13" i="185"/>
  <c r="G13" i="185"/>
  <c r="F13" i="185"/>
  <c r="E13" i="185"/>
  <c r="K12" i="185"/>
  <c r="I12" i="185"/>
  <c r="G12" i="185"/>
  <c r="F12" i="185"/>
  <c r="E12" i="185"/>
  <c r="L23" i="184"/>
  <c r="K16" i="183"/>
  <c r="K26" i="184" s="1"/>
  <c r="I20" i="184"/>
  <c r="G20" i="184"/>
  <c r="G26" i="184" s="1"/>
  <c r="F20" i="184"/>
  <c r="F26" i="184" s="1"/>
  <c r="E20" i="184"/>
  <c r="E26" i="184" s="1"/>
  <c r="L25" i="185"/>
  <c r="L19" i="185"/>
  <c r="L18" i="185"/>
  <c r="L17" i="185"/>
  <c r="L16" i="185"/>
  <c r="L15" i="185"/>
  <c r="L14" i="185"/>
  <c r="B4" i="185"/>
  <c r="L17" i="184"/>
  <c r="L16" i="184"/>
  <c r="L15" i="184"/>
  <c r="L14" i="184"/>
  <c r="L13" i="184"/>
  <c r="B4" i="184"/>
  <c r="L22" i="183"/>
  <c r="L14" i="183"/>
  <c r="L13" i="183"/>
  <c r="B4" i="183"/>
  <c r="E22" i="185" l="1"/>
  <c r="I22" i="185"/>
  <c r="I26" i="184"/>
  <c r="L26" i="184" s="1"/>
  <c r="F22" i="185"/>
  <c r="G22" i="185"/>
  <c r="K22" i="185"/>
  <c r="L13" i="185"/>
  <c r="L12" i="185"/>
  <c r="L16" i="183"/>
  <c r="L20" i="184"/>
  <c r="D182" i="34"/>
  <c r="L22" i="185" l="1"/>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3" i="179" l="1"/>
  <c r="L22" i="179"/>
  <c r="L21" i="179"/>
  <c r="L24" i="179" s="1"/>
  <c r="L17" i="179"/>
  <c r="L16" i="179"/>
  <c r="L15" i="179"/>
  <c r="L14" i="179"/>
  <c r="L13" i="179"/>
  <c r="L18" i="179" s="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3" l="1"/>
  <c r="B1" i="185"/>
  <c r="B1" i="184"/>
  <c r="B2" i="179"/>
  <c r="B2" i="183"/>
  <c r="B2" i="184"/>
  <c r="B2" i="185"/>
  <c r="B2" i="177"/>
  <c r="B2" i="174"/>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D7765" i="106" s="1"/>
  <c r="B7764" i="106"/>
  <c r="D7764" i="106" s="1"/>
  <c r="J85" i="28"/>
  <c r="B7758" i="106" s="1"/>
  <c r="D7758" i="106" s="1"/>
  <c r="J88" i="28"/>
  <c r="K6" i="29"/>
  <c r="B7763" i="106" s="1"/>
  <c r="B7762" i="106"/>
  <c r="K12" i="12"/>
  <c r="K23" i="12"/>
  <c r="K24" i="12" s="1"/>
  <c r="B7733" i="106" s="1"/>
  <c r="J12" i="12"/>
  <c r="B7718" i="106" s="1"/>
  <c r="D7718" i="106" s="1"/>
  <c r="J21" i="12"/>
  <c r="J23" i="12" s="1"/>
  <c r="B7729" i="106"/>
  <c r="B7734" i="106"/>
  <c r="D7734" i="106" s="1"/>
  <c r="B7726" i="106"/>
  <c r="D76" i="36"/>
  <c r="F162" i="34"/>
  <c r="B30" i="36"/>
  <c r="B33" i="36" s="1"/>
  <c r="B43" i="36" s="1"/>
  <c r="B56" i="36" s="1"/>
  <c r="B66" i="36" s="1"/>
  <c r="B70" i="36" s="1"/>
  <c r="B74" i="36" s="1"/>
  <c r="D73" i="36"/>
  <c r="C191" i="5"/>
  <c r="C201" i="5"/>
  <c r="C211" i="5"/>
  <c r="B5260" i="106" s="1"/>
  <c r="D5260" i="106" s="1"/>
  <c r="C216" i="5"/>
  <c r="C224" i="5"/>
  <c r="C228" i="5"/>
  <c r="C259" i="5"/>
  <c r="B7761" i="106"/>
  <c r="D7761" i="106" s="1"/>
  <c r="L127" i="29"/>
  <c r="L129" i="29" s="1"/>
  <c r="L139" i="29"/>
  <c r="L149" i="29"/>
  <c r="I7" i="145"/>
  <c r="I6" i="145"/>
  <c r="D78" i="36"/>
  <c r="K75" i="29"/>
  <c r="K130" i="29"/>
  <c r="F56" i="34" s="1"/>
  <c r="K185" i="29"/>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K61" i="29"/>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B2975" i="106" s="1"/>
  <c r="D2975" i="106" s="1"/>
  <c r="K81" i="29"/>
  <c r="K82" i="29"/>
  <c r="B2977" i="106" s="1"/>
  <c r="D2977" i="106" s="1"/>
  <c r="K83" i="29"/>
  <c r="B2978" i="106" s="1"/>
  <c r="D2978" i="106" s="1"/>
  <c r="K93" i="29"/>
  <c r="K94" i="29"/>
  <c r="K95" i="29"/>
  <c r="K96" i="29"/>
  <c r="K97" i="29"/>
  <c r="B7005" i="106" s="1"/>
  <c r="D7005" i="106" s="1"/>
  <c r="K98" i="29"/>
  <c r="K99" i="29"/>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F64" i="34"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B7078" i="106" s="1"/>
  <c r="D7078" i="106"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K251" i="29"/>
  <c r="B7088" i="106" s="1"/>
  <c r="D7088" i="106" s="1"/>
  <c r="K252" i="29"/>
  <c r="B7090" i="106" s="1"/>
  <c r="D7090" i="106" s="1"/>
  <c r="K253" i="29"/>
  <c r="K254" i="29"/>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7" i="106"/>
  <c r="D7077" i="106" s="1"/>
  <c r="B7079" i="106"/>
  <c r="D7079" i="106" s="1"/>
  <c r="B7080" i="106"/>
  <c r="D7080" i="106" s="1"/>
  <c r="B7081" i="106"/>
  <c r="D7081" i="106" s="1"/>
  <c r="B7082" i="106"/>
  <c r="D7082" i="106" s="1"/>
  <c r="B7083" i="106"/>
  <c r="D7083" i="106" s="1"/>
  <c r="B7085" i="106"/>
  <c r="D7085" i="106" s="1"/>
  <c r="B7086" i="106"/>
  <c r="D7086" i="106" s="1"/>
  <c r="B7087" i="106"/>
  <c r="D7087" i="106" s="1"/>
  <c r="B7089" i="106"/>
  <c r="D7089" i="106" s="1"/>
  <c r="B7091" i="106"/>
  <c r="D7091" i="106" s="1"/>
  <c r="B7092" i="106"/>
  <c r="D7092" i="106" s="1"/>
  <c r="B7093" i="106"/>
  <c r="D7093" i="106" s="1"/>
  <c r="B7094" i="106"/>
  <c r="D7094"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B7735" i="106"/>
  <c r="D7735" i="106" s="1"/>
  <c r="B7736" i="106"/>
  <c r="D7736" i="106" s="1"/>
  <c r="B7737" i="106"/>
  <c r="D7737" i="106" s="1"/>
  <c r="B7738" i="106"/>
  <c r="D7738"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9" i="36"/>
  <c r="D71" i="36"/>
  <c r="D72" i="36"/>
  <c r="D79" i="36"/>
  <c r="B64" i="127"/>
  <c r="B65" i="127"/>
  <c r="D26" i="108"/>
  <c r="E26" i="108"/>
  <c r="F26" i="108"/>
  <c r="G26" i="108"/>
  <c r="D27" i="108"/>
  <c r="E27" i="108"/>
  <c r="F27" i="108"/>
  <c r="G27" i="108"/>
  <c r="F31" i="108"/>
  <c r="F36" i="108"/>
  <c r="G28" i="108"/>
  <c r="E29" i="108"/>
  <c r="E30" i="108"/>
  <c r="G30" i="108"/>
  <c r="D31" i="108"/>
  <c r="D36" i="108"/>
  <c r="E31" i="108"/>
  <c r="G31" i="108"/>
  <c r="E34" i="108"/>
  <c r="G34" i="108"/>
  <c r="E36" i="108"/>
  <c r="G36" i="108"/>
  <c r="E37" i="108"/>
  <c r="G37"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F41" i="34"/>
  <c r="C42" i="34"/>
  <c r="D42" i="34"/>
  <c r="F42" i="34"/>
  <c r="C43" i="34"/>
  <c r="D43" i="34"/>
  <c r="C44" i="34"/>
  <c r="D44" i="34"/>
  <c r="C45" i="34"/>
  <c r="D45" i="34"/>
  <c r="F45" i="34"/>
  <c r="C46" i="34"/>
  <c r="D46" i="34"/>
  <c r="F46" i="34"/>
  <c r="C47" i="34"/>
  <c r="D47" i="34"/>
  <c r="C48" i="34"/>
  <c r="D48" i="34"/>
  <c r="C49" i="34"/>
  <c r="D49" i="34"/>
  <c r="F49" i="34"/>
  <c r="C50" i="34"/>
  <c r="D50" i="34"/>
  <c r="C51" i="34"/>
  <c r="D51" i="34"/>
  <c r="C52" i="34"/>
  <c r="F52" i="34"/>
  <c r="C53" i="34"/>
  <c r="D53" i="34"/>
  <c r="C56" i="34"/>
  <c r="C57" i="34"/>
  <c r="D57" i="34"/>
  <c r="C61" i="34"/>
  <c r="C62" i="34"/>
  <c r="F62" i="34"/>
  <c r="C63" i="34"/>
  <c r="D63" i="34"/>
  <c r="C64" i="34"/>
  <c r="F66" i="34"/>
  <c r="C67" i="34"/>
  <c r="D67" i="34"/>
  <c r="F67" i="34"/>
  <c r="C68" i="34"/>
  <c r="D68" i="34"/>
  <c r="F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6" i="7"/>
  <c r="D6" i="7" s="1"/>
  <c r="B1762" i="106" s="1"/>
  <c r="D1762" i="106" s="1"/>
  <c r="B7" i="7"/>
  <c r="B1747" i="106" s="1"/>
  <c r="D1747" i="106" s="1"/>
  <c r="B8" i="7"/>
  <c r="B1748" i="106" s="1"/>
  <c r="D1748" i="106" s="1"/>
  <c r="B9" i="7"/>
  <c r="B1751" i="106" s="1"/>
  <c r="D1751" i="106" s="1"/>
  <c r="B10" i="7"/>
  <c r="B1749" i="106" s="1"/>
  <c r="D1749" i="106" s="1"/>
  <c r="B11" i="7"/>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G121" i="5"/>
  <c r="B5748" i="106" s="1"/>
  <c r="D5748" i="106" s="1"/>
  <c r="H121" i="5"/>
  <c r="B5893" i="106" s="1"/>
  <c r="D5893" i="106" s="1"/>
  <c r="J121" i="5"/>
  <c r="B6357" i="106" s="1"/>
  <c r="D6357" i="106" s="1"/>
  <c r="K121" i="5"/>
  <c r="C131" i="5"/>
  <c r="B5147" i="106" s="1"/>
  <c r="D5147" i="106" s="1"/>
  <c r="D131" i="5"/>
  <c r="B5369" i="106" s="1"/>
  <c r="D5369" i="106" s="1"/>
  <c r="B5614" i="106"/>
  <c r="D5614" i="106" s="1"/>
  <c r="C140" i="5"/>
  <c r="B5161" i="106" s="1"/>
  <c r="D5161" i="106" s="1"/>
  <c r="D140" i="5"/>
  <c r="G140" i="5"/>
  <c r="G144" i="5"/>
  <c r="B5756" i="106" s="1"/>
  <c r="D5756" i="106" s="1"/>
  <c r="G154" i="5"/>
  <c r="B4357" i="106" s="1"/>
  <c r="D4357" i="106" s="1"/>
  <c r="C144" i="5"/>
  <c r="B5165" i="106" s="1"/>
  <c r="D5165" i="106" s="1"/>
  <c r="C154" i="5"/>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J178" i="5"/>
  <c r="B6400" i="106" s="1"/>
  <c r="D6400" i="106" s="1"/>
  <c r="K178" i="5"/>
  <c r="B4951" i="106" s="1"/>
  <c r="D4951" i="106" s="1"/>
  <c r="C184" i="5"/>
  <c r="B5232" i="106" s="1"/>
  <c r="D5232" i="106" s="1"/>
  <c r="D184" i="5"/>
  <c r="F184" i="5"/>
  <c r="B5658" i="106" s="1"/>
  <c r="D5658" i="106" s="1"/>
  <c r="G184" i="5"/>
  <c r="B5784" i="106" s="1"/>
  <c r="D5784" i="106" s="1"/>
  <c r="H184" i="5"/>
  <c r="B5908" i="106" s="1"/>
  <c r="D5908" i="106" s="1"/>
  <c r="K184" i="5"/>
  <c r="B4395" i="106"/>
  <c r="D4395" i="106" s="1"/>
  <c r="D191" i="5"/>
  <c r="B4396" i="106" s="1"/>
  <c r="D4396" i="106" s="1"/>
  <c r="F191" i="5"/>
  <c r="G191" i="5"/>
  <c r="B5246" i="106"/>
  <c r="D5246" i="106" s="1"/>
  <c r="G201" i="5"/>
  <c r="B6409" i="106" s="1"/>
  <c r="D6409" i="106" s="1"/>
  <c r="D211" i="5"/>
  <c r="B5444" i="106" s="1"/>
  <c r="D5444" i="106" s="1"/>
  <c r="F211" i="5"/>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G228" i="5"/>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C14" i="4"/>
  <c r="B2558" i="106" s="1"/>
  <c r="D2558" i="106" s="1"/>
  <c r="F14" i="4"/>
  <c r="B2597" i="106" s="1"/>
  <c r="D2597" i="106" s="1"/>
  <c r="B2633" i="106"/>
  <c r="D2633" i="106" s="1"/>
  <c r="N22" i="3"/>
  <c r="B283" i="106" s="1"/>
  <c r="D283" i="106" s="1"/>
  <c r="D7" i="118"/>
  <c r="D8" i="118"/>
  <c r="D9" i="118"/>
  <c r="H14" i="118"/>
  <c r="H19" i="118"/>
  <c r="H24" i="118"/>
  <c r="H29" i="118"/>
  <c r="D11" i="37"/>
  <c r="D22" i="37"/>
  <c r="B5847" i="106"/>
  <c r="D5847" i="106" s="1"/>
  <c r="B5599" i="106"/>
  <c r="D5599" i="106" s="1"/>
  <c r="B1746" i="106"/>
  <c r="D1746" i="106" s="1"/>
  <c r="D17" i="7"/>
  <c r="B4104" i="106" s="1"/>
  <c r="D4104" i="106" s="1"/>
  <c r="F128" i="34" l="1"/>
  <c r="D68" i="36"/>
  <c r="J41" i="3"/>
  <c r="H173" i="5"/>
  <c r="H6" i="4" s="1"/>
  <c r="G35" i="108"/>
  <c r="F50" i="34"/>
  <c r="E35" i="108"/>
  <c r="C129" i="29"/>
  <c r="B1225" i="106" s="1"/>
  <c r="D1225" i="106" s="1"/>
  <c r="G29" i="108"/>
  <c r="B3647" i="106"/>
  <c r="D3647" i="106" s="1"/>
  <c r="D9" i="7"/>
  <c r="B1767" i="106" s="1"/>
  <c r="D1767" i="106" s="1"/>
  <c r="F111" i="34"/>
  <c r="L5" i="11"/>
  <c r="B2056" i="106" s="1"/>
  <c r="D2056" i="106" s="1"/>
  <c r="F44" i="34"/>
  <c r="D12" i="7"/>
  <c r="B1769" i="106" s="1"/>
  <c r="D1769" i="106" s="1"/>
  <c r="D31" i="36"/>
  <c r="J77" i="4"/>
  <c r="B6262" i="106" s="1"/>
  <c r="D6262" i="106" s="1"/>
  <c r="D7" i="7"/>
  <c r="B1763" i="106" s="1"/>
  <c r="D1763" i="106" s="1"/>
  <c r="D37" i="108"/>
  <c r="F37" i="108"/>
  <c r="B6995" i="106"/>
  <c r="D6995" i="106" s="1"/>
  <c r="D109" i="5"/>
  <c r="B5356" i="106" s="1"/>
  <c r="D5356" i="106" s="1"/>
  <c r="D4" i="7"/>
  <c r="B1760" i="106" s="1"/>
  <c r="D1760" i="106" s="1"/>
  <c r="D14" i="4"/>
  <c r="B2570" i="106" s="1"/>
  <c r="D2570" i="106" s="1"/>
  <c r="D6103" i="106"/>
  <c r="H109" i="5"/>
  <c r="F69" i="34"/>
  <c r="E38" i="108"/>
  <c r="D24" i="37"/>
  <c r="B4270" i="106" s="1"/>
  <c r="D4270" i="106" s="1"/>
  <c r="G5" i="4"/>
  <c r="B3409" i="106" s="1"/>
  <c r="D3409" i="106" s="1"/>
  <c r="D15" i="7"/>
  <c r="B1772" i="106" s="1"/>
  <c r="D1772" i="106" s="1"/>
  <c r="J22" i="37"/>
  <c r="D5" i="4"/>
  <c r="B3406" i="106" s="1"/>
  <c r="D3406" i="106" s="1"/>
  <c r="G33" i="108"/>
  <c r="B2805" i="106"/>
  <c r="D2805" i="106" s="1"/>
  <c r="I24" i="12"/>
  <c r="B1996" i="106" s="1"/>
  <c r="D1996" i="106" s="1"/>
  <c r="B5096" i="106"/>
  <c r="D5096" i="106" s="1"/>
  <c r="F19" i="7"/>
  <c r="B1807" i="106" s="1"/>
  <c r="D1807" i="106" s="1"/>
  <c r="F35" i="34"/>
  <c r="K76" i="4"/>
  <c r="B3586" i="106" s="1"/>
  <c r="D3586" i="106" s="1"/>
  <c r="F172" i="5"/>
  <c r="B5644" i="106" s="1"/>
  <c r="D5644" i="106" s="1"/>
  <c r="J352" i="29"/>
  <c r="B7235" i="106" s="1"/>
  <c r="D7235" i="106" s="1"/>
  <c r="I173" i="5"/>
  <c r="B4216" i="106" s="1"/>
  <c r="D4216" i="106" s="1"/>
  <c r="J274" i="5"/>
  <c r="B7054" i="106" s="1"/>
  <c r="D7054" i="106" s="1"/>
  <c r="F131" i="34"/>
  <c r="I342" i="29"/>
  <c r="B7222" i="106" s="1"/>
  <c r="D7222" i="106" s="1"/>
  <c r="J129" i="29"/>
  <c r="B7038" i="106" s="1"/>
  <c r="D7038" i="106" s="1"/>
  <c r="H365" i="29"/>
  <c r="B7242" i="106" s="1"/>
  <c r="D7242" i="106" s="1"/>
  <c r="B3619" i="106"/>
  <c r="D3619" i="106" s="1"/>
  <c r="H76" i="4"/>
  <c r="B3298" i="106" s="1"/>
  <c r="D3298" i="106" s="1"/>
  <c r="G39" i="108"/>
  <c r="I129" i="29"/>
  <c r="B7037" i="106" s="1"/>
  <c r="D7037" i="106" s="1"/>
  <c r="E174" i="29"/>
  <c r="B1309" i="106" s="1"/>
  <c r="D1309" i="106" s="1"/>
  <c r="G15" i="145"/>
  <c r="K41" i="3"/>
  <c r="E109" i="5"/>
  <c r="E4" i="4" s="1"/>
  <c r="B2630" i="106" s="1"/>
  <c r="D2630" i="106" s="1"/>
  <c r="L367" i="29"/>
  <c r="L342" i="29"/>
  <c r="C342" i="29"/>
  <c r="B7216" i="106" s="1"/>
  <c r="D7216" i="106" s="1"/>
  <c r="K184" i="29"/>
  <c r="F13" i="4" s="1"/>
  <c r="B2596" i="106" s="1"/>
  <c r="D2596" i="106" s="1"/>
  <c r="H33" i="118"/>
  <c r="I26" i="12"/>
  <c r="B7741" i="106" s="1"/>
  <c r="D7741" i="106" s="1"/>
  <c r="B1128" i="106"/>
  <c r="D1128" i="106" s="1"/>
  <c r="E28" i="108"/>
  <c r="F28" i="108"/>
  <c r="D13" i="7"/>
  <c r="B3726" i="106" s="1"/>
  <c r="D3726" i="106" s="1"/>
  <c r="B5425" i="106"/>
  <c r="D5425" i="106" s="1"/>
  <c r="F127" i="34"/>
  <c r="J367" i="29"/>
  <c r="B7245" i="106" s="1"/>
  <c r="D7245" i="106" s="1"/>
  <c r="B2054" i="106"/>
  <c r="D2054" i="106" s="1"/>
  <c r="L13" i="11"/>
  <c r="B2060" i="106" s="1"/>
  <c r="D2060" i="106" s="1"/>
  <c r="B5677" i="106"/>
  <c r="D5677" i="106" s="1"/>
  <c r="F130" i="34"/>
  <c r="L22" i="37"/>
  <c r="B2734" i="106"/>
  <c r="D2734" i="106" s="1"/>
  <c r="B1511" i="106"/>
  <c r="D1511" i="106" s="1"/>
  <c r="G14" i="4"/>
  <c r="B2609" i="106" s="1"/>
  <c r="D2609" i="106" s="1"/>
  <c r="C109" i="5"/>
  <c r="B5121" i="106" s="1"/>
  <c r="D5121" i="106" s="1"/>
  <c r="B5066" i="106"/>
  <c r="D5066" i="106" s="1"/>
  <c r="B1745" i="106"/>
  <c r="D1745" i="106" s="1"/>
  <c r="D5" i="7"/>
  <c r="B1761" i="106" s="1"/>
  <c r="D1761" i="106" s="1"/>
  <c r="B6848" i="106"/>
  <c r="D6848" i="106" s="1"/>
  <c r="F34" i="34"/>
  <c r="H28" i="118"/>
  <c r="K28" i="118" s="1"/>
  <c r="O27" i="118" s="1"/>
  <c r="O29" i="118" s="1"/>
  <c r="B1868" i="106"/>
  <c r="D1868" i="106" s="1"/>
  <c r="B6006" i="106"/>
  <c r="D6006" i="106" s="1"/>
  <c r="K173" i="5"/>
  <c r="K6" i="4" s="1"/>
  <c r="B3570" i="106" s="1"/>
  <c r="D3570" i="106" s="1"/>
  <c r="B5906" i="106"/>
  <c r="D5906" i="106" s="1"/>
  <c r="G172" i="5"/>
  <c r="B5752" i="106"/>
  <c r="D5752" i="106" s="1"/>
  <c r="B1752" i="106"/>
  <c r="D1752" i="106" s="1"/>
  <c r="D11" i="7"/>
  <c r="B1768" i="106" s="1"/>
  <c r="D1768" i="106" s="1"/>
  <c r="B5488" i="106"/>
  <c r="D5488" i="106" s="1"/>
  <c r="F136" i="34"/>
  <c r="B5383" i="106"/>
  <c r="D5383" i="106" s="1"/>
  <c r="F106" i="34"/>
  <c r="B3668" i="106"/>
  <c r="D3668" i="106" s="1"/>
  <c r="K350" i="29"/>
  <c r="B6025" i="106"/>
  <c r="D6025" i="106" s="1"/>
  <c r="H4" i="4"/>
  <c r="B2655" i="106" s="1"/>
  <c r="D2655" i="106" s="1"/>
  <c r="B6016" i="106"/>
  <c r="D6016" i="106" s="1"/>
  <c r="K274" i="5"/>
  <c r="B6022" i="106" s="1"/>
  <c r="D6022" i="106" s="1"/>
  <c r="B5178" i="106"/>
  <c r="D5178" i="106" s="1"/>
  <c r="C172" i="5"/>
  <c r="B5214" i="106" s="1"/>
  <c r="D5214" i="106" s="1"/>
  <c r="B3621" i="106"/>
  <c r="D3621" i="106" s="1"/>
  <c r="C367" i="29"/>
  <c r="B3622" i="106" s="1"/>
  <c r="D3622" i="106" s="1"/>
  <c r="B4373" i="106"/>
  <c r="D4373" i="106" s="1"/>
  <c r="I274" i="5"/>
  <c r="B4435" i="106" s="1"/>
  <c r="D4435" i="106" s="1"/>
  <c r="B3254" i="106"/>
  <c r="D3254" i="106" s="1"/>
  <c r="F77" i="4"/>
  <c r="B3255" i="106" s="1"/>
  <c r="D3255" i="106" s="1"/>
  <c r="F21" i="8"/>
  <c r="G109" i="5"/>
  <c r="L15" i="11"/>
  <c r="B3459" i="106" s="1"/>
  <c r="D3459" i="106" s="1"/>
  <c r="B3649" i="106"/>
  <c r="D3649" i="106" s="1"/>
  <c r="G367" i="29"/>
  <c r="B3650" i="106" s="1"/>
  <c r="D3650" i="106" s="1"/>
  <c r="K285" i="29"/>
  <c r="B3724" i="106" s="1"/>
  <c r="D3724" i="106" s="1"/>
  <c r="B1329" i="106"/>
  <c r="D1329" i="106" s="1"/>
  <c r="F61" i="34"/>
  <c r="G210" i="29"/>
  <c r="B1124" i="106"/>
  <c r="D1124" i="106" s="1"/>
  <c r="H342" i="29"/>
  <c r="B7221" i="106" s="1"/>
  <c r="D7221" i="106" s="1"/>
  <c r="L312" i="29"/>
  <c r="B1410" i="106"/>
  <c r="D141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I6" i="4"/>
  <c r="B5011" i="106" s="1"/>
  <c r="D5011"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7270" i="106"/>
  <c r="C151" i="29" l="1"/>
  <c r="B1226" i="106" s="1"/>
  <c r="D1226" i="106" s="1"/>
  <c r="I7" i="4"/>
  <c r="B4444" i="106" s="1"/>
  <c r="D4444" i="106" s="1"/>
  <c r="B2656" i="106"/>
  <c r="D2656" i="106" s="1"/>
  <c r="H8" i="4"/>
  <c r="F41" i="108"/>
  <c r="G43" i="108" s="1"/>
  <c r="K7" i="4"/>
  <c r="B3718" i="106" s="1"/>
  <c r="D3718" i="106" s="1"/>
  <c r="B6014" i="106"/>
  <c r="D6014" i="106" s="1"/>
  <c r="F173" i="5"/>
  <c r="B5653" i="106" s="1"/>
  <c r="D5653" i="106" s="1"/>
  <c r="B3628" i="106"/>
  <c r="D3628" i="106" s="1"/>
  <c r="D274" i="5"/>
  <c r="L16" i="11"/>
  <c r="B2061" i="106" s="1"/>
  <c r="D2061" i="106" s="1"/>
  <c r="D7254" i="106"/>
  <c r="D7252" i="106"/>
  <c r="K77" i="4"/>
  <c r="B3587" i="106" s="1"/>
  <c r="D3587" i="106" s="1"/>
  <c r="D7255" i="106"/>
  <c r="D7253" i="106"/>
  <c r="B5527" i="106"/>
  <c r="D5527" i="106" s="1"/>
  <c r="D44" i="36"/>
  <c r="D4" i="4"/>
  <c r="B2564" i="106" s="1"/>
  <c r="D2564" i="106" s="1"/>
  <c r="D7250" i="106"/>
  <c r="J16" i="4"/>
  <c r="B6226" i="106" s="1"/>
  <c r="D6226" i="106" s="1"/>
  <c r="B3568" i="106"/>
  <c r="D3568" i="106" s="1"/>
  <c r="D52" i="36"/>
  <c r="H151" i="29"/>
  <c r="B1273" i="106" s="1"/>
  <c r="D1273" i="106" s="1"/>
  <c r="L114" i="29"/>
  <c r="B1317" i="106"/>
  <c r="D1317" i="106" s="1"/>
  <c r="C4" i="4"/>
  <c r="B2551" i="106" s="1"/>
  <c r="D2551" i="106" s="1"/>
  <c r="F274" i="5"/>
  <c r="G173" i="5"/>
  <c r="B5770" i="106"/>
  <c r="D5770" i="106" s="1"/>
  <c r="C173" i="5"/>
  <c r="F73" i="34"/>
  <c r="G15" i="4"/>
  <c r="B6032" i="106" s="1"/>
  <c r="D6032" i="106" s="1"/>
  <c r="B1365" i="106"/>
  <c r="D1365" i="106" s="1"/>
  <c r="F65" i="34"/>
  <c r="B3670" i="106"/>
  <c r="D3670" i="106" s="1"/>
  <c r="K352" i="29"/>
  <c r="K367" i="29" s="1"/>
  <c r="D7256" i="106"/>
  <c r="D7251" i="106"/>
  <c r="C114" i="29"/>
  <c r="B757" i="106" s="1"/>
  <c r="D757" i="106" s="1"/>
  <c r="B1879" i="106"/>
  <c r="D1879" i="106" s="1"/>
  <c r="H22" i="37"/>
  <c r="D19" i="7"/>
  <c r="B1775" i="106" s="1"/>
  <c r="D1775" i="106" s="1"/>
  <c r="K342" i="29"/>
  <c r="F13" i="34" s="1"/>
  <c r="B6024" i="106"/>
  <c r="D6024" i="106" s="1"/>
  <c r="G4" i="4"/>
  <c r="B2603" i="106" s="1"/>
  <c r="D2603" i="106" s="1"/>
  <c r="H367" i="29"/>
  <c r="B3660" i="106" s="1"/>
  <c r="D3660"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6222" i="106"/>
  <c r="D6222" i="106" s="1"/>
  <c r="B2658" i="106"/>
  <c r="D2658" i="106" s="1"/>
  <c r="H10" i="4"/>
  <c r="B4127" i="106" s="1"/>
  <c r="D4127" i="106" s="1"/>
  <c r="D7" i="4"/>
  <c r="B5507" i="106"/>
  <c r="D5507" i="106" s="1"/>
  <c r="B7298" i="106"/>
  <c r="B7299" i="106"/>
  <c r="F6" i="4" l="1"/>
  <c r="B2593" i="106" s="1"/>
  <c r="D2593" i="106" s="1"/>
  <c r="F275" i="5"/>
  <c r="B5720" i="106" s="1"/>
  <c r="D5720" i="106" s="1"/>
  <c r="J17" i="4"/>
  <c r="B6227" i="106" s="1"/>
  <c r="D6227" i="106" s="1"/>
  <c r="B1145" i="106"/>
  <c r="D1145" i="106" s="1"/>
  <c r="F7" i="4"/>
  <c r="B2594" i="106" s="1"/>
  <c r="D2594" i="106" s="1"/>
  <c r="B5719" i="106"/>
  <c r="D5719" i="106" s="1"/>
  <c r="B7224" i="106"/>
  <c r="D7224" i="106" s="1"/>
  <c r="B5223" i="106"/>
  <c r="D5223" i="106" s="1"/>
  <c r="C6" i="4"/>
  <c r="B2553" i="106" s="1"/>
  <c r="D2553" i="106" s="1"/>
  <c r="K13" i="4"/>
  <c r="B3572" i="106" s="1"/>
  <c r="D3572" i="106" s="1"/>
  <c r="B3672" i="106"/>
  <c r="D3672" i="106" s="1"/>
  <c r="F24" i="37"/>
  <c r="G41" i="108"/>
  <c r="G44" i="108" s="1"/>
  <c r="G45" i="108" s="1"/>
  <c r="B5778" i="106"/>
  <c r="D5778" i="106" s="1"/>
  <c r="G6" i="4"/>
  <c r="B2604" i="106" s="1"/>
  <c r="D2604" i="106" s="1"/>
  <c r="J8" i="4"/>
  <c r="B6223" i="106" s="1"/>
  <c r="D6223" i="106"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5508" i="106"/>
  <c r="D5508" i="106" s="1"/>
  <c r="B2567" i="106"/>
  <c r="D2567" i="106" s="1"/>
  <c r="J20" i="4" l="1"/>
  <c r="K17" i="4"/>
  <c r="K19" i="4" s="1"/>
  <c r="B4144" i="106" s="1"/>
  <c r="D4144" i="106" s="1"/>
  <c r="D8" i="4"/>
  <c r="F8" i="4"/>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H13" i="118" l="1"/>
  <c r="K20" i="4"/>
  <c r="K78" i="4" s="1"/>
  <c r="F10" i="4"/>
  <c r="B4125" i="106" s="1"/>
  <c r="D4125" i="106" s="1"/>
  <c r="D8" i="146"/>
  <c r="B2595" i="106"/>
  <c r="D2595"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D78" i="4"/>
  <c r="B2574" i="106"/>
  <c r="D2574" i="106" s="1"/>
  <c r="F8" i="146" l="1"/>
  <c r="B3576" i="106"/>
  <c r="D3576" i="106" s="1"/>
  <c r="F179" i="34"/>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J16" i="37" s="1"/>
  <c r="B4269" i="106" s="1"/>
  <c r="D4269" i="106" s="1"/>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H12" i="118" l="1"/>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<sst xmlns="http://schemas.openxmlformats.org/spreadsheetml/2006/main" count="5280" uniqueCount="2168">
  <si>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</si>
  <si>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</si>
  <si>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</si>
  <si>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</si>
  <si>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</si>
  <si>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</si>
  <si>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</si>
  <si>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</si>
  <si>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</si>
  <si>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</si>
  <si>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</si>
  <si>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</si>
  <si>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</si>
  <si>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</si>
  <si>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</si>
  <si>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</si>
  <si>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</si>
  <si>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</si>
  <si>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</si>
  <si>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</si>
  <si>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</si>
  <si>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</si>
  <si>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</si>
  <si>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</si>
  <si>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</si>
  <si>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</si>
  <si>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</si>
  <si>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</si>
  <si>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</si>
  <si>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</si>
  <si>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</si>
  <si>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</si>
  <si>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</si>
  <si>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</si>
  <si>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</si>
  <si>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</si>
  <si>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</si>
  <si>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</si>
  <si>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</si>
  <si>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</si>
  <si>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</si>
  <si>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</si>
  <si>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</si>
  <si>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</si>
  <si>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</si>
  <si>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</si>
  <si>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</si>
  <si>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</si>
  <si>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</si>
  <si>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</si>
  <si>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</si>
  <si>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</si>
  <si>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</si>
  <si>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</si>
  <si>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</si>
  <si>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</si>
  <si>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</si>
  <si>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</si>
  <si>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</si>
  <si>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</si>
  <si>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</si>
  <si>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</si>
  <si>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</si>
  <si>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</si>
  <si>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</si>
  <si>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</si>
  <si>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</si>
  <si>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</si>
  <si>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</si>
  <si>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</si>
  <si>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</si>
  <si>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</si>
  <si>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</si>
  <si>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</si>
  <si>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</si>
  <si>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</si>
  <si>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</si>
  <si>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</si>
  <si>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</si>
  <si>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</si>
  <si>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</si>
  <si>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</si>
  <si>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</si>
  <si>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</si>
  <si>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</si>
  <si>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</si>
  <si>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</si>
  <si>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</si>
  <si>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</si>
  <si>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</si>
  <si>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</si>
  <si>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</si>
  <si>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</si>
  <si>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</si>
  <si>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</si>
  <si>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</si>
  <si>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</si>
  <si>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</si>
  <si>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</si>
  <si>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</si>
  <si>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</si>
  <si>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</si>
  <si>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</si>
  <si>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</si>
  <si>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</si>
  <si>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</si>
  <si>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</si>
  <si>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</si>
  <si>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</si>
  <si>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</si>
  <si>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</si>
  <si>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</si>
  <si>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</si>
  <si>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</si>
  <si>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</si>
  <si>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</si>
  <si>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</si>
  <si>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</si>
  <si>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</si>
  <si>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</si>
  <si>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</si>
  <si>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</si>
  <si>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</si>
  <si>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</si>
  <si>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</si>
  <si>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</si>
  <si>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</si>
  <si>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</si>
  <si>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</si>
  <si>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</si>
  <si>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</si>
  <si>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</si>
  <si>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</si>
  <si>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</si>
  <si>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</si>
  <si>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</si>
  <si>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</si>
  <si>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</si>
  <si>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</si>
  <si>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</si>
  <si>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</si>
  <si>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</si>
  <si>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</si>
  <si>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</si>
  <si>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</si>
  <si>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</si>
  <si>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</si>
  <si>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</si>
  <si>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</si>
  <si>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</si>
  <si>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</si>
  <si>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</si>
  <si>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</si>
  <si>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</si>
  <si>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</si>
  <si>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</si>
  <si>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</si>
  <si>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</si>
  <si>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</si>
  <si>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</si>
  <si>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</si>
  <si>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</si>
  <si>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</si>
  <si>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</si>
  <si>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</si>
  <si>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</si>
  <si>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</si>
  <si>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</si>
  <si>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</si>
  <si>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</si>
  <si>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</si>
  <si>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</si>
  <si>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</si>
  <si>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</si>
  <si>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</si>
  <si>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</si>
  <si>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</si>
  <si>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</si>
  <si>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</si>
  <si>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</si>
  <si>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</si>
  <si>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</si>
  <si>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</si>
  <si>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</si>
  <si>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</si>
  <si>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</si>
  <si>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</si>
  <si>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</si>
  <si>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</si>
  <si>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</si>
  <si>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</si>
  <si>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</si>
  <si>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</si>
  <si>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</si>
  <si>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</si>
  <si>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</si>
  <si>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</si>
  <si>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</si>
  <si>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</si>
  <si>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</si>
  <si>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</si>
  <si>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</si>
  <si>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</si>
  <si>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</si>
  <si>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</si>
  <si>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</si>
  <si>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</si>
  <si>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</si>
  <si>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</si>
  <si>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</si>
  <si>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</si>
  <si>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</si>
  <si>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</si>
  <si>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</si>
  <si>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</si>
  <si>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</si>
  <si>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</si>
  <si>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</si>
  <si>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</si>
  <si>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</si>
  <si>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</si>
  <si>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</si>
  <si>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</si>
  <si>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</si>
  <si>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</si>
  <si>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</si>
  <si>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</si>
  <si>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</si>
  <si>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</si>
  <si>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</si>
  <si>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</si>
  <si>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</si>
  <si>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</si>
  <si>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</si>
  <si>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</si>
  <si>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</si>
  <si>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</si>
  <si>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</si>
  <si>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</si>
  <si>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</si>
  <si>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</si>
  <si>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</si>
  <si>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</si>
  <si>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</si>
  <si>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</si>
  <si>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</si>
  <si>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</si>
  <si>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</si>
  <si>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</si>
  <si>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</si>
  <si>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</si>
  <si>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</si>
  <si>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</si>
  <si>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</si>
  <si>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</si>
  <si>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</si>
  <si>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</si>
  <si>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</si>
  <si>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</si>
  <si>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</si>
  <si>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</si>
  <si>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</si>
  <si>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</si>
  <si>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</si>
  <si>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</si>
  <si>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</si>
  <si>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</si>
  <si>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</si>
  <si>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</si>
  <si>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</si>
  <si>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</si>
  <si>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</si>
  <si>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</si>
  <si>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</si>
  <si>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</si>
  <si>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</si>
  <si>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</si>
  <si>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</si>
  <si>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</si>
  <si>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</si>
  <si>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</si>
  <si>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</si>
  <si>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</si>
  <si>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</si>
  <si>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</si>
  <si>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</si>
  <si>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</si>
  <si>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</si>
  <si>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</si>
  <si>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</si>
  <si>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</si>
  <si>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</si>
  <si>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</si>
  <si>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</si>
  <si>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</si>
  <si>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</si>
  <si>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</si>
  <si>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</si>
  <si>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</si>
  <si>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</si>
  <si>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</si>
  <si>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</si>
  <si>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</si>
  <si>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</si>
  <si>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</si>
  <si>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</si>
  <si>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</si>
  <si>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</si>
  <si>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</si>
  <si>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</si>
  <si>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</si>
  <si>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</si>
  <si>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</si>
  <si>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</si>
  <si>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</si>
  <si>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</si>
  <si>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</si>
  <si>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</si>
  <si>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</si>
  <si>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</si>
  <si>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</si>
  <si>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</si>
  <si>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</si>
  <si>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</si>
  <si>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</si>
  <si>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</si>
  <si>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</si>
  <si>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</si>
  <si>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</si>
  <si>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</si>
  <si>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</si>
  <si>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</si>
  <si>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</si>
  <si>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</si>
  <si>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</si>
  <si>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</si>
  <si>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</si>
  <si>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</si>
  <si>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</si>
  <si>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</si>
  <si>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</si>
  <si>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</si>
  <si>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</si>
  <si>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</si>
  <si>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</si>
  <si>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</si>
  <si>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</si>
  <si>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</si>
  <si>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</si>
  <si>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</si>
  <si>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</si>
  <si>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</si>
  <si>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</si>
  <si>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</si>
  <si>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</si>
  <si>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</si>
  <si>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</si>
  <si>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</si>
  <si>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</si>
  <si>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</si>
  <si>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</si>
  <si>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</si>
  <si>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</si>
  <si>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</si>
  <si>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</si>
  <si>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</si>
  <si>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</si>
  <si>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</si>
  <si>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</si>
  <si>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</si>
  <si>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</si>
  <si>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</si>
  <si>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</si>
  <si>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</si>
  <si>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</si>
  <si>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</si>
  <si>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</si>
  <si>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</si>
  <si>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</si>
  <si>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</si>
  <si>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</si>
  <si>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</si>
  <si>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</si>
  <si>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</si>
  <si>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</si>
  <si>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</si>
  <si>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</si>
  <si>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</si>
  <si>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</si>
  <si>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</si>
  <si>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</si>
  <si>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</si>
  <si>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</si>
  <si>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</si>
  <si>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</si>
  <si>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</si>
  <si>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</si>
  <si>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</si>
  <si>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</si>
  <si>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</si>
  <si>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</si>
  <si>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</si>
  <si>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</si>
  <si>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</si>
  <si>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</si>
  <si>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</si>
  <si>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</si>
  <si>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</si>
  <si>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</si>
  <si>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</si>
  <si>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</si>
  <si>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</si>
  <si>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</si>
  <si>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</si>
  <si>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</si>
  <si>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</si>
  <si>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</si>
  <si>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</si>
  <si>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</si>
  <si>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</si>
  <si>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</si>
  <si>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</si>
  <si>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</si>
  <si>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</si>
  <si>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</si>
  <si>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</si>
  <si>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</si>
  <si>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</si>
  <si>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</si>
  <si>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</si>
  <si>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</si>
  <si>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</si>
  <si>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</si>
  <si>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</si>
  <si>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</si>
  <si>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</si>
  <si>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</si>
  <si>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</si>
  <si>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</si>
  <si>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</si>
  <si>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</si>
  <si>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</si>
  <si>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</si>
  <si>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</si>
  <si>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</si>
  <si>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</si>
  <si>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</si>
  <si>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</si>
  <si>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</si>
  <si>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</si>
  <si>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</si>
  <si>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</si>
  <si>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</si>
  <si>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</si>
  <si>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</si>
  <si>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</si>
  <si>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</si>
  <si>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</si>
  <si>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</si>
  <si>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</si>
  <si>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</si>
  <si>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</si>
  <si>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</si>
  <si>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</si>
  <si>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</si>
  <si>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</si>
  <si>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</si>
  <si>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</si>
  <si>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</si>
  <si>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</si>
  <si>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</si>
  <si>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</si>
  <si>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</si>
  <si>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</si>
  <si>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</si>
  <si>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</si>
  <si>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</si>
  <si>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</si>
  <si>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</si>
  <si>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</si>
  <si>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</si>
  <si>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</si>
  <si>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</si>
  <si>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</si>
  <si>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</si>
  <si>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</si>
  <si>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</si>
  <si>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</si>
  <si>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</si>
  <si>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</si>
  <si>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</si>
  <si>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</si>
  <si>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</si>
  <si>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</si>
  <si>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</si>
  <si>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</si>
  <si>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</si>
  <si>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</si>
  <si>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</si>
  <si>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</si>
  <si>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</si>
  <si>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</si>
  <si>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</si>
  <si>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</si>
  <si>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</si>
  <si>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</si>
  <si>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</si>
  <si>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</si>
  <si>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</si>
  <si>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</si>
  <si>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</si>
  <si>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</si>
  <si>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</si>
  <si>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</si>
  <si>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</si>
  <si>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</si>
  <si>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</si>
  <si>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</si>
  <si>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</si>
  <si>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</si>
  <si>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</si>
  <si>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</si>
  <si>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</si>
  <si>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</si>
  <si>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</si>
  <si>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</si>
  <si>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</si>
  <si>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</si>
  <si>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</si>
  <si>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</si>
  <si>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</si>
  <si>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</si>
  <si>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</si>
  <si>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</si>
  <si>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</si>
  <si>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</si>
  <si>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</si>
  <si>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</si>
  <si>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</si>
  <si>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</si>
  <si>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</si>
  <si>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</si>
  <si>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</si>
  <si>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</si>
  <si>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</si>
  <si>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</si>
  <si>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</si>
  <si>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</si>
  <si>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</si>
  <si>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</si>
  <si>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</si>
  <si>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</si>
  <si>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</si>
  <si>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</si>
  <si>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</si>
  <si>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</si>
  <si>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</si>
  <si>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</si>
  <si>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</si>
  <si>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</si>
  <si>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</si>
  <si>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</si>
  <si>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</si>
  <si>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</si>
  <si>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</si>
  <si>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</si>
  <si>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</si>
  <si>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</si>
  <si>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</si>
  <si>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</si>
  <si>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</si>
  <si>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</si>
  <si>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</si>
  <si>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</si>
  <si>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</si>
  <si>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</si>
  <si>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</si>
  <si>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</si>
  <si>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</si>
  <si>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</si>
  <si>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</si>
  <si>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</si>
  <si>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</si>
  <si>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</si>
  <si>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</si>
  <si>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</si>
  <si>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</si>
  <si>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</si>
  <si>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</si>
  <si>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</si>
  <si>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</si>
  <si>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</si>
  <si>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</si>
  <si>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</si>
  <si>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</si>
  <si>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</si>
  <si>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</si>
  <si>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</si>
  <si>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</si>
  <si>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</si>
  <si>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</si>
  <si>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</si>
  <si>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</si>
  <si>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</si>
  <si>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</si>
  <si>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</si>
  <si>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</si>
  <si>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</si>
  <si>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</si>
  <si>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</si>
  <si>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</si>
  <si>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</si>
  <si>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</si>
  <si>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</si>
  <si>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</si>
  <si>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</si>
  <si>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</si>
  <si>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</si>
  <si>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</si>
  <si>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</si>
  <si>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</si>
  <si>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</si>
  <si>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</si>
  <si>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</si>
  <si>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</si>
  <si>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</si>
  <si>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</si>
  <si>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</si>
  <si>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</si>
  <si>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</si>
  <si>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</si>
  <si>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</si>
  <si>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</si>
  <si>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</si>
  <si>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</si>
  <si>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</si>
  <si>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</si>
  <si>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</si>
  <si>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</si>
  <si>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</si>
  <si>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</si>
  <si>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</si>
  <si>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</si>
  <si>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</si>
  <si>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</si>
  <si>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</si>
  <si>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</si>
  <si>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</si>
  <si>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</si>
  <si>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</si>
  <si>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</si>
  <si>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</si>
  <si>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</si>
  <si>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</si>
  <si>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</si>
  <si>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</si>
  <si>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</si>
  <si>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</si>
  <si>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</si>
  <si>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</si>
  <si>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</si>
  <si>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</si>
  <si>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</si>
  <si>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</si>
  <si>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</si>
  <si>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</si>
  <si>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</si>
  <si>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</si>
  <si>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</si>
  <si>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</si>
  <si>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</si>
  <si>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</si>
  <si>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</si>
  <si>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</si>
  <si>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</si>
  <si>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</si>
  <si>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</si>
  <si>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</si>
  <si>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</si>
  <si>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</si>
  <si>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</si>
  <si>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</si>
  <si>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</si>
  <si>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</si>
  <si>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</si>
  <si>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</si>
  <si>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</si>
  <si>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</si>
  <si>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</si>
  <si>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</si>
  <si>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</si>
  <si>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</si>
  <si>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</si>
  <si>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</si>
  <si>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</si>
  <si>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</si>
  <si>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</si>
  <si>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</si>
  <si>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</si>
  <si>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</si>
  <si>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</si>
  <si>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</si>
  <si>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</si>
  <si>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</si>
  <si>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</si>
  <si>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</si>
  <si>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</si>
  <si>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</si>
  <si>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</si>
  <si>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</si>
  <si>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</si>
  <si>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</si>
  <si>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</si>
  <si>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</si>
  <si>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</si>
  <si>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</si>
  <si>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</si>
  <si>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</si>
  <si>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</si>
  <si>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</si>
  <si>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</si>
  <si>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</si>
  <si>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</si>
  <si>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</si>
  <si>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</si>
  <si>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</si>
  <si>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</si>
  <si>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</si>
  <si>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</si>
  <si>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</si>
  <si>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</si>
  <si>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</si>
  <si>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</si>
  <si>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</si>
  <si>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</si>
  <si>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</si>
  <si>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</si>
  <si>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</si>
  <si>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</si>
  <si>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</si>
  <si>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</si>
  <si>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</si>
  <si>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</si>
  <si>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</si>
  <si>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</si>
  <si>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</si>
  <si>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</si>
  <si>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</si>
  <si>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</si>
  <si>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</si>
  <si>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</si>
  <si>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</si>
  <si>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</si>
  <si>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</si>
  <si>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</si>
  <si>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</si>
  <si>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</si>
  <si>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</si>
  <si>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</si>
  <si>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</si>
  <si>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</si>
  <si>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</si>
  <si>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</si>
  <si>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</si>
  <si>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</si>
  <si>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</si>
  <si>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</si>
  <si>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</si>
  <si>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</si>
  <si>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</si>
  <si>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</si>
  <si>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</si>
  <si>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</si>
  <si>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</si>
  <si>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</si>
  <si>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</si>
  <si>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</si>
  <si>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</si>
  <si>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</si>
  <si>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</si>
  <si>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</si>
  <si>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</si>
  <si>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</si>
  <si>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</si>
  <si>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</si>
  <si>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</si>
  <si>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</si>
  <si>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</si>
  <si>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</si>
  <si>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</si>
  <si>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</si>
  <si>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</si>
  <si>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</si>
  <si>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</si>
  <si>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</si>
  <si>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</si>
  <si>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</si>
  <si>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</si>
  <si>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</si>
  <si>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</si>
  <si>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</si>
  <si>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</si>
  <si>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</si>
  <si>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</si>
  <si>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</si>
  <si>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</si>
  <si>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</si>
  <si>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</si>
  <si>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</si>
  <si>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</si>
  <si>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</si>
  <si>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</si>
  <si>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</si>
  <si>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</si>
  <si>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</si>
  <si>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</si>
  <si>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</si>
  <si>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</si>
  <si>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</si>
  <si>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</si>
  <si>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</si>
  <si>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</si>
  <si>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</si>
  <si>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</si>
  <si>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</si>
  <si>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</si>
  <si>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</si>
  <si>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</si>
  <si>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</si>
  <si>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</si>
  <si>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</si>
  <si>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</si>
  <si>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</si>
  <si>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</si>
  <si>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</si>
  <si>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</si>
  <si>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</si>
  <si>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</si>
  <si>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</si>
  <si>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</si>
  <si>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</si>
  <si>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</si>
  <si>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</si>
  <si>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</si>
  <si>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</si>
  <si>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</si>
  <si>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</si>
  <si>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</si>
  <si>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</si>
  <si>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</si>
  <si>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</si>
  <si>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</si>
  <si>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</si>
  <si>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</si>
  <si>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</si>
  <si>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</si>
  <si>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</si>
  <si>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</si>
  <si>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</si>
  <si>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</si>
  <si>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</si>
  <si>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</si>
  <si>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</si>
  <si>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</si>
  <si>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</si>
  <si>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</si>
  <si>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</si>
  <si>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</si>
  <si>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</si>
  <si>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</si>
  <si>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</si>
  <si>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</si>
  <si>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</si>
  <si>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</si>
  <si>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</si>
  <si>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</si>
  <si>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</si>
  <si>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</si>
  <si>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</si>
  <si>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</si>
  <si>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</si>
  <si>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</si>
  <si>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</si>
  <si>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</si>
  <si>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</si>
  <si>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</si>
  <si>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</si>
  <si>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</si>
  <si>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</si>
  <si>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</si>
  <si>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</si>
  <si>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</si>
  <si>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</si>
  <si>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</si>
  <si>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</si>
  <si>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</si>
  <si>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</si>
  <si>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</si>
  <si>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</si>
  <si>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</si>
  <si>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</si>
  <si>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</si>
  <si>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</si>
  <si>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</si>
  <si>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</si>
  <si>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</si>
  <si>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</si>
  <si>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</si>
  <si>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</si>
  <si>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</si>
  <si>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</si>
  <si>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</si>
  <si>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</si>
  <si>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</si>
  <si>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</si>
  <si>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</si>
  <si>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</si>
  <si>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</si>
  <si>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</si>
  <si>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</si>
  <si>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</si>
  <si>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</si>
  <si>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</si>
  <si>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</si>
  <si>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</si>
  <si>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</si>
  <si>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</si>
  <si>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</si>
  <si>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</si>
  <si>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</si>
  <si>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</si>
  <si>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</si>
  <si>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</si>
  <si>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</si>
  <si>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</si>
  <si>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</si>
  <si>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</si>
  <si>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</si>
  <si>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</si>
  <si>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</si>
  <si>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</si>
  <si>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</si>
  <si>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</si>
  <si>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</si>
  <si>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</si>
  <si>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</si>
  <si>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</si>
  <si>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</si>
  <si>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</si>
  <si>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</si>
  <si>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</si>
  <si>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</si>
  <si>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</si>
  <si>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</si>
  <si>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</si>
  <si>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</si>
  <si>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</si>
  <si>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</si>
  <si>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</si>
  <si>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</si>
  <si>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</si>
  <si>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</si>
  <si>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</si>
  <si>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</si>
  <si>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</si>
  <si>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</si>
  <si>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</si>
  <si>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</si>
  <si>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</si>
  <si>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</si>
  <si>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</si>
  <si>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</si>
  <si>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</si>
  <si>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</si>
  <si>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</si>
  <si>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</si>
  <si>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</si>
  <si>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</si>
  <si>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</si>
  <si>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</si>
  <si>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</si>
  <si>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</si>
  <si>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</si>
  <si>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</si>
  <si>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</si>
  <si>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</si>
  <si>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</si>
  <si>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</si>
  <si>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</si>
  <si>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</si>
  <si>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</si>
  <si>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</si>
  <si>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</si>
  <si>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</si>
  <si>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</si>
  <si>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</si>
  <si>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</si>
  <si>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</si>
  <si>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</si>
  <si>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</si>
  <si>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</si>
  <si>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</si>
  <si>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</si>
  <si>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</si>
  <si>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</si>
  <si>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</si>
  <si>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</si>
  <si>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</si>
  <si>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</si>
  <si>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</si>
  <si>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</si>
  <si>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</si>
  <si>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</si>
  <si>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</si>
  <si>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</si>
  <si>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</si>
  <si>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</si>
  <si>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</si>
  <si>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</si>
  <si>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</si>
  <si>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</si>
  <si>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</si>
  <si>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</si>
  <si>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</si>
  <si>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</si>
  <si>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</si>
  <si>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</si>
  <si>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</si>
  <si>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</si>
  <si>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</si>
  <si>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</si>
  <si>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</si>
  <si>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</si>
  <si>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</si>
  <si>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</si>
  <si>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</si>
  <si>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</si>
  <si>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</si>
  <si>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</si>
  <si>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</si>
  <si>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</si>
  <si>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</si>
  <si>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</si>
  <si>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</si>
  <si>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</si>
  <si>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</si>
  <si>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</si>
  <si>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</si>
  <si>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</si>
  <si>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</si>
  <si>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</si>
  <si>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</si>
  <si>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</si>
  <si>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</si>
  <si>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</si>
  <si>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</si>
  <si>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</si>
  <si>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</si>
  <si>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</si>
  <si>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</si>
  <si>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</si>
  <si>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</si>
  <si>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</si>
  <si>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</si>
  <si>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</si>
  <si>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</si>
  <si>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</si>
  <si>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</si>
  <si>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</si>
  <si>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</si>
  <si>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</si>
  <si>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</si>
  <si>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</si>
  <si>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</si>
  <si>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</si>
  <si>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</si>
  <si>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</si>
  <si>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</si>
  <si>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</si>
  <si>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</si>
  <si>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</si>
  <si>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</si>
  <si>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</si>
  <si>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</si>
  <si>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</si>
  <si>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</si>
  <si>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</si>
  <si>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</si>
  <si>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</si>
  <si>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</si>
  <si>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</si>
  <si>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</si>
  <si>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</si>
  <si>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</si>
  <si>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</si>
  <si>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</si>
  <si>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</si>
  <si>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</si>
  <si>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</si>
  <si>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</si>
  <si>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</si>
  <si>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</si>
  <si>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</si>
  <si>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</si>
  <si>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</si>
  <si>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</si>
  <si>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</si>
  <si>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</si>
  <si>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</si>
  <si>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</si>
  <si>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</si>
  <si>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</si>
  <si>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</si>
  <si>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</si>
  <si>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</si>
  <si>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</si>
  <si>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</si>
  <si>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</si>
  <si>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</si>
  <si>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</si>
  <si>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</si>
  <si>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</si>
  <si>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</si>
  <si>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</si>
  <si>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</si>
  <si>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</si>
  <si>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</si>
  <si>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</si>
  <si>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</si>
  <si>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</si>
  <si>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</si>
  <si>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</si>
  <si>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</si>
  <si>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</si>
  <si>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</si>
  <si>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</si>
  <si>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</si>
  <si>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</si>
  <si>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</si>
  <si>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</si>
  <si>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</si>
  <si>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</si>
  <si>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</si>
  <si>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</si>
  <si>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</si>
  <si>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</si>
  <si>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</si>
  <si>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</si>
  <si>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</si>
  <si>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</si>
  <si>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</si>
  <si>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</si>
  <si>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</si>
  <si>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</si>
  <si>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</si>
  <si>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</si>
  <si>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</si>
  <si>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</si>
  <si>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</si>
  <si>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</si>
  <si>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</si>
  <si>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</si>
  <si>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</si>
  <si>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</si>
  <si>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</si>
  <si>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</si>
  <si>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</si>
  <si>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</si>
  <si>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</si>
  <si>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</si>
  <si>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</si>
  <si>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</si>
  <si>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</si>
  <si>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</si>
  <si>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</si>
  <si>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</si>
  <si>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</si>
  <si>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</si>
  <si>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</si>
  <si>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</si>
  <si>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</si>
  <si>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</si>
  <si>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</si>
  <si>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</si>
  <si>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</si>
  <si>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</si>
  <si>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</si>
  <si>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</si>
  <si>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</si>
  <si>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</si>
  <si>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</si>
  <si>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</si>
  <si>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</si>
  <si>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</si>
  <si>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</si>
  <si>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</si>
  <si>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</si>
  <si>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</si>
  <si>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</si>
  <si>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</si>
  <si>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</si>
  <si>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</si>
  <si>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</si>
  <si>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</si>
  <si>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</si>
  <si>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</si>
  <si>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</si>
  <si>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</si>
  <si>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</si>
  <si>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</si>
  <si>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</si>
  <si>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</si>
  <si>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</si>
  <si>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</si>
  <si>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</si>
  <si>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</si>
  <si>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</si>
  <si>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</si>
  <si>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</si>
  <si>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</si>
  <si>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</si>
  <si>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</si>
  <si>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</si>
  <si>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</si>
  <si>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</si>
  <si>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</si>
  <si>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</si>
  <si>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</si>
  <si>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</si>
  <si>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</si>
  <si>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</si>
  <si>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</si>
  <si>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</si>
  <si>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</si>
  <si>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</si>
  <si>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</si>
  <si>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</si>
  <si>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</si>
  <si>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</si>
  <si>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</si>
  <si>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</si>
  <si>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</si>
  <si>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</si>
  <si>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</si>
  <si>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</si>
  <si>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</si>
  <si>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</si>
  <si>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</si>
  <si>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</si>
  <si>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</si>
  <si>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</si>
  <si>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</si>
  <si>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</si>
  <si>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</si>
  <si>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</si>
  <si>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</si>
  <si>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</si>
  <si>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</si>
  <si>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</si>
  <si>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</si>
  <si>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</si>
  <si>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</si>
  <si>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</si>
  <si>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</si>
  <si>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</si>
  <si>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</si>
  <si>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</si>
  <si>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</si>
  <si>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</si>
  <si>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</si>
  <si>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</si>
  <si>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</si>
  <si>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</si>
  <si>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</si>
  <si>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</si>
  <si>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</si>
  <si>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</si>
  <si>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</si>
  <si>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</si>
  <si>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</si>
  <si>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</si>
  <si>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</si>
  <si>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</si>
  <si>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</si>
  <si>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</si>
  <si>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</si>
  <si>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</si>
  <si>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</si>
  <si>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</si>
  <si>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</si>
  <si>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</si>
  <si>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</si>
  <si>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</si>
  <si>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</si>
  <si>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</si>
  <si>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</si>
  <si>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</si>
  <si>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</si>
  <si>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</si>
  <si>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</si>
  <si>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</si>
  <si>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</si>
  <si>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</si>
  <si>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</si>
  <si>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</si>
  <si>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</si>
  <si>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</si>
  <si>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</si>
  <si>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</si>
  <si>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</si>
  <si>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</si>
  <si>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</si>
  <si>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</si>
  <si>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</si>
  <si>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</si>
  <si>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</si>
  <si>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</si>
  <si>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</si>
  <si>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</si>
  <si>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</si>
  <si>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</si>
  <si>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</si>
  <si>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</si>
  <si>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</si>
  <si>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</si>
  <si>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</si>
  <si>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</si>
  <si>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</si>
  <si>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</si>
  <si>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</si>
  <si>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</si>
  <si>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</si>
  <si>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</si>
  <si>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</si>
  <si>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</si>
  <si>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</si>
  <si>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</si>
  <si>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</si>
  <si>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</si>
  <si>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</si>
  <si>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</si>
  <si>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</si>
  <si>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</si>
  <si>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</si>
  <si>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</si>
  <si>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</si>
  <si>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</si>
  <si>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</si>
  <si>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</si>
  <si>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</si>
  <si>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</si>
  <si>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</si>
  <si>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</si>
  <si>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</si>
  <si>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</si>
  <si>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</si>
  <si>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</si>
  <si>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</si>
  <si>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</si>
  <si>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</si>
  <si>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</si>
  <si>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</si>
  <si>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</si>
  <si>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</si>
  <si>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</si>
  <si>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</si>
  <si>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</si>
  <si>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</si>
  <si>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</si>
  <si>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</si>
  <si>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</si>
  <si>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</si>
  <si>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</si>
  <si>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</si>
  <si>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</si>
  <si>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</si>
  <si>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</si>
  <si>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</si>
  <si>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</si>
  <si>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</si>
  <si>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</si>
  <si>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</si>
  <si>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</si>
  <si>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</si>
  <si>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</si>
  <si>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</si>
  <si>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</si>
  <si>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</si>
  <si>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</si>
  <si>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</si>
  <si>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</si>
  <si>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</si>
  <si>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</si>
  <si>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</si>
  <si>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</si>
  <si>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</si>
  <si>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</si>
  <si>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</si>
  <si>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</si>
  <si>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</si>
  <si>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</si>
  <si>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</si>
  <si>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</si>
  <si>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</si>
  <si>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</si>
  <si>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</si>
  <si>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</si>
  <si>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</si>
  <si>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</si>
  <si>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</si>
  <si>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</si>
  <si>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</si>
  <si>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</si>
  <si>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</si>
  <si>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</si>
  <si>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</si>
  <si>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</si>
  <si>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</si>
  <si>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</si>
  <si>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</si>
  <si>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</si>
  <si>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</si>
  <si>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</si>
  <si>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</si>
  <si>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</si>
  <si>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</si>
  <si>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</si>
  <si>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</si>
  <si>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</si>
  <si>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</si>
  <si>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</si>
  <si>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</si>
  <si>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</si>
  <si>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</si>
  <si>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</si>
  <si>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</si>
  <si>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</si>
  <si>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</si>
  <si>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</si>
  <si>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</si>
  <si>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</si>
  <si>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</si>
  <si>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</si>
  <si>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</si>
  <si>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</si>
  <si>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</si>
  <si>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</si>
  <si>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</si>
  <si>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</si>
  <si>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</si>
  <si>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</si>
  <si>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</si>
  <si>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</si>
  <si>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</si>
  <si>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</si>
  <si>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</si>
  <si>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</si>
  <si>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</si>
  <si>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</si>
  <si>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</si>
  <si>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</si>
  <si>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</si>
  <si>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</si>
  <si>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</si>
  <si>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</si>
  <si>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</si>
  <si>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</si>
  <si>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</si>
  <si>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</si>
  <si>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</si>
  <si>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</si>
  <si>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</si>
  <si>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</si>
  <si>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</si>
  <si>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</si>
  <si>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</si>
  <si>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</si>
  <si>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</si>
  <si>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</si>
  <si>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</si>
  <si>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</si>
  <si>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</si>
  <si>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</si>
  <si>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</si>
  <si>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</si>
  <si>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</si>
  <si>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</si>
  <si>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</si>
  <si>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</si>
  <si>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</si>
  <si>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</si>
  <si>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</si>
  <si>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</si>
  <si>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</si>
  <si>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</si>
  <si>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</si>
  <si>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</si>
  <si>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</si>
  <si>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</si>
  <si>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</si>
  <si>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</si>
  <si>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</si>
  <si>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</si>
  <si>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</si>
  <si>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</si>
  <si>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</si>
  <si>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</si>
  <si>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</si>
  <si>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</si>
  <si>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</si>
  <si>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</si>
  <si>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</si>
  <si>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</si>
  <si>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</si>
  <si>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</si>
  <si>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</si>
  <si>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</si>
  <si>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</si>
  <si>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</si>
  <si>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</si>
  <si>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</si>
  <si>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</si>
  <si>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</si>
  <si>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</si>
  <si>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</si>
  <si>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</si>
  <si>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</si>
  <si>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</si>
  <si>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</si>
  <si>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</si>
  <si>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</si>
  <si>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</si>
  <si>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</si>
  <si>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</si>
  <si>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</si>
  <si>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</si>
  <si>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</si>
  <si>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</si>
  <si>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</si>
  <si>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</si>
  <si>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</si>
  <si>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</si>
  <si>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</si>
  <si>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</si>
  <si>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</si>
  <si>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</si>
  <si>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</si>
  <si>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</si>
  <si>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</si>
  <si>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</si>
  <si>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</si>
  <si>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</si>
  <si>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</si>
  <si>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</si>
  <si>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</si>
  <si>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</si>
  <si>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</si>
  <si>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</si>
  <si>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</si>
  <si>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</si>
  <si>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</si>
  <si>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</si>
  <si>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</si>
  <si>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</si>
  <si>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</si>
  <si>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</si>
  <si>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</si>
  <si>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</si>
  <si>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</si>
  <si>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</si>
  <si>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</si>
  <si>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</si>
  <si>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</si>
  <si>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</si>
  <si>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</si>
  <si>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</si>
  <si>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</si>
  <si>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</si>
  <si>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</si>
  <si>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</si>
  <si>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</si>
  <si>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</si>
  <si>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</si>
  <si>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</si>
  <si>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</si>
  <si>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</si>
  <si>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</si>
  <si>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</si>
  <si>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</si>
  <si>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</si>
  <si>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</si>
  <si>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</si>
  <si>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</si>
  <si>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</si>
  <si>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</si>
  <si>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</si>
  <si>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</si>
  <si>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</si>
  <si>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</si>
  <si>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</si>
  <si>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</si>
  <si>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</si>
  <si>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</si>
  <si>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</si>
  <si>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</si>
  <si>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</si>
  <si>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</si>
  <si>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</si>
  <si>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</si>
  <si>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</si>
  <si>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</si>
  <si>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</si>
  <si>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</si>
  <si>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</si>
  <si>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</si>
  <si>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</si>
  <si>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</si>
  <si>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</si>
  <si>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</si>
  <si>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</si>
  <si>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</si>
  <si>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</si>
  <si>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</si>
  <si>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</si>
  <si>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</si>
  <si>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</si>
  <si>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</si>
  <si>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</si>
  <si>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</si>
  <si>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</si>
  <si>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</si>
  <si>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</si>
  <si>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</si>
  <si>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</si>
  <si>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</si>
  <si>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</si>
  <si>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</si>
  <si>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</si>
  <si>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</si>
  <si>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</si>
  <si>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</si>
  <si>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</si>
  <si>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</si>
  <si>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</si>
  <si>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</si>
  <si>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</si>
  <si>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</si>
  <si>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</si>
  <si>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</si>
  <si>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</si>
  <si>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</si>
  <si>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</si>
  <si>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</si>
  <si>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</si>
  <si>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</si>
  <si>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</si>
  <si>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</si>
  <si>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</si>
  <si>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</si>
  <si>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</si>
  <si>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</si>
  <si>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</si>
  <si>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</si>
  <si>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</si>
  <si>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</si>
  <si>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</si>
  <si>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</si>
  <si>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</si>
  <si>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</si>
  <si>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</si>
  <si>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</si>
  <si>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</si>
  <si>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</si>
  <si>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</si>
  <si>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</si>
  <si>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</si>
  <si>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</si>
  <si>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</si>
  <si>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</si>
  <si>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</si>
  <si>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</si>
  <si>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</si>
  <si>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</si>
  <si>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</si>
  <si>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</si>
  <si>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</si>
  <si>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</si>
  <si>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</si>
  <si>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</si>
  <si>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</si>
  <si>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</si>
  <si>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</si>
  <si>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</si>
  <si>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</si>
  <si>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</si>
  <si>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</si>
  <si>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</si>
  <si>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</si>
  <si>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</si>
  <si>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</si>
  <si>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</si>
  <si>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</si>
  <si>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</si>
  <si>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</si>
  <si>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</si>
  <si>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</si>
  <si>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</si>
  <si>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</si>
  <si>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</si>
  <si>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</si>
  <si>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</si>
  <si>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</si>
  <si>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</si>
  <si>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</si>
  <si>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</si>
  <si>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</si>
  <si>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</si>
  <si>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</si>
  <si>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</si>
  <si>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</si>
  <si>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</si>
  <si>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</si>
  <si>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</si>
  <si>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</si>
  <si>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</si>
  <si>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</si>
  <si>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</si>
  <si>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</si>
  <si>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</si>
  <si>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</si>
  <si>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</si>
  <si>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</si>
  <si>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</si>
  <si>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</si>
  <si>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</si>
  <si>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</si>
  <si>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</si>
  <si>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</si>
  <si>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</si>
  <si>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</si>
  <si>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</si>
  <si>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</si>
  <si>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</si>
  <si>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</si>
  <si>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</si>
  <si>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</si>
  <si>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</si>
  <si>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</si>
  <si>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</si>
  <si>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</si>
  <si>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</si>
  <si>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</si>
  <si>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</si>
  <si>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</si>
  <si>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</si>
  <si>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</si>
  <si>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</si>
  <si>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</si>
  <si>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</si>
  <si>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</si>
  <si>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</si>
  <si>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</si>
  <si>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</si>
  <si>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</si>
  <si>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</si>
  <si>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</si>
  <si>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</si>
  <si>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</si>
  <si>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</si>
  <si>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</si>
  <si>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</si>
  <si>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</si>
  <si>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</si>
  <si>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</si>
  <si>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</si>
  <si>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</si>
  <si>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</si>
  <si>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</si>
  <si>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</si>
  <si>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</si>
  <si>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</si>
  <si>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</si>
  <si>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</si>
  <si>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</si>
  <si>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</si>
  <si>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</si>
  <si>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</si>
  <si>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</si>
  <si>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</si>
  <si>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</si>
  <si>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</si>
  <si>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</si>
  <si>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</si>
  <si>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</si>
  <si>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</si>
  <si>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</si>
  <si>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</si>
  <si>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</si>
  <si>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</si>
  <si>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</si>
  <si>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</si>
  <si>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</si>
  <si>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</si>
  <si>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</si>
  <si>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</si>
  <si>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</si>
  <si>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</si>
  <si>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</si>
  <si>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</si>
  <si>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</si>
  <si>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</si>
  <si>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</si>
  <si>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</si>
  <si>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</si>
  <si>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</si>
  <si>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</si>
  <si>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</si>
  <si>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</si>
  <si>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</si>
  <si>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</si>
  <si>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</si>
  <si>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</si>
  <si>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</si>
  <si>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</si>
  <si>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</si>
  <si>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</si>
  <si>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</si>
  <si>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</si>
  <si>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</si>
  <si>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</si>
  <si>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</si>
  <si>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</si>
  <si>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</si>
  <si>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</si>
  <si>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</si>
  <si>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</si>
  <si>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</si>
  <si>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</si>
  <si>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</si>
  <si>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</si>
  <si>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</si>
  <si>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</si>
  <si>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</si>
  <si>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</si>
  <si>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</si>
  <si>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</si>
  <si>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</si>
  <si>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</si>
  <si>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</si>
  <si>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</si>
  <si>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</si>
  <si>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</si>
  <si>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</si>
  <si>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</si>
  <si>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</si>
  <si>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</si>
  <si>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</si>
  <si>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</si>
  <si>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</si>
  <si>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</si>
  <si>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</si>
  <si>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</si>
  <si>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</si>
  <si>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</si>
  <si>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</si>
  <si>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</si>
  <si>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</si>
  <si>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</si>
  <si>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</si>
  <si>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</si>
  <si>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</si>
  <si>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</si>
  <si>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</si>
  <si>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</si>
  <si>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</si>
  <si>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</si>
  <si>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</si>
  <si>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</si>
  <si>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</si>
  <si>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</si>
  <si>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</si>
  <si>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</si>
  <si>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</si>
  <si>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</si>
  <si>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</si>
  <si>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</si>
  <si>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</si>
  <si>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</si>
  <si>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</si>
  <si>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</si>
  <si>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</si>
  <si>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</si>
  <si>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</si>
  <si>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</si>
  <si>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</si>
  <si>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</si>
  <si>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</si>
  <si>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</si>
  <si>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</si>
  <si>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</si>
  <si>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</si>
  <si>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</si>
  <si>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</si>
  <si>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</si>
  <si>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</si>
  <si>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</si>
  <si>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</si>
  <si>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</si>
  <si>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</si>
  <si>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</si>
  <si>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</si>
  <si>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</si>
  <si>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</si>
  <si>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</si>
  <si>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</si>
  <si>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</si>
  <si>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</si>
  <si>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</si>
  <si>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</si>
  <si>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</si>
  <si>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</si>
  <si>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</si>
  <si>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</si>
  <si>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</si>
  <si>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</si>
  <si>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</si>
  <si>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</si>
  <si>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</si>
  <si>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</si>
  <si>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</si>
  <si>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</si>
  <si>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</si>
  <si>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</si>
  <si>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</si>
  <si>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</si>
  <si>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</si>
  <si>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</si>
  <si>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</si>
  <si>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</si>
  <si>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</si>
  <si>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</si>
  <si>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</si>
  <si>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</si>
  <si>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</si>
  <si>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</si>
  <si>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</si>
  <si>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</si>
  <si>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</si>
  <si>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</si>
  <si>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</si>
  <si>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</si>
  <si>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</si>
  <si>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</si>
  <si>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</si>
  <si>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</si>
  <si>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</si>
  <si>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</si>
  <si>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</si>
  <si>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</si>
  <si>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</si>
  <si>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</si>
  <si>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</si>
  <si>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</si>
  <si>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</si>
  <si>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</si>
  <si>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</si>
  <si>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</si>
  <si>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</si>
  <si>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</si>
  <si>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</si>
  <si>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</si>
  <si>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</si>
  <si>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</si>
  <si>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</si>
  <si>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</si>
  <si>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</si>
  <si>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</si>
  <si>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</si>
  <si>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</si>
  <si>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</si>
  <si>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</si>
  <si>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</si>
  <si>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</si>
  <si>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</si>
  <si>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</si>
  <si>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</si>
  <si>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</si>
  <si>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</si>
  <si>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</si>
  <si>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</si>
  <si>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</si>
  <si>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</si>
  <si>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</si>
  <si>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</si>
  <si>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</si>
  <si>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</si>
  <si>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</si>
  <si>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</si>
  <si>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</si>
  <si>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</si>
  <si>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</si>
  <si>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</si>
  <si>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</si>
  <si>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</si>
  <si>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</si>
  <si>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</si>
  <si>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</si>
  <si>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</si>
  <si>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</si>
  <si>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</si>
  <si>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</si>
  <si>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</si>
  <si>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</si>
  <si>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</si>
  <si>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</si>
  <si>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</si>
  <si>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</si>
  <si>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</si>
  <si>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</si>
  <si>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</si>
  <si>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</si>
  <si>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</si>
  <si>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</si>
  <si>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</si>
  <si>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</si>
  <si>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</si>
  <si>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</si>
  <si>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</si>
  <si>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</si>
  <si>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</si>
  <si>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</si>
  <si>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</si>
  <si>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</si>
  <si>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</si>
  <si>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</si>
  <si>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</si>
  <si>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</si>
  <si>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</si>
  <si>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</si>
  <si>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</si>
  <si>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</si>
  <si>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</si>
  <si>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</si>
  <si>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</si>
  <si>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</si>
  <si>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</si>
  <si>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</si>
  <si>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</si>
  <si>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</si>
  <si>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</si>
  <si>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</si>
  <si>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</si>
  <si>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</si>
  <si>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</si>
  <si>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</si>
  <si>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</si>
  <si>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</si>
  <si>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</si>
  <si>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</si>
  <si>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</si>
  <si>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</si>
  <si>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</si>
  <si>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</si>
  <si>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</si>
  <si>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</si>
  <si>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</si>
  <si>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</si>
  <si>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</si>
  <si>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</si>
  <si>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</si>
  <si>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</si>
  <si>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</si>
  <si>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</si>
  <si>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</si>
  <si>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</si>
  <si>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DENNIS ROSE</t>
  </si>
  <si>
    <t>DENNIS ROSE &amp; ASSOCIATES, P.C.</t>
  </si>
  <si>
    <t xml:space="preserve">1904 STATE STREET </t>
  </si>
  <si>
    <t>ALTON</t>
  </si>
  <si>
    <t>IL</t>
  </si>
  <si>
    <t>618-465-4999</t>
  </si>
  <si>
    <t>618-465-5050</t>
  </si>
  <si>
    <t>066-005060</t>
  </si>
  <si>
    <t>DROSECPA@DRA-CPA.COM</t>
  </si>
  <si>
    <t>ST. CLAIR</t>
  </si>
  <si>
    <t>2465 AMANN DR.</t>
  </si>
  <si>
    <t>BELLEVILLE</t>
  </si>
  <si>
    <t>BUILDING AMERICA BONDS, 2009A</t>
  </si>
  <si>
    <t>GO REFUNDING SCHOOL BONDS, SERIES 2017</t>
  </si>
  <si>
    <t>x</t>
  </si>
  <si>
    <t>BELLEVILLE AREA SPECIAL SERVICES COOPERATIVE (BASSC)</t>
  </si>
  <si>
    <t>EXPRESS MEDICAL TRANSPORT</t>
  </si>
  <si>
    <t>NONE</t>
  </si>
  <si>
    <t>1. R9-14 A/C 1993 ED FUND $90869 EXTENDED SCHOOL FEES</t>
  </si>
  <si>
    <t>2. R9-14 A/C 1999 ED FUND - SAFB GRANT, OTHER</t>
  </si>
  <si>
    <t>3. R9-14 A/C 1999 O&amp;M FUND - OTHER</t>
  </si>
  <si>
    <t>4. R9-14 A/C 1999 TRANS FUND - OTHER</t>
  </si>
  <si>
    <t>5. R9-14 A/C 1999 IMRF FUND - OTHER</t>
  </si>
  <si>
    <t>6. R9-14 A/C 1999 TORT FUND - OTHER</t>
  </si>
  <si>
    <t>7. R9-14 A/C 3999 ED FUND - OTHER</t>
  </si>
  <si>
    <t>8. R9-14 A/C 4299 ED FUND - COMMODITIES</t>
  </si>
  <si>
    <t>VALUE OF COMMODITIES</t>
  </si>
  <si>
    <t>The accompanying Schedule of Expenditures of Federal Awards includes the federal grant activity of Belle Valley School District No. 119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</si>
  <si>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r>
      <t xml:space="preserve">Of the federal expenditures presented in the schedule, </t>
    </r>
    <r>
      <rPr>
        <b/>
        <sz val="9"/>
        <rFont val="Calibri"/>
        <family val="2"/>
        <scheme val="minor"/>
      </rPr>
      <t>Belle Valley SD No. 119</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</si>
  <si>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Belle Valley School District No. 119</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</si>
  <si>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ADVERSE</t>
  </si>
  <si>
    <t>UNMODIFIED</t>
  </si>
  <si>
    <t>U.S. DEPARTMENT OF EDUCATION:</t>
  </si>
  <si>
    <t>PASS THROUGH FROM THE ILLINOIS STATE BOARD OF EDUCATION:</t>
  </si>
  <si>
    <t>84.010A</t>
  </si>
  <si>
    <t>2017-4300-00</t>
  </si>
  <si>
    <t>2018-4300-00</t>
  </si>
  <si>
    <t>TITLE II - TEACHER QUALITY</t>
  </si>
  <si>
    <t>84.367A</t>
  </si>
  <si>
    <t>2017-4932-00</t>
  </si>
  <si>
    <t>2018-4932-00</t>
  </si>
  <si>
    <t>FED SP ED I.D.E.A. ROOM &amp; BOARD</t>
  </si>
  <si>
    <t>84.027A</t>
  </si>
  <si>
    <t>2017-4625-00</t>
  </si>
  <si>
    <t>I.D.E.A. PART B THROUGH 94-142 FLOW THROUGH</t>
  </si>
  <si>
    <t>2017-4620</t>
  </si>
  <si>
    <t>2018-4620</t>
  </si>
  <si>
    <t>I.D.E.A. PART B THROUGH 94-142 PRE-SCHOOL</t>
  </si>
  <si>
    <t>2018-4600</t>
  </si>
  <si>
    <t>DIRECT PROGRAMS:</t>
  </si>
  <si>
    <t>TITLE VIII - IMPACT AID</t>
  </si>
  <si>
    <t>23-IL-2016</t>
  </si>
  <si>
    <t>23-IL-2018</t>
  </si>
  <si>
    <t>TOTAL U.S. DEPARTMENT OF EDUCATION</t>
  </si>
  <si>
    <t>U.S. DEPARTMENT OF HEALTH &amp; HUMAN SERVICES:</t>
  </si>
  <si>
    <t>PASS THROUGH STATE OF ILLINOIS DEPARTMENT OF HEALTHCARE AND FAMILY SERVICES:</t>
  </si>
  <si>
    <t>MEDICAID MATCHING</t>
  </si>
  <si>
    <t>U.S. DEPARTMENT OF AGRICULTURE:</t>
  </si>
  <si>
    <t>2017-4210-00</t>
  </si>
  <si>
    <t>2018-4210-00</t>
  </si>
  <si>
    <t>2017-4220-00</t>
  </si>
  <si>
    <t>2018-4220-00</t>
  </si>
  <si>
    <t>2018-4299-00</t>
  </si>
  <si>
    <t>TOTAL U.S. DEPARTMENT OF AGRICULTURE</t>
  </si>
  <si>
    <t>U.S. DEPARTMENT OF DEFENSE:</t>
  </si>
  <si>
    <t>TOTAL FEDERAL PROGRAMS</t>
  </si>
  <si>
    <t>INFORMATIONAL ONLY</t>
  </si>
  <si>
    <t>TOTAL CFDA 84.010A</t>
  </si>
  <si>
    <t>TOTAL CFDA 84.367A</t>
  </si>
  <si>
    <t>TOTAL CFDA 84.027</t>
  </si>
  <si>
    <t>TOTAL CFDA 84.041</t>
  </si>
  <si>
    <t>TOTAL CFDA 10.555</t>
  </si>
  <si>
    <t>TOTAL CFDA 10.553</t>
  </si>
  <si>
    <t>TOTAL CFDA 93.778</t>
  </si>
  <si>
    <t>TOTAL CFDA 84.027A</t>
  </si>
  <si>
    <t>TOTAL OF ALL CFDAS</t>
  </si>
  <si>
    <t>PASS THROUGH BELLEVILLE AREA SPECIAL SERVICES COOPERATIVE:</t>
  </si>
  <si>
    <t xml:space="preserve">TITLE I - LOW INCOME     (M)     </t>
  </si>
  <si>
    <t>NATIONAL SCHOOL LUNCH PROGRAM   (M)</t>
  </si>
  <si>
    <t>SCHOOL BREAKFAST PROGRAM                  (M)</t>
  </si>
  <si>
    <t>COMMODITIES (NON-CASH ASSISTANCE)  (M)</t>
  </si>
  <si>
    <t xml:space="preserve">   TOTAL ILLINOIS STATE BOARD OF EDUCATION</t>
  </si>
  <si>
    <t xml:space="preserve">   TOTAL BELLEVILLE AREA SPECIAL SERVICES    COOPERATIVE</t>
  </si>
  <si>
    <t>CLUSTER PROGRAMS:</t>
  </si>
  <si>
    <t>10.553, 10.555</t>
  </si>
  <si>
    <t>OTHER</t>
  </si>
  <si>
    <t>00-0000-000</t>
  </si>
  <si>
    <t>Title I</t>
  </si>
  <si>
    <t>10.553,10.555</t>
  </si>
  <si>
    <t>Child nutrition</t>
  </si>
  <si>
    <t>RDGALE@BV119.NET</t>
  </si>
  <si>
    <t>BUILD AMERICA BOND INTEREST</t>
  </si>
  <si>
    <t>Belle Valley SD 119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</si>
</sst>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5">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27666732-0438-4960-97AB-2DAC4DA106F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1" t="s">
        <v>425</v>
      </c>
      <c r="J1" s="2002"/>
      <c r="K1" s="2002"/>
      <c r="L1" s="2002"/>
      <c r="M1" s="2002"/>
      <c r="N1" s="2002"/>
      <c r="O1" s="2002"/>
      <c r="P1" s="2002"/>
      <c r="Q1" s="2002"/>
      <c r="R1" s="2002"/>
      <c r="S1" s="2002"/>
    </row>
    <row r="2" spans="1:28" ht="12" customHeight="1" x14ac:dyDescent="0.2">
      <c r="A2" s="47" t="s">
        <v>1684</v>
      </c>
      <c r="D2" s="48"/>
      <c r="I2" s="2003" t="s">
        <v>1036</v>
      </c>
      <c r="J2" s="2002"/>
      <c r="K2" s="2002"/>
      <c r="L2" s="2002"/>
      <c r="M2" s="2002"/>
      <c r="N2" s="2002"/>
      <c r="O2" s="2002"/>
      <c r="P2" s="2002"/>
      <c r="Q2" s="2002"/>
      <c r="R2" s="2002"/>
      <c r="S2" s="2002"/>
    </row>
    <row r="3" spans="1:28" ht="12" customHeight="1" x14ac:dyDescent="0.2">
      <c r="A3" s="155" t="s">
        <v>1685</v>
      </c>
      <c r="B3" s="156"/>
      <c r="C3" s="156"/>
      <c r="D3" s="157"/>
      <c r="I3" s="2003" t="s">
        <v>54</v>
      </c>
      <c r="J3" s="2002"/>
      <c r="K3" s="2002"/>
      <c r="L3" s="2002"/>
      <c r="M3" s="2002"/>
      <c r="N3" s="2002"/>
      <c r="O3" s="2002"/>
      <c r="P3" s="2002"/>
      <c r="Q3" s="2002"/>
      <c r="R3" s="2002"/>
      <c r="S3" s="2002"/>
    </row>
    <row r="4" spans="1:28" ht="12" customHeight="1" x14ac:dyDescent="0.2">
      <c r="A4" s="37"/>
      <c r="I4" s="2003" t="s">
        <v>545</v>
      </c>
      <c r="J4" s="2002"/>
      <c r="K4" s="2002"/>
      <c r="L4" s="2002"/>
      <c r="M4" s="2002"/>
      <c r="N4" s="2002"/>
      <c r="O4" s="2002"/>
      <c r="P4" s="2002"/>
      <c r="Q4" s="2002"/>
      <c r="R4" s="2002"/>
      <c r="S4" s="2002"/>
    </row>
    <row r="5" spans="1:28" ht="14.1" customHeight="1" x14ac:dyDescent="0.2">
      <c r="B5" s="104" t="s">
        <v>2074</v>
      </c>
      <c r="C5" s="26" t="s">
        <v>966</v>
      </c>
      <c r="D5" s="84"/>
      <c r="E5" s="84"/>
      <c r="H5" s="38"/>
      <c r="I5" s="2011" t="s">
        <v>701</v>
      </c>
      <c r="J5" s="2010"/>
      <c r="K5" s="2010"/>
      <c r="L5" s="2010"/>
      <c r="M5" s="2010"/>
      <c r="N5" s="2010"/>
      <c r="O5" s="2010"/>
      <c r="P5" s="2010"/>
      <c r="Q5" s="2010"/>
      <c r="R5" s="2010"/>
      <c r="S5" s="2010"/>
    </row>
    <row r="6" spans="1:28" ht="14.1" customHeight="1" x14ac:dyDescent="0.2">
      <c r="B6" s="104"/>
      <c r="C6" s="26" t="s">
        <v>967</v>
      </c>
      <c r="D6" s="84"/>
      <c r="E6" s="84"/>
      <c r="I6" s="2009" t="s">
        <v>938</v>
      </c>
      <c r="J6" s="2010"/>
      <c r="K6" s="2010"/>
      <c r="L6" s="2010"/>
      <c r="M6" s="2010"/>
      <c r="N6" s="2010"/>
      <c r="O6" s="2010"/>
      <c r="P6" s="2010"/>
      <c r="Q6" s="2010"/>
      <c r="R6" s="2010"/>
      <c r="S6" s="2010"/>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695</v>
      </c>
      <c r="J9" s="2007"/>
      <c r="K9" s="2007"/>
      <c r="L9" s="2007"/>
      <c r="M9" s="2007"/>
      <c r="N9" s="2007"/>
      <c r="O9" s="2007"/>
      <c r="P9" s="2007"/>
      <c r="Q9" s="2007"/>
      <c r="R9" s="2007"/>
      <c r="S9" s="2008"/>
      <c r="T9" s="2022" t="s">
        <v>554</v>
      </c>
      <c r="U9" s="2023"/>
      <c r="V9" s="2023"/>
      <c r="W9" s="2023"/>
      <c r="X9" s="2023"/>
      <c r="Y9" s="2023"/>
      <c r="Z9" s="2023"/>
      <c r="AA9" s="2024"/>
    </row>
    <row r="10" spans="1:28" ht="13.5" customHeight="1" x14ac:dyDescent="0.2">
      <c r="A10" s="2029" t="s">
        <v>696</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1012</v>
      </c>
      <c r="B11" s="2033"/>
      <c r="C11" s="2033"/>
      <c r="D11" s="2033"/>
      <c r="E11" s="2033"/>
      <c r="F11" s="2033"/>
      <c r="G11" s="2033"/>
      <c r="H11" s="2034"/>
      <c r="I11" s="27"/>
      <c r="J11" s="74"/>
      <c r="K11" s="27"/>
      <c r="O11" s="148" t="s">
        <v>2074</v>
      </c>
      <c r="P11" s="100" t="s">
        <v>210</v>
      </c>
      <c r="Q11" s="30"/>
      <c r="R11" s="28"/>
      <c r="S11" s="27"/>
      <c r="T11" s="2026"/>
      <c r="U11" s="2027"/>
      <c r="V11" s="2027"/>
      <c r="W11" s="2027"/>
      <c r="X11" s="2027"/>
      <c r="Y11" s="2027"/>
      <c r="Z11" s="2027"/>
      <c r="AA11" s="202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6">
        <v>50082119002</v>
      </c>
      <c r="B13" s="2037"/>
      <c r="C13" s="2037"/>
      <c r="D13" s="2037"/>
      <c r="E13" s="2037"/>
      <c r="F13" s="2037"/>
      <c r="G13" s="2037"/>
      <c r="H13" s="2038"/>
      <c r="I13" s="31"/>
      <c r="J13" s="30"/>
      <c r="K13" s="28"/>
      <c r="L13" s="30"/>
      <c r="M13" s="30"/>
      <c r="N13" s="30"/>
      <c r="O13" s="30"/>
      <c r="P13" s="30"/>
      <c r="Q13" s="30"/>
      <c r="R13" s="30"/>
      <c r="S13" s="30"/>
      <c r="T13" s="2041" t="s">
        <v>2076</v>
      </c>
      <c r="U13" s="2042"/>
      <c r="V13" s="2042"/>
      <c r="W13" s="2042"/>
      <c r="X13" s="2042"/>
      <c r="Y13" s="2043"/>
      <c r="Z13" s="2043"/>
      <c r="AA13" s="204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5" t="s">
        <v>2084</v>
      </c>
      <c r="B15" s="2039"/>
      <c r="C15" s="2039"/>
      <c r="D15" s="2039"/>
      <c r="E15" s="2039"/>
      <c r="F15" s="2039"/>
      <c r="G15" s="2039"/>
      <c r="H15" s="2040"/>
      <c r="T15" s="2045" t="s">
        <v>2075</v>
      </c>
      <c r="U15" s="1989"/>
      <c r="V15" s="1989"/>
      <c r="W15" s="1989"/>
      <c r="X15" s="1989"/>
      <c r="Y15" s="2046"/>
      <c r="Z15" s="2046"/>
      <c r="AA15" s="204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5" t="s">
        <v>2167</v>
      </c>
      <c r="B17" s="1996"/>
      <c r="C17" s="1996"/>
      <c r="D17" s="1996"/>
      <c r="E17" s="1996"/>
      <c r="F17" s="1996"/>
      <c r="G17" s="1996"/>
      <c r="H17" s="2021"/>
      <c r="T17" s="2052" t="s">
        <v>2077</v>
      </c>
      <c r="U17" s="2053"/>
      <c r="V17" s="2053"/>
      <c r="W17" s="2053"/>
      <c r="X17" s="2053"/>
      <c r="Y17" s="2053"/>
      <c r="Z17" s="2053"/>
      <c r="AA17" s="2054"/>
    </row>
    <row r="18" spans="1:27" ht="13.5" customHeight="1" x14ac:dyDescent="0.2">
      <c r="A18" s="85" t="s">
        <v>551</v>
      </c>
      <c r="B18" s="76"/>
      <c r="C18" s="72"/>
      <c r="D18" s="76"/>
      <c r="E18" s="76"/>
      <c r="F18" s="76"/>
      <c r="G18" s="76"/>
      <c r="H18" s="56"/>
      <c r="I18" s="2020" t="s">
        <v>697</v>
      </c>
      <c r="J18" s="1971"/>
      <c r="K18" s="1971"/>
      <c r="L18" s="1971"/>
      <c r="M18" s="1971"/>
      <c r="N18" s="1971"/>
      <c r="O18" s="1971"/>
      <c r="P18" s="1971"/>
      <c r="Q18" s="1971"/>
      <c r="R18" s="1971"/>
      <c r="S18" s="1972"/>
      <c r="T18" s="85" t="s">
        <v>735</v>
      </c>
      <c r="U18" s="51"/>
      <c r="V18" s="72"/>
      <c r="W18" s="50"/>
      <c r="X18" s="85" t="s">
        <v>284</v>
      </c>
      <c r="Y18" s="81"/>
      <c r="Z18" s="159" t="s">
        <v>698</v>
      </c>
      <c r="AA18" s="46"/>
    </row>
    <row r="19" spans="1:27" ht="13.5" customHeight="1" x14ac:dyDescent="0.2">
      <c r="A19" s="2035" t="s">
        <v>2085</v>
      </c>
      <c r="B19" s="1981"/>
      <c r="C19" s="1981"/>
      <c r="D19" s="1981"/>
      <c r="E19" s="1981"/>
      <c r="F19" s="1981"/>
      <c r="G19" s="1981"/>
      <c r="H19" s="1961"/>
      <c r="I19" s="30"/>
      <c r="J19" s="99"/>
      <c r="K19" s="40"/>
      <c r="L19" s="38"/>
      <c r="M19" s="112" t="s">
        <v>333</v>
      </c>
      <c r="P19" s="27"/>
      <c r="Q19" s="27"/>
      <c r="R19" s="27"/>
      <c r="S19" s="31"/>
      <c r="T19" s="2035" t="s">
        <v>2078</v>
      </c>
      <c r="U19" s="1960"/>
      <c r="V19" s="1960"/>
      <c r="W19" s="1961"/>
      <c r="X19" s="2050" t="s">
        <v>2079</v>
      </c>
      <c r="Y19" s="2051"/>
      <c r="Z19" s="2048">
        <v>62002</v>
      </c>
      <c r="AA19" s="204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9" t="s">
        <v>2086</v>
      </c>
      <c r="B21" s="1960"/>
      <c r="C21" s="1960"/>
      <c r="D21" s="1960"/>
      <c r="E21" s="1960"/>
      <c r="F21" s="1960"/>
      <c r="G21" s="1960"/>
      <c r="H21" s="1961"/>
      <c r="I21" s="2015" t="s">
        <v>699</v>
      </c>
      <c r="J21" s="2010"/>
      <c r="K21" s="2010"/>
      <c r="L21" s="2010"/>
      <c r="M21" s="2010"/>
      <c r="N21" s="2010"/>
      <c r="O21" s="2010"/>
      <c r="P21" s="2010"/>
      <c r="Q21" s="2010"/>
      <c r="R21" s="2010"/>
      <c r="S21" s="2016"/>
      <c r="T21" s="2059" t="s">
        <v>2080</v>
      </c>
      <c r="U21" s="2060"/>
      <c r="V21" s="2060"/>
      <c r="W21" s="2060"/>
      <c r="X21" s="2065" t="s">
        <v>2081</v>
      </c>
      <c r="Y21" s="2066"/>
      <c r="Z21" s="2066"/>
      <c r="AA21" s="2067"/>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1596</v>
      </c>
      <c r="U22" s="51"/>
      <c r="V22" s="72"/>
      <c r="W22" s="51"/>
      <c r="X22" s="160" t="s">
        <v>1385</v>
      </c>
      <c r="Z22" s="45"/>
      <c r="AA22" s="46"/>
    </row>
    <row r="23" spans="1:27" ht="13.5" customHeight="1" x14ac:dyDescent="0.2">
      <c r="A23" s="2012" t="s">
        <v>2165</v>
      </c>
      <c r="B23" s="2013"/>
      <c r="C23" s="2013"/>
      <c r="D23" s="2013"/>
      <c r="E23" s="2013"/>
      <c r="F23" s="2013"/>
      <c r="G23" s="2013"/>
      <c r="H23" s="2014"/>
      <c r="T23" s="1995" t="s">
        <v>2082</v>
      </c>
      <c r="U23" s="2058"/>
      <c r="V23" s="2058"/>
      <c r="W23" s="2058"/>
      <c r="X23" s="2062">
        <v>43434</v>
      </c>
      <c r="Y23" s="2063"/>
      <c r="Z23" s="2063"/>
      <c r="AA23" s="2064"/>
    </row>
    <row r="24" spans="1:27" ht="14.1" customHeight="1" x14ac:dyDescent="0.2">
      <c r="A24" s="88" t="s">
        <v>698</v>
      </c>
      <c r="B24" s="49"/>
      <c r="C24" s="49"/>
      <c r="D24" s="49"/>
      <c r="E24" s="49"/>
      <c r="F24" s="49"/>
      <c r="G24" s="49"/>
      <c r="H24" s="61"/>
      <c r="J24" s="1982">
        <f>IF(B5="x",IF(AUDITCHECK!D29="AFR form Incomplete.","",IF(AUDITCHECK!D29="Deficit reduction plan is required.","School District must complete a deficit reduction plan in the 2018-2019 Budget",)),"")</f>
        <v>0</v>
      </c>
      <c r="K24" s="1982"/>
      <c r="L24" s="1982"/>
      <c r="M24" s="1982"/>
      <c r="N24" s="1982"/>
      <c r="O24" s="1982"/>
      <c r="P24" s="1982"/>
      <c r="Q24" s="1982"/>
      <c r="R24" s="1982"/>
      <c r="S24" s="1983"/>
      <c r="T24" s="105" t="s">
        <v>552</v>
      </c>
      <c r="U24" s="106"/>
      <c r="V24" s="106"/>
      <c r="W24" s="106"/>
      <c r="X24" s="107"/>
      <c r="Y24" s="107"/>
      <c r="Z24" s="107"/>
      <c r="AA24" s="108"/>
    </row>
    <row r="25" spans="1:27" ht="14.1" customHeight="1" x14ac:dyDescent="0.2">
      <c r="A25" s="1959">
        <v>62220</v>
      </c>
      <c r="B25" s="1960"/>
      <c r="C25" s="1960"/>
      <c r="D25" s="1960"/>
      <c r="E25" s="1960"/>
      <c r="F25" s="1960"/>
      <c r="G25" s="1960"/>
      <c r="H25" s="1961"/>
      <c r="I25" s="113"/>
      <c r="J25" s="1984"/>
      <c r="K25" s="1984"/>
      <c r="L25" s="1984"/>
      <c r="M25" s="1984"/>
      <c r="N25" s="1984"/>
      <c r="O25" s="1984"/>
      <c r="P25" s="1984"/>
      <c r="Q25" s="1984"/>
      <c r="R25" s="1984"/>
      <c r="S25" s="1985"/>
      <c r="T25" s="2055" t="s">
        <v>2083</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0" t="s">
        <v>1591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2074</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2074</v>
      </c>
      <c r="C30" s="124" t="s">
        <v>1226</v>
      </c>
      <c r="D30" s="28"/>
      <c r="E30" s="28"/>
      <c r="F30" s="140"/>
      <c r="G30" s="114"/>
      <c r="H30" s="114"/>
      <c r="I30" s="54"/>
      <c r="J30" s="148" t="s">
        <v>2074</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2074</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5"/>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552</v>
      </c>
      <c r="B39" s="1966"/>
      <c r="C39" s="72"/>
      <c r="D39" s="69"/>
      <c r="E39" s="69"/>
      <c r="F39" s="79"/>
      <c r="G39" s="69"/>
      <c r="H39" s="56"/>
      <c r="I39" s="1965" t="s">
        <v>552</v>
      </c>
      <c r="J39" s="1966"/>
      <c r="K39" s="1966"/>
      <c r="L39" s="1966"/>
      <c r="M39" s="1966"/>
      <c r="N39" s="67"/>
      <c r="O39" s="72"/>
      <c r="P39" s="72"/>
      <c r="Q39" s="78"/>
      <c r="R39" s="72"/>
      <c r="S39" s="56"/>
      <c r="T39" s="72" t="s">
        <v>552</v>
      </c>
      <c r="U39" s="51"/>
      <c r="V39" s="72"/>
      <c r="W39" s="50"/>
      <c r="X39" s="78"/>
      <c r="Y39" s="45"/>
      <c r="Z39" s="45"/>
      <c r="AA39" s="46"/>
    </row>
    <row r="40" spans="1:27" ht="13.5" customHeight="1" x14ac:dyDescent="0.2">
      <c r="A40" s="1973"/>
      <c r="B40" s="1974"/>
      <c r="C40" s="1975"/>
      <c r="D40" s="1975"/>
      <c r="E40" s="1975"/>
      <c r="F40" s="1976"/>
      <c r="G40" s="1976"/>
      <c r="H40" s="1977"/>
      <c r="I40" s="1998"/>
      <c r="J40" s="1999"/>
      <c r="K40" s="1999"/>
      <c r="L40" s="1999"/>
      <c r="M40" s="1999"/>
      <c r="N40" s="1999"/>
      <c r="O40" s="1999"/>
      <c r="P40" s="1999"/>
      <c r="Q40" s="1999"/>
      <c r="R40" s="1999"/>
      <c r="S40" s="2000"/>
      <c r="T40" s="1998"/>
      <c r="U40" s="2061"/>
      <c r="V40" s="1999"/>
      <c r="W40" s="1999"/>
      <c r="X40" s="1999"/>
      <c r="Y40" s="1999"/>
      <c r="Z40" s="1999"/>
      <c r="AA40" s="200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7"/>
      <c r="B42" s="1979"/>
      <c r="C42" s="1980"/>
      <c r="D42" s="1978"/>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rintOptions horizontalCentered="1"/>
  <pageMargins left="0.75" right="0.75" top="1" bottom="0.5" header="0.5" footer="0.5"/>
  <pageSetup scale="67" orientation="landscape" r:id="rId3"/>
  <headerFooter>
    <oddFooter>&amp;C&amp;"Times New Roman,Regular"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B14" sqref="B14"/>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1902</v>
      </c>
      <c r="B2" s="1550" t="s">
        <v>2034</v>
      </c>
      <c r="C2" s="715" t="s">
        <v>1907</v>
      </c>
      <c r="D2" s="715" t="s">
        <v>1908</v>
      </c>
      <c r="E2" s="715" t="s">
        <v>1909</v>
      </c>
      <c r="F2" s="715" t="s">
        <v>1910</v>
      </c>
    </row>
    <row r="3" spans="1:6" ht="12" customHeight="1" x14ac:dyDescent="0.2">
      <c r="A3" s="2202"/>
      <c r="B3" s="1547"/>
      <c r="C3" s="1548"/>
      <c r="D3" s="1549" t="s">
        <v>274</v>
      </c>
      <c r="E3" s="1548"/>
      <c r="F3" s="1549" t="s">
        <v>275</v>
      </c>
    </row>
    <row r="4" spans="1:6" ht="13.7" customHeight="1" x14ac:dyDescent="0.2">
      <c r="A4" s="716" t="s">
        <v>1217</v>
      </c>
      <c r="B4" s="1771">
        <f>'Revenues 9-14'!C5</f>
        <v>2051293</v>
      </c>
      <c r="C4" s="1546">
        <v>528236</v>
      </c>
      <c r="D4" s="1774">
        <f>B4-C4</f>
        <v>1523057</v>
      </c>
      <c r="E4" s="1546">
        <v>2218468</v>
      </c>
      <c r="F4" s="1774">
        <f>E4-C4</f>
        <v>1690232</v>
      </c>
    </row>
    <row r="5" spans="1:6" ht="13.7" customHeight="1" x14ac:dyDescent="0.2">
      <c r="A5" s="716" t="s">
        <v>925</v>
      </c>
      <c r="B5" s="1772">
        <f>'Revenues 9-14'!D5</f>
        <v>360780</v>
      </c>
      <c r="C5" s="585">
        <v>92906</v>
      </c>
      <c r="D5" s="1775">
        <f t="shared" ref="D5:D18" si="0">B5-C5</f>
        <v>267874</v>
      </c>
      <c r="E5" s="585">
        <v>390183</v>
      </c>
      <c r="F5" s="1775">
        <f>E5-C5</f>
        <v>297277</v>
      </c>
    </row>
    <row r="6" spans="1:6" ht="13.7" customHeight="1" x14ac:dyDescent="0.2">
      <c r="A6" s="716" t="s">
        <v>431</v>
      </c>
      <c r="B6" s="1772">
        <f>'Revenues 9-14'!E5</f>
        <v>2175492</v>
      </c>
      <c r="C6" s="585">
        <v>557992</v>
      </c>
      <c r="D6" s="1775">
        <f t="shared" si="0"/>
        <v>1617500</v>
      </c>
      <c r="E6" s="585">
        <v>2343438</v>
      </c>
      <c r="F6" s="1775">
        <f t="shared" ref="F6:F18" si="1">E6-C6</f>
        <v>1785446</v>
      </c>
    </row>
    <row r="7" spans="1:6" ht="13.7" customHeight="1" x14ac:dyDescent="0.2">
      <c r="A7" s="716" t="s">
        <v>157</v>
      </c>
      <c r="B7" s="1772">
        <f>'Revenues 9-14'!F5</f>
        <v>123697</v>
      </c>
      <c r="C7" s="585">
        <v>31853</v>
      </c>
      <c r="D7" s="1775">
        <f t="shared" si="0"/>
        <v>91844</v>
      </c>
      <c r="E7" s="585">
        <v>133777</v>
      </c>
      <c r="F7" s="1775">
        <f t="shared" si="1"/>
        <v>101924</v>
      </c>
    </row>
    <row r="8" spans="1:6" ht="13.7" customHeight="1" x14ac:dyDescent="0.2">
      <c r="A8" s="716" t="s">
        <v>1241</v>
      </c>
      <c r="B8" s="1772">
        <f>'Revenues 9-14'!G5</f>
        <v>170285</v>
      </c>
      <c r="C8" s="585">
        <v>42471</v>
      </c>
      <c r="D8" s="1775">
        <f t="shared" si="0"/>
        <v>127814</v>
      </c>
      <c r="E8" s="585">
        <v>178369</v>
      </c>
      <c r="F8" s="1775">
        <f t="shared" si="1"/>
        <v>135898</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51539</v>
      </c>
      <c r="C10" s="585">
        <v>13272</v>
      </c>
      <c r="D10" s="1775">
        <f t="shared" si="0"/>
        <v>38267</v>
      </c>
      <c r="E10" s="585">
        <v>55740</v>
      </c>
      <c r="F10" s="1775">
        <f t="shared" si="1"/>
        <v>42468</v>
      </c>
    </row>
    <row r="11" spans="1:6" x14ac:dyDescent="0.2">
      <c r="A11" s="716" t="s">
        <v>429</v>
      </c>
      <c r="B11" s="1772">
        <f>'Revenues 9-14'!J5</f>
        <v>259808</v>
      </c>
      <c r="C11" s="585">
        <v>61504</v>
      </c>
      <c r="D11" s="1775">
        <f t="shared" si="0"/>
        <v>198304</v>
      </c>
      <c r="E11" s="585">
        <v>258301</v>
      </c>
      <c r="F11" s="1775">
        <f t="shared" si="1"/>
        <v>196797</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51459</v>
      </c>
      <c r="C13" s="585">
        <v>13192</v>
      </c>
      <c r="D13" s="1775">
        <f t="shared" si="0"/>
        <v>38267</v>
      </c>
      <c r="E13" s="585">
        <v>55406</v>
      </c>
      <c r="F13" s="1775">
        <f t="shared" si="1"/>
        <v>42214</v>
      </c>
    </row>
    <row r="14" spans="1:6" ht="13.7" customHeight="1" x14ac:dyDescent="0.2">
      <c r="A14" s="716" t="s">
        <v>430</v>
      </c>
      <c r="B14" s="1772">
        <f>SUM('Revenues 9-14'!C7:D7,'Revenues 9-14'!F7:H7)</f>
        <v>20615</v>
      </c>
      <c r="C14" s="585">
        <v>5309</v>
      </c>
      <c r="D14" s="1775">
        <f t="shared" si="0"/>
        <v>15306</v>
      </c>
      <c r="E14" s="585">
        <v>22296</v>
      </c>
      <c r="F14" s="1775">
        <f t="shared" si="1"/>
        <v>16987</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231897</v>
      </c>
      <c r="C16" s="585">
        <v>55638</v>
      </c>
      <c r="D16" s="1775">
        <f t="shared" si="0"/>
        <v>176259</v>
      </c>
      <c r="E16" s="585">
        <v>233664</v>
      </c>
      <c r="F16" s="1775">
        <f t="shared" si="1"/>
        <v>178026</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5496865</v>
      </c>
      <c r="C19" s="1773">
        <f>SUM(C4:C18)</f>
        <v>1402373</v>
      </c>
      <c r="D19" s="1773">
        <f>SUM(D4:D18)</f>
        <v>4094492</v>
      </c>
      <c r="E19" s="1773">
        <f>SUM(E4:E18)</f>
        <v>5889642</v>
      </c>
      <c r="F19" s="1773">
        <f>SUM(F4:F18)</f>
        <v>4487269</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orizontalCentered="1" gridLinesSet="0"/>
  <pageMargins left="0.75" right="0.75" top="1.5" bottom="0.5" header="0.5" footer="0.5"/>
  <pageSetup scale="94" firstPageNumber="58" orientation="landscape" useFirstPageNumber="1" r:id="rId1"/>
  <headerFooter>
    <oddHeader>&amp;C&amp;"Times New Roman,Regular"BELLE VALLEY SCHOOL DISTRICT NO. 119
SCHEDULE OF AD VALOREM TAX RECEIPTS
FOR THE YEAR ENDED JUNE 30, 2018</oddHeader>
    <oddFooter>&amp;C&amp;"Times New Roman,Regular"See Independent Auditor's Reports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C1" colorId="8" zoomScale="110" zoomScaleNormal="110" workbookViewId="0">
      <selection activeCell="J33" sqref="J3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1"/>
      <c r="C1" s="722"/>
    </row>
    <row r="2" spans="1:7" ht="33.75" x14ac:dyDescent="0.2">
      <c r="A2" s="2228" t="s">
        <v>1902</v>
      </c>
      <c r="B2" s="2229"/>
      <c r="C2" s="1909" t="s">
        <v>2035</v>
      </c>
      <c r="D2" s="724" t="s">
        <v>2042</v>
      </c>
      <c r="E2" s="724" t="s">
        <v>2043</v>
      </c>
      <c r="F2" s="1909" t="s">
        <v>2036</v>
      </c>
    </row>
    <row r="3" spans="1:7" ht="15.75" customHeight="1" x14ac:dyDescent="0.2">
      <c r="A3" s="2230" t="s">
        <v>1176</v>
      </c>
      <c r="B3" s="2231"/>
      <c r="C3" s="2224"/>
      <c r="D3" s="2225"/>
      <c r="E3" s="2225"/>
      <c r="F3" s="2226"/>
    </row>
    <row r="4" spans="1:7" ht="12.75" customHeight="1" thickBot="1" x14ac:dyDescent="0.25">
      <c r="A4" s="2218" t="s">
        <v>651</v>
      </c>
      <c r="B4" s="2219"/>
      <c r="C4" s="581"/>
      <c r="D4" s="581"/>
      <c r="E4" s="581"/>
      <c r="F4" s="1777">
        <f>SUM(C4+D4)-E4</f>
        <v>0</v>
      </c>
    </row>
    <row r="5" spans="1:7" ht="15.75" customHeight="1" thickTop="1" x14ac:dyDescent="0.2">
      <c r="A5" s="2222" t="s">
        <v>1172</v>
      </c>
      <c r="B5" s="2217"/>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4" t="s">
        <v>652</v>
      </c>
      <c r="B15" s="2215"/>
      <c r="C15" s="1777">
        <f>SUM(C6:C14)</f>
        <v>0</v>
      </c>
      <c r="D15" s="1777">
        <f>SUM(D6:D14)</f>
        <v>0</v>
      </c>
      <c r="E15" s="1777">
        <f>SUM(E6:E14)</f>
        <v>0</v>
      </c>
      <c r="F15" s="1777">
        <f>SUM(F6:F14)</f>
        <v>0</v>
      </c>
      <c r="G15" s="552"/>
    </row>
    <row r="16" spans="1:7" s="202" customFormat="1" ht="15.75" customHeight="1" thickTop="1" x14ac:dyDescent="0.2">
      <c r="A16" s="2227" t="s">
        <v>1173</v>
      </c>
      <c r="B16" s="2217"/>
      <c r="C16" s="2211"/>
      <c r="D16" s="2212"/>
      <c r="E16" s="2212"/>
      <c r="F16" s="2213"/>
    </row>
    <row r="17" spans="1:11" ht="12.75" customHeight="1" thickBot="1" x14ac:dyDescent="0.25">
      <c r="A17" s="2209" t="s">
        <v>66</v>
      </c>
      <c r="B17" s="2210"/>
      <c r="C17" s="727"/>
      <c r="D17" s="585"/>
      <c r="E17" s="727"/>
      <c r="F17" s="1777">
        <f>SUM(C17+D17)-E17</f>
        <v>0</v>
      </c>
    </row>
    <row r="18" spans="1:11" ht="12.75" customHeight="1" thickTop="1" thickBot="1" x14ac:dyDescent="0.25">
      <c r="A18" s="2209" t="s">
        <v>6</v>
      </c>
      <c r="B18" s="2210"/>
      <c r="C18" s="727"/>
      <c r="D18" s="585"/>
      <c r="E18" s="727"/>
      <c r="F18" s="1777">
        <f>SUM(C18+D18)-E18</f>
        <v>0</v>
      </c>
    </row>
    <row r="19" spans="1:11" ht="12.75" customHeight="1" thickTop="1" thickBot="1" x14ac:dyDescent="0.25">
      <c r="A19" s="2209" t="s">
        <v>406</v>
      </c>
      <c r="B19" s="2210"/>
      <c r="C19" s="727"/>
      <c r="D19" s="585"/>
      <c r="E19" s="727"/>
      <c r="F19" s="1777">
        <f>SUM(C19+D19)-E19</f>
        <v>0</v>
      </c>
    </row>
    <row r="20" spans="1:11" ht="12.75" customHeight="1" thickTop="1" thickBot="1" x14ac:dyDescent="0.25">
      <c r="A20" s="2209" t="s">
        <v>468</v>
      </c>
      <c r="B20" s="2210"/>
      <c r="C20" s="727"/>
      <c r="D20" s="585"/>
      <c r="E20" s="727"/>
      <c r="F20" s="1777">
        <f>SUM(C20+D20)-E20</f>
        <v>0</v>
      </c>
    </row>
    <row r="21" spans="1:11" ht="14.25" thickTop="1" thickBot="1" x14ac:dyDescent="0.25">
      <c r="A21" s="2214" t="s">
        <v>653</v>
      </c>
      <c r="B21" s="2215"/>
      <c r="C21" s="1777">
        <f>SUM(C17:C20)</f>
        <v>0</v>
      </c>
      <c r="D21" s="1777">
        <f>SUM(D17:D20)</f>
        <v>0</v>
      </c>
      <c r="E21" s="1777">
        <f>SUM(E17:E20)</f>
        <v>0</v>
      </c>
      <c r="F21" s="1777">
        <f>SUM(F17:F20)</f>
        <v>0</v>
      </c>
      <c r="G21" s="552"/>
    </row>
    <row r="22" spans="1:11" ht="15.75" customHeight="1" thickTop="1" x14ac:dyDescent="0.2">
      <c r="A22" s="2216" t="s">
        <v>1174</v>
      </c>
      <c r="B22" s="2217"/>
      <c r="C22" s="2211"/>
      <c r="D22" s="2212"/>
      <c r="E22" s="2212"/>
      <c r="F22" s="2213"/>
    </row>
    <row r="23" spans="1:11" ht="13.5" thickBot="1" x14ac:dyDescent="0.25">
      <c r="A23" s="2218" t="s">
        <v>654</v>
      </c>
      <c r="B23" s="2219"/>
      <c r="C23" s="581"/>
      <c r="D23" s="581"/>
      <c r="E23" s="581"/>
      <c r="F23" s="1777">
        <f>SUM(C23+D23)-E23</f>
        <v>0</v>
      </c>
      <c r="G23" s="552"/>
    </row>
    <row r="24" spans="1:11" ht="15.75" customHeight="1" thickTop="1" x14ac:dyDescent="0.2">
      <c r="A24" s="2216" t="s">
        <v>1175</v>
      </c>
      <c r="B24" s="2217"/>
      <c r="C24" s="2211"/>
      <c r="D24" s="2212"/>
      <c r="E24" s="2212"/>
      <c r="F24" s="2213"/>
    </row>
    <row r="25" spans="1:11" ht="13.5" thickBot="1" x14ac:dyDescent="0.25">
      <c r="A25" s="2218" t="s">
        <v>655</v>
      </c>
      <c r="B25" s="2219"/>
      <c r="C25" s="581"/>
      <c r="D25" s="581"/>
      <c r="E25" s="581"/>
      <c r="F25" s="1777">
        <f>SUM(C25+D25)-E25</f>
        <v>0</v>
      </c>
      <c r="G25" s="552"/>
    </row>
    <row r="26" spans="1:11" ht="15.75" customHeight="1" thickTop="1" x14ac:dyDescent="0.2">
      <c r="A26" s="2222" t="s">
        <v>678</v>
      </c>
      <c r="B26" s="2217"/>
      <c r="C26" s="728"/>
      <c r="D26" s="728"/>
      <c r="E26" s="728"/>
      <c r="F26" s="729"/>
    </row>
    <row r="27" spans="1:11" ht="13.5" thickBot="1" x14ac:dyDescent="0.25">
      <c r="A27" s="2214" t="s">
        <v>1130</v>
      </c>
      <c r="B27" s="2215"/>
      <c r="C27" s="585"/>
      <c r="D27" s="585"/>
      <c r="E27" s="585"/>
      <c r="F27" s="1777">
        <f>SUM(C27+D27)-E27</f>
        <v>0</v>
      </c>
      <c r="G27" s="552"/>
    </row>
    <row r="28" spans="1:11" ht="7.5" customHeight="1" thickTop="1" x14ac:dyDescent="0.2">
      <c r="A28" s="594"/>
    </row>
    <row r="29" spans="1:11" ht="23.25" customHeight="1" x14ac:dyDescent="0.2">
      <c r="A29" s="2220" t="s">
        <v>603</v>
      </c>
      <c r="B29" s="2221"/>
      <c r="C29" s="730"/>
      <c r="D29" s="730"/>
      <c r="E29" s="730"/>
      <c r="F29" s="730"/>
      <c r="G29" s="730"/>
      <c r="H29" s="730"/>
      <c r="I29" s="730"/>
      <c r="J29" s="730"/>
    </row>
    <row r="30" spans="1:11" ht="33.75" x14ac:dyDescent="0.2">
      <c r="A30" s="1551" t="s">
        <v>1131</v>
      </c>
      <c r="B30" s="731" t="s">
        <v>1186</v>
      </c>
      <c r="C30" s="1910" t="s">
        <v>604</v>
      </c>
      <c r="D30" s="1910" t="s">
        <v>1772</v>
      </c>
      <c r="E30" s="1910" t="s">
        <v>2037</v>
      </c>
      <c r="F30" s="1910" t="s">
        <v>2038</v>
      </c>
      <c r="G30" s="1910" t="s">
        <v>2041</v>
      </c>
      <c r="H30" s="1910" t="s">
        <v>2039</v>
      </c>
      <c r="I30" s="1910" t="s">
        <v>2040</v>
      </c>
      <c r="J30" s="1911" t="s">
        <v>2</v>
      </c>
      <c r="K30" s="732"/>
    </row>
    <row r="31" spans="1:11" ht="12" customHeight="1" x14ac:dyDescent="0.2">
      <c r="A31" s="733" t="s">
        <v>2087</v>
      </c>
      <c r="B31" s="734">
        <v>40050</v>
      </c>
      <c r="C31" s="735">
        <v>23880000</v>
      </c>
      <c r="D31" s="736">
        <v>6</v>
      </c>
      <c r="E31" s="735">
        <v>21615000</v>
      </c>
      <c r="F31" s="735"/>
      <c r="G31" s="735"/>
      <c r="H31" s="735"/>
      <c r="I31" s="1778">
        <f>((E31+F31)-H31)+G31</f>
        <v>21615000</v>
      </c>
      <c r="J31" s="735">
        <v>20904153</v>
      </c>
      <c r="K31" s="737"/>
    </row>
    <row r="32" spans="1:11" ht="12" customHeight="1" x14ac:dyDescent="0.2">
      <c r="A32" s="733" t="s">
        <v>2088</v>
      </c>
      <c r="B32" s="734">
        <v>42859</v>
      </c>
      <c r="C32" s="735">
        <v>12845000</v>
      </c>
      <c r="D32" s="736">
        <v>3</v>
      </c>
      <c r="E32" s="735">
        <v>12845000</v>
      </c>
      <c r="F32" s="735"/>
      <c r="G32" s="735"/>
      <c r="H32" s="735"/>
      <c r="I32" s="1778">
        <f>((E32+F32)-H32)+G32</f>
        <v>12845000</v>
      </c>
      <c r="J32" s="735">
        <v>12845000</v>
      </c>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36725000</v>
      </c>
      <c r="D49" s="746"/>
      <c r="E49" s="1778">
        <f t="shared" ref="E49:J49" si="2">SUM(E31:E48)</f>
        <v>34460000</v>
      </c>
      <c r="F49" s="1778">
        <f t="shared" si="2"/>
        <v>0</v>
      </c>
      <c r="G49" s="1778">
        <f t="shared" si="2"/>
        <v>0</v>
      </c>
      <c r="H49" s="1778">
        <f t="shared" si="2"/>
        <v>0</v>
      </c>
      <c r="I49" s="1778">
        <f t="shared" si="2"/>
        <v>34460000</v>
      </c>
      <c r="J49" s="1778">
        <f t="shared" si="2"/>
        <v>33749153</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03" t="s">
        <v>605</v>
      </c>
      <c r="C52" s="2204"/>
      <c r="D52" s="2204"/>
      <c r="E52" s="750" t="s">
        <v>900</v>
      </c>
      <c r="F52" s="2205"/>
      <c r="G52" s="2206"/>
      <c r="H52" s="737"/>
      <c r="I52" s="737"/>
      <c r="J52" s="747"/>
    </row>
    <row r="53" spans="1:11" ht="11.25" customHeight="1" x14ac:dyDescent="0.2">
      <c r="A53" s="751" t="s">
        <v>969</v>
      </c>
      <c r="B53" s="752" t="s">
        <v>1008</v>
      </c>
      <c r="C53" s="747"/>
      <c r="D53" s="738"/>
      <c r="E53" s="750" t="s">
        <v>518</v>
      </c>
      <c r="F53" s="2207"/>
      <c r="G53" s="2208"/>
      <c r="H53" s="737"/>
      <c r="I53" s="737"/>
      <c r="J53" s="747"/>
    </row>
    <row r="54" spans="1:11" ht="11.25" customHeight="1" x14ac:dyDescent="0.2">
      <c r="A54" s="753" t="s">
        <v>970</v>
      </c>
      <c r="B54" s="748" t="s">
        <v>1009</v>
      </c>
      <c r="C54" s="747"/>
      <c r="D54" s="738"/>
      <c r="E54" s="750" t="s">
        <v>519</v>
      </c>
      <c r="F54" s="2207"/>
      <c r="G54" s="220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orizontalCentered="1" gridLinesSet="0"/>
  <pageMargins left="0.75" right="0.75" top="1" bottom="0.5" header="0.5" footer="0.5"/>
  <pageSetup scale="64" firstPageNumber="24" fitToHeight="0" orientation="landscape" r:id="rId1"/>
  <headerFooter>
    <oddHeader>&amp;C&amp;"Times New Roman,Regular"BELLE VALLEY SCHOOL DISTRICT NO. 119
SCHEDULE OF SHORT-TERM AND LONG-TERM DEBT
FOR THE YEAR ENDED JUNE 30, 2018</oddHeader>
    <oddFooter>&amp;C&amp;"Times New Roman,Regular"See Independent Auditor's Reports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23" sqref="H2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911</v>
      </c>
      <c r="B1" s="2233"/>
      <c r="C1" s="2233"/>
      <c r="D1" s="2233"/>
      <c r="E1" s="2233"/>
      <c r="F1" s="2233"/>
      <c r="G1" s="2234"/>
      <c r="H1" s="1552"/>
      <c r="I1" s="761"/>
      <c r="J1" s="433"/>
    </row>
    <row r="2" spans="1:11" ht="26.25" x14ac:dyDescent="0.2">
      <c r="A2" s="2251" t="s">
        <v>1776</v>
      </c>
      <c r="B2" s="2252"/>
      <c r="C2" s="2252"/>
      <c r="D2" s="2252"/>
      <c r="E2" s="2253"/>
      <c r="F2" s="762" t="s">
        <v>960</v>
      </c>
      <c r="G2" s="763" t="s">
        <v>1773</v>
      </c>
      <c r="H2" s="763" t="s">
        <v>430</v>
      </c>
      <c r="I2" s="763" t="s">
        <v>1220</v>
      </c>
      <c r="J2" s="763" t="s">
        <v>1916</v>
      </c>
      <c r="K2" s="763" t="s">
        <v>140</v>
      </c>
    </row>
    <row r="3" spans="1:11" x14ac:dyDescent="0.2">
      <c r="A3" s="2254" t="s">
        <v>1698</v>
      </c>
      <c r="B3" s="2255"/>
      <c r="C3" s="2255"/>
      <c r="D3" s="2255"/>
      <c r="E3" s="2256"/>
      <c r="F3" s="764"/>
      <c r="G3" s="765"/>
      <c r="H3" s="765"/>
      <c r="I3" s="765"/>
      <c r="J3" s="766"/>
      <c r="K3" s="766"/>
    </row>
    <row r="4" spans="1:11" x14ac:dyDescent="0.2">
      <c r="A4" s="2257" t="s">
        <v>387</v>
      </c>
      <c r="B4" s="2258"/>
      <c r="C4" s="2258"/>
      <c r="D4" s="2258"/>
      <c r="E4" s="2204"/>
      <c r="F4" s="767"/>
      <c r="G4" s="768"/>
      <c r="H4" s="769"/>
      <c r="I4" s="768"/>
      <c r="J4" s="770"/>
      <c r="K4" s="770"/>
    </row>
    <row r="5" spans="1:11" x14ac:dyDescent="0.2">
      <c r="A5" s="2235" t="s">
        <v>1129</v>
      </c>
      <c r="B5" s="2236"/>
      <c r="C5" s="2236"/>
      <c r="D5" s="2236"/>
      <c r="E5" s="2237"/>
      <c r="F5" s="771" t="s">
        <v>903</v>
      </c>
      <c r="G5" s="772"/>
      <c r="H5" s="765">
        <v>20615</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5" t="s">
        <v>1917</v>
      </c>
      <c r="B10" s="2236"/>
      <c r="C10" s="2236"/>
      <c r="D10" s="2236"/>
      <c r="E10" s="2238"/>
      <c r="F10" s="784" t="s">
        <v>917</v>
      </c>
      <c r="G10" s="783"/>
      <c r="H10" s="785"/>
      <c r="I10" s="765"/>
      <c r="J10" s="766"/>
      <c r="K10" s="766"/>
    </row>
    <row r="11" spans="1:11" x14ac:dyDescent="0.2">
      <c r="A11" s="2235" t="s">
        <v>162</v>
      </c>
      <c r="B11" s="2236"/>
      <c r="C11" s="2236"/>
      <c r="D11" s="2236"/>
      <c r="E11" s="2237"/>
      <c r="F11" s="771" t="s">
        <v>907</v>
      </c>
      <c r="G11" s="772"/>
      <c r="H11" s="765"/>
      <c r="I11" s="765"/>
      <c r="J11" s="766"/>
      <c r="K11" s="774"/>
    </row>
    <row r="12" spans="1:11" ht="13.5" thickBot="1" x14ac:dyDescent="0.25">
      <c r="A12" s="2262" t="s">
        <v>961</v>
      </c>
      <c r="B12" s="2263"/>
      <c r="C12" s="2263"/>
      <c r="D12" s="2263"/>
      <c r="E12" s="2264"/>
      <c r="F12" s="1779"/>
      <c r="G12" s="1780">
        <f>SUM(G5:G11)</f>
        <v>0</v>
      </c>
      <c r="H12" s="1780">
        <f>SUM(H5:H11)</f>
        <v>20615</v>
      </c>
      <c r="I12" s="1780">
        <f>SUM(I5:I11)</f>
        <v>0</v>
      </c>
      <c r="J12" s="1780">
        <f>SUM(J5:J11)</f>
        <v>0</v>
      </c>
      <c r="K12" s="1780">
        <f>SUM(K5:K11)</f>
        <v>0</v>
      </c>
    </row>
    <row r="13" spans="1:11" ht="13.5" thickTop="1" x14ac:dyDescent="0.2">
      <c r="A13" s="2259" t="s">
        <v>388</v>
      </c>
      <c r="B13" s="2260"/>
      <c r="C13" s="2260"/>
      <c r="D13" s="2260"/>
      <c r="E13" s="2261"/>
      <c r="F13" s="786"/>
      <c r="G13" s="787"/>
      <c r="H13" s="788"/>
      <c r="I13" s="789"/>
      <c r="J13" s="789"/>
      <c r="K13" s="789"/>
    </row>
    <row r="14" spans="1:11" x14ac:dyDescent="0.2">
      <c r="A14" s="2242" t="s">
        <v>476</v>
      </c>
      <c r="B14" s="2242"/>
      <c r="C14" s="2242"/>
      <c r="D14" s="2242"/>
      <c r="E14" s="2243"/>
      <c r="F14" s="790" t="s">
        <v>909</v>
      </c>
      <c r="G14" s="783"/>
      <c r="H14" s="765"/>
      <c r="I14" s="772"/>
      <c r="J14" s="774"/>
      <c r="K14" s="766"/>
    </row>
    <row r="15" spans="1:11" x14ac:dyDescent="0.2">
      <c r="A15" s="2236" t="s">
        <v>4</v>
      </c>
      <c r="B15" s="2236"/>
      <c r="C15" s="2236"/>
      <c r="D15" s="2236"/>
      <c r="E15" s="2237"/>
      <c r="F15" s="790" t="s">
        <v>910</v>
      </c>
      <c r="G15" s="772"/>
      <c r="H15" s="765"/>
      <c r="I15" s="765"/>
      <c r="J15" s="766"/>
      <c r="K15" s="766"/>
    </row>
    <row r="16" spans="1:11" x14ac:dyDescent="0.2">
      <c r="A16" s="2236" t="s">
        <v>316</v>
      </c>
      <c r="B16" s="2236"/>
      <c r="C16" s="2236"/>
      <c r="D16" s="2236"/>
      <c r="E16" s="2237"/>
      <c r="F16" s="790" t="s">
        <v>980</v>
      </c>
      <c r="G16" s="773"/>
      <c r="H16" s="768"/>
      <c r="I16" s="768"/>
      <c r="J16" s="770"/>
      <c r="K16" s="770"/>
    </row>
    <row r="17" spans="1:11" x14ac:dyDescent="0.2">
      <c r="A17" s="2267" t="s">
        <v>992</v>
      </c>
      <c r="B17" s="2267"/>
      <c r="C17" s="2267"/>
      <c r="D17" s="2267"/>
      <c r="E17" s="2268"/>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44" t="s">
        <v>1913</v>
      </c>
      <c r="B19" s="2244"/>
      <c r="C19" s="2244"/>
      <c r="D19" s="2244"/>
      <c r="E19" s="2245"/>
      <c r="F19" s="790" t="s">
        <v>990</v>
      </c>
      <c r="G19" s="783"/>
      <c r="H19" s="783"/>
      <c r="I19" s="783"/>
      <c r="J19" s="766"/>
      <c r="K19" s="796"/>
    </row>
    <row r="20" spans="1:11" x14ac:dyDescent="0.2">
      <c r="A20" s="2246" t="s">
        <v>1918</v>
      </c>
      <c r="B20" s="2247"/>
      <c r="C20" s="2247"/>
      <c r="D20" s="2247"/>
      <c r="E20" s="2248"/>
      <c r="F20" s="790" t="s">
        <v>991</v>
      </c>
      <c r="G20" s="783"/>
      <c r="H20" s="783"/>
      <c r="I20" s="783"/>
      <c r="J20" s="766"/>
      <c r="K20" s="796"/>
    </row>
    <row r="21" spans="1:11" ht="13.5" thickBot="1" x14ac:dyDescent="0.25">
      <c r="A21" s="2265" t="s">
        <v>659</v>
      </c>
      <c r="B21" s="2265"/>
      <c r="C21" s="2265"/>
      <c r="D21" s="2265"/>
      <c r="E21" s="2265"/>
      <c r="F21" s="1781"/>
      <c r="G21" s="793"/>
      <c r="H21" s="797"/>
      <c r="I21" s="797"/>
      <c r="J21" s="1782">
        <f>SUM(J18:J20)</f>
        <v>0</v>
      </c>
      <c r="K21" s="794"/>
    </row>
    <row r="22" spans="1:11" ht="13.5" thickTop="1" x14ac:dyDescent="0.2">
      <c r="A22" s="2236" t="s">
        <v>1919</v>
      </c>
      <c r="B22" s="2236"/>
      <c r="C22" s="2236"/>
      <c r="D22" s="2236"/>
      <c r="E22" s="2237"/>
      <c r="F22" s="790" t="s">
        <v>917</v>
      </c>
      <c r="G22" s="783"/>
      <c r="H22" s="765">
        <v>20615</v>
      </c>
      <c r="I22" s="765"/>
      <c r="J22" s="798"/>
      <c r="K22" s="766"/>
    </row>
    <row r="23" spans="1:11" ht="13.5" thickBot="1" x14ac:dyDescent="0.25">
      <c r="A23" s="2266" t="s">
        <v>962</v>
      </c>
      <c r="B23" s="2265"/>
      <c r="C23" s="2265"/>
      <c r="D23" s="2265"/>
      <c r="E23" s="2265"/>
      <c r="F23" s="1783"/>
      <c r="G23" s="1780">
        <f>SUM(G14:G16,G21,G22)</f>
        <v>0</v>
      </c>
      <c r="H23" s="1780">
        <f>SUM(H14:H16,H21,H22)</f>
        <v>20615</v>
      </c>
      <c r="I23" s="1780">
        <f>SUM(I14:I16,I21,I22)</f>
        <v>0</v>
      </c>
      <c r="J23" s="1780">
        <f>SUM(J14:J16,J21,J22)</f>
        <v>0</v>
      </c>
      <c r="K23" s="1780">
        <f>SUM(K14:K16,K21,K22)</f>
        <v>0</v>
      </c>
    </row>
    <row r="24" spans="1:11" ht="14.25" thickTop="1" thickBot="1" x14ac:dyDescent="0.25">
      <c r="A24" s="2266" t="s">
        <v>2023</v>
      </c>
      <c r="B24" s="2265"/>
      <c r="C24" s="2265"/>
      <c r="D24" s="2265"/>
      <c r="E24" s="2265"/>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2033</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t="s">
        <v>2074</v>
      </c>
      <c r="E30" s="809" t="s">
        <v>792</v>
      </c>
      <c r="F30" s="202"/>
      <c r="G30" s="806"/>
    </row>
    <row r="31" spans="1:11" x14ac:dyDescent="0.2">
      <c r="A31" s="810"/>
      <c r="D31" s="237"/>
      <c r="E31" s="811" t="s">
        <v>793</v>
      </c>
      <c r="F31" s="812" t="s">
        <v>560</v>
      </c>
      <c r="G31" s="765"/>
      <c r="H31" s="2239"/>
      <c r="I31" s="2240"/>
      <c r="J31" s="2240"/>
      <c r="K31" s="2240"/>
    </row>
    <row r="32" spans="1:11" x14ac:dyDescent="0.2">
      <c r="A32" s="810"/>
      <c r="B32" s="237"/>
      <c r="C32" s="237"/>
      <c r="D32" s="237"/>
      <c r="E32" s="806"/>
      <c r="F32" s="812" t="s">
        <v>561</v>
      </c>
      <c r="G32" s="765"/>
      <c r="H32" s="2241"/>
      <c r="I32" s="2240"/>
      <c r="J32" s="2240"/>
      <c r="K32" s="2240"/>
    </row>
    <row r="33" spans="1:11" ht="1.5" customHeight="1" x14ac:dyDescent="0.2">
      <c r="A33" s="813" t="s">
        <v>1231</v>
      </c>
      <c r="B33" s="364"/>
      <c r="C33" s="364"/>
      <c r="D33" s="364"/>
      <c r="E33" s="364"/>
      <c r="F33" s="364"/>
      <c r="G33" s="814"/>
      <c r="H33" s="2241"/>
      <c r="I33" s="2240"/>
      <c r="J33" s="2240"/>
      <c r="K33" s="2240"/>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6" t="s">
        <v>562</v>
      </c>
      <c r="B41" s="2249"/>
      <c r="C41" s="2249"/>
      <c r="D41" s="2249"/>
      <c r="E41" s="2249"/>
      <c r="F41" s="225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1914</v>
      </c>
      <c r="B46" s="408" t="s">
        <v>1774</v>
      </c>
    </row>
    <row r="47" spans="1:11" s="824" customFormat="1" ht="12.75" customHeight="1" x14ac:dyDescent="0.2">
      <c r="A47" s="822"/>
      <c r="B47" s="823" t="s">
        <v>1775</v>
      </c>
      <c r="E47" s="823"/>
      <c r="K47" s="825"/>
    </row>
    <row r="48" spans="1:11" ht="12.75" customHeight="1" x14ac:dyDescent="0.2">
      <c r="A48" s="1554"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orizontalCentered="1"/>
  <pageMargins left="0.75" right="0.75" top="1.1000000000000001" bottom="0.5" header="0.5" footer="0.5"/>
  <pageSetup scale="74" firstPageNumber="25" orientation="landscape" r:id="rId1"/>
  <headerFooter>
    <oddHeader>&amp;C&amp;"Times New Roman,Regular"BELLE VALLEY SCHOOL DISTRICT NO. 119
SCHEDULE OF RESTRICTED LOCAL TAX LEVIES AND SELECTED REVENUE SOURCES
SCHEDULE OF TORT IMMUNITY EXPENDITURES
FOR THE YEAR ENDED JUNE 30, 2018</oddHeader>
    <oddFooter>&amp;C&amp;"Times New Roman,Regular"See Independent Auditor's Reports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H25" sqref="H25"/>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2032</v>
      </c>
      <c r="B1" s="2272"/>
      <c r="C1" s="2273"/>
      <c r="D1" s="827"/>
      <c r="E1" s="828"/>
      <c r="F1" s="828"/>
      <c r="G1" s="829"/>
      <c r="H1" s="830"/>
      <c r="I1" s="831"/>
      <c r="J1" s="2269"/>
      <c r="K1" s="2270"/>
      <c r="L1" s="2270"/>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1086741</v>
      </c>
      <c r="D5" s="842"/>
      <c r="E5" s="842"/>
      <c r="F5" s="1782">
        <f>(C5+D5)-E5</f>
        <v>1086741</v>
      </c>
      <c r="G5" s="838"/>
      <c r="H5" s="843"/>
      <c r="I5" s="843"/>
      <c r="J5" s="843"/>
      <c r="K5" s="794"/>
      <c r="L5" s="1791">
        <f>F5-K5</f>
        <v>1086741</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31187212</v>
      </c>
      <c r="D8" s="845"/>
      <c r="E8" s="845"/>
      <c r="F8" s="1782">
        <f>(C8+D8)-E8</f>
        <v>31187212</v>
      </c>
      <c r="G8" s="844">
        <v>50</v>
      </c>
      <c r="H8" s="766">
        <v>4157294</v>
      </c>
      <c r="I8" s="766">
        <v>623745</v>
      </c>
      <c r="J8" s="766"/>
      <c r="K8" s="1791">
        <f>(H8+I8)-J8</f>
        <v>4781039</v>
      </c>
      <c r="L8" s="1791">
        <f>F8-K8</f>
        <v>26406173</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1040481</v>
      </c>
      <c r="D10" s="847"/>
      <c r="E10" s="847"/>
      <c r="F10" s="1786">
        <f>(C10+D10)-E10</f>
        <v>1040481</v>
      </c>
      <c r="G10" s="844">
        <v>20</v>
      </c>
      <c r="H10" s="848">
        <v>414936</v>
      </c>
      <c r="I10" s="848">
        <v>52024</v>
      </c>
      <c r="J10" s="848"/>
      <c r="K10" s="1791">
        <f>(H10+I10)-J10</f>
        <v>466960</v>
      </c>
      <c r="L10" s="1791">
        <f>F10-K10</f>
        <v>573521</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912716</v>
      </c>
      <c r="D12" s="845">
        <v>118446</v>
      </c>
      <c r="E12" s="845"/>
      <c r="F12" s="1782">
        <f>(C12+D12)-E12</f>
        <v>1031162</v>
      </c>
      <c r="G12" s="844">
        <v>10</v>
      </c>
      <c r="H12" s="766">
        <v>486511</v>
      </c>
      <c r="I12" s="766">
        <v>103116</v>
      </c>
      <c r="J12" s="766"/>
      <c r="K12" s="1791">
        <f>(H12+I12)-J12</f>
        <v>589627</v>
      </c>
      <c r="L12" s="1791">
        <f>F12-K12</f>
        <v>441535</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34227150</v>
      </c>
      <c r="D16" s="1782">
        <f>SUM(D3,D5:D6,D8:D10,D12:D15)</f>
        <v>118446</v>
      </c>
      <c r="E16" s="1782">
        <f>SUM(E3,E5:E6,E8:E10,E12:E15)</f>
        <v>0</v>
      </c>
      <c r="F16" s="1782">
        <f>SUM(F3,F5:F6,F8:F10,F12:F15)</f>
        <v>34345596</v>
      </c>
      <c r="G16" s="844"/>
      <c r="H16" s="1782">
        <f>SUM(H3,H6,H8:H10,H12:H14,)</f>
        <v>5058741</v>
      </c>
      <c r="I16" s="1782">
        <f>SUM(I3,I6,I8:I10,I12:I14,)</f>
        <v>778885</v>
      </c>
      <c r="J16" s="1782">
        <f>SUM(J3,J6,J8:J10,J12:J14,)</f>
        <v>0</v>
      </c>
      <c r="K16" s="1782">
        <f>(H16+I16)-J16</f>
        <v>5837626</v>
      </c>
      <c r="L16" s="1782">
        <f>F16-K16</f>
        <v>28507970</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778885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orizontalCentered="1"/>
  <pageMargins left="0.75" right="0.75" top="1.75" bottom="0.5" header="0.5" footer="0.5"/>
  <pageSetup scale="74" firstPageNumber="26" orientation="landscape" r:id="rId1"/>
  <headerFooter>
    <oddHeader>&amp;C&amp;"Times New Roman,Regular"BELLE VALLEY SCHOOL DISTRICT NO. 119
SCHEDULE OF CAPITAL OUTLAY AND DEPRECIATION
FOR THE YEAR ENDED JUNE 30, 2018</oddHeader>
    <oddFooter>&amp;C&amp;"Times New Roman,Regular"See Independent Auditor's Reports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F38" sqref="AF38"/>
      <selection pane="bottomLeft" activeCell="J74" sqref="J74"/>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7967544</v>
      </c>
      <c r="G8" s="866"/>
    </row>
    <row r="9" spans="1:7" x14ac:dyDescent="0.2">
      <c r="A9" s="870" t="s">
        <v>480</v>
      </c>
      <c r="B9" s="871" t="s">
        <v>1986</v>
      </c>
      <c r="C9" s="872"/>
      <c r="D9" s="870" t="s">
        <v>522</v>
      </c>
      <c r="E9" s="869"/>
      <c r="F9" s="1935">
        <f>'Expenditures 15-22'!K151</f>
        <v>401265</v>
      </c>
      <c r="G9" s="873"/>
    </row>
    <row r="10" spans="1:7" x14ac:dyDescent="0.2">
      <c r="A10" s="870" t="s">
        <v>520</v>
      </c>
      <c r="B10" s="871" t="s">
        <v>1987</v>
      </c>
      <c r="C10" s="872"/>
      <c r="D10" s="870" t="s">
        <v>522</v>
      </c>
      <c r="E10" s="869"/>
      <c r="F10" s="1935">
        <f>'Expenditures 15-22'!K174</f>
        <v>2328141</v>
      </c>
      <c r="G10" s="873"/>
    </row>
    <row r="11" spans="1:7" x14ac:dyDescent="0.2">
      <c r="A11" s="870" t="s">
        <v>481</v>
      </c>
      <c r="B11" s="871" t="s">
        <v>1988</v>
      </c>
      <c r="C11" s="872"/>
      <c r="D11" s="870" t="s">
        <v>522</v>
      </c>
      <c r="E11" s="869"/>
      <c r="F11" s="1935">
        <f>'Expenditures 15-22'!K210</f>
        <v>485797</v>
      </c>
      <c r="G11" s="873"/>
    </row>
    <row r="12" spans="1:7" x14ac:dyDescent="0.2">
      <c r="A12" s="870" t="s">
        <v>482</v>
      </c>
      <c r="B12" s="871" t="s">
        <v>1989</v>
      </c>
      <c r="C12" s="872"/>
      <c r="D12" s="870" t="s">
        <v>522</v>
      </c>
      <c r="E12" s="869"/>
      <c r="F12" s="1935">
        <f>'Expenditures 15-22'!K295</f>
        <v>288238</v>
      </c>
      <c r="G12" s="873"/>
    </row>
    <row r="13" spans="1:7" x14ac:dyDescent="0.2">
      <c r="A13" s="870" t="s">
        <v>108</v>
      </c>
      <c r="B13" s="871" t="s">
        <v>1990</v>
      </c>
      <c r="C13" s="872"/>
      <c r="D13" s="870" t="s">
        <v>522</v>
      </c>
      <c r="E13" s="869"/>
      <c r="F13" s="1935">
        <f>'Expenditures 15-22'!K342</f>
        <v>141898</v>
      </c>
      <c r="G13" s="874"/>
    </row>
    <row r="14" spans="1:7" ht="12" customHeight="1" thickBot="1" x14ac:dyDescent="0.25">
      <c r="A14" s="1792"/>
      <c r="B14" s="1793"/>
      <c r="C14" s="1794"/>
      <c r="D14" s="1795" t="s">
        <v>522</v>
      </c>
      <c r="E14" s="1796" t="s">
        <v>1015</v>
      </c>
      <c r="F14" s="1797">
        <f>SUM(F8:F13)</f>
        <v>11612883</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144195</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93956</v>
      </c>
      <c r="G52" s="866"/>
    </row>
    <row r="53" spans="1:7" x14ac:dyDescent="0.2">
      <c r="A53" s="870" t="s">
        <v>479</v>
      </c>
      <c r="B53" s="870" t="s">
        <v>1551</v>
      </c>
      <c r="C53" s="890">
        <f>'Expenditures 15-22'!B102</f>
        <v>4000</v>
      </c>
      <c r="D53" s="889" t="str">
        <f>'Expenditures 15-22'!A102</f>
        <v>Total Payments to Other Govt Units</v>
      </c>
      <c r="E53" s="869"/>
      <c r="F53" s="1939">
        <f>'Expenditures 15-22'!K102</f>
        <v>458243</v>
      </c>
      <c r="G53" s="866"/>
    </row>
    <row r="54" spans="1:7" x14ac:dyDescent="0.2">
      <c r="A54" s="870" t="s">
        <v>479</v>
      </c>
      <c r="B54" s="870" t="s">
        <v>1552</v>
      </c>
      <c r="C54" s="890" t="s">
        <v>1039</v>
      </c>
      <c r="D54" s="886" t="s">
        <v>1157</v>
      </c>
      <c r="E54" s="869"/>
      <c r="F54" s="1939">
        <f>'Expenditures 15-22'!G114</f>
        <v>101022</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9">
        <f>'Expenditures 15-22'!K139</f>
        <v>0</v>
      </c>
      <c r="G57" s="866"/>
    </row>
    <row r="58" spans="1:7" x14ac:dyDescent="0.2">
      <c r="A58" s="870" t="s">
        <v>480</v>
      </c>
      <c r="B58" s="870" t="s">
        <v>1992</v>
      </c>
      <c r="C58" s="887" t="s">
        <v>1039</v>
      </c>
      <c r="D58" s="886" t="s">
        <v>1157</v>
      </c>
      <c r="E58" s="869"/>
      <c r="F58" s="1941">
        <f>'Expenditures 15-22'!G151</f>
        <v>35821</v>
      </c>
      <c r="G58" s="866"/>
    </row>
    <row r="59" spans="1:7" x14ac:dyDescent="0.2">
      <c r="A59" s="894" t="s">
        <v>480</v>
      </c>
      <c r="B59" s="857" t="s">
        <v>1993</v>
      </c>
      <c r="C59" s="895" t="s">
        <v>1039</v>
      </c>
      <c r="D59" s="857" t="s">
        <v>309</v>
      </c>
      <c r="F59" s="1942">
        <f>'Expenditures 15-22'!I151</f>
        <v>0</v>
      </c>
      <c r="G59" s="866"/>
    </row>
    <row r="60" spans="1:7" x14ac:dyDescent="0.2">
      <c r="A60" s="894" t="s">
        <v>520</v>
      </c>
      <c r="B60" s="857" t="s">
        <v>1994</v>
      </c>
      <c r="C60" s="895">
        <v>4000</v>
      </c>
      <c r="D60" s="857" t="s">
        <v>330</v>
      </c>
      <c r="F60" s="1940">
        <f>'Expenditures 15-22'!K160</f>
        <v>0</v>
      </c>
      <c r="G60" s="866"/>
    </row>
    <row r="61" spans="1:7" x14ac:dyDescent="0.2">
      <c r="A61" s="896" t="s">
        <v>520</v>
      </c>
      <c r="B61" s="896" t="s">
        <v>1995</v>
      </c>
      <c r="C61" s="897" t="str">
        <f>'Expenditures 15-22'!B170</f>
        <v>5300</v>
      </c>
      <c r="D61" s="898" t="s">
        <v>329</v>
      </c>
      <c r="E61" s="880"/>
      <c r="F61" s="1939">
        <f>'Expenditures 15-22'!K170</f>
        <v>0</v>
      </c>
      <c r="G61" s="866"/>
    </row>
    <row r="62" spans="1:7" x14ac:dyDescent="0.2">
      <c r="A62" s="870" t="s">
        <v>481</v>
      </c>
      <c r="B62" s="870" t="s">
        <v>1996</v>
      </c>
      <c r="C62" s="887">
        <f>'Expenditures 15-22'!B185</f>
        <v>3000</v>
      </c>
      <c r="D62" s="877" t="s">
        <v>469</v>
      </c>
      <c r="E62" s="869"/>
      <c r="F62" s="1939">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9">
        <f>'Expenditures 15-22'!K196</f>
        <v>0</v>
      </c>
      <c r="G63" s="866"/>
    </row>
    <row r="64" spans="1:7" x14ac:dyDescent="0.2">
      <c r="A64" s="896" t="s">
        <v>481</v>
      </c>
      <c r="B64" s="896" t="s">
        <v>1998</v>
      </c>
      <c r="C64" s="897" t="str">
        <f>'Expenditures 15-22'!B206</f>
        <v>5300</v>
      </c>
      <c r="D64" s="893" t="s">
        <v>329</v>
      </c>
      <c r="E64" s="869"/>
      <c r="F64" s="1939">
        <f>'Expenditures 15-22'!K206</f>
        <v>0</v>
      </c>
      <c r="G64" s="866"/>
    </row>
    <row r="65" spans="1:8" x14ac:dyDescent="0.2">
      <c r="A65" s="870" t="s">
        <v>481</v>
      </c>
      <c r="B65" s="870" t="s">
        <v>1999</v>
      </c>
      <c r="C65" s="887" t="s">
        <v>1039</v>
      </c>
      <c r="D65" s="886" t="s">
        <v>1157</v>
      </c>
      <c r="E65" s="869"/>
      <c r="F65" s="1939">
        <f>'Expenditures 15-22'!G210</f>
        <v>0</v>
      </c>
      <c r="G65" s="866"/>
    </row>
    <row r="66" spans="1:8" x14ac:dyDescent="0.2">
      <c r="A66" s="870" t="s">
        <v>481</v>
      </c>
      <c r="B66" s="870" t="s">
        <v>2000</v>
      </c>
      <c r="C66" s="887" t="s">
        <v>1039</v>
      </c>
      <c r="D66" s="886" t="s">
        <v>309</v>
      </c>
      <c r="E66" s="869"/>
      <c r="F66" s="1939">
        <f>'Expenditures 15-22'!I210</f>
        <v>0</v>
      </c>
      <c r="G66" s="866"/>
    </row>
    <row r="67" spans="1:8" x14ac:dyDescent="0.2">
      <c r="A67" s="870" t="s">
        <v>482</v>
      </c>
      <c r="B67" s="870" t="s">
        <v>2001</v>
      </c>
      <c r="C67" s="887" t="str">
        <f>'Expenditures 15-22'!B216</f>
        <v>1125</v>
      </c>
      <c r="D67" s="893" t="str">
        <f>'Expenditures 15-22'!A216</f>
        <v>Pre-K Programs</v>
      </c>
      <c r="E67" s="869"/>
      <c r="F67" s="1939">
        <f>'Expenditures 15-22'!K216</f>
        <v>8615</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2002</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2003</v>
      </c>
      <c r="C70" s="887">
        <f>'Expenditures 15-22'!B221</f>
        <v>1300</v>
      </c>
      <c r="D70" s="888" t="str">
        <f>'Expenditures 15-22'!A221</f>
        <v>Adult/Continuing Education Programs</v>
      </c>
      <c r="E70" s="869"/>
      <c r="F70" s="1939">
        <f>'Expenditures 15-22'!K221</f>
        <v>0</v>
      </c>
      <c r="G70" s="866"/>
    </row>
    <row r="71" spans="1:8" x14ac:dyDescent="0.2">
      <c r="A71" s="870" t="s">
        <v>482</v>
      </c>
      <c r="B71" s="870" t="s">
        <v>2004</v>
      </c>
      <c r="C71" s="887">
        <f>'Expenditures 15-22'!B224</f>
        <v>1600</v>
      </c>
      <c r="D71" s="888" t="str">
        <f>'Expenditures 15-22'!A224</f>
        <v>Summer School Programs</v>
      </c>
      <c r="E71" s="869"/>
      <c r="F71" s="1939">
        <f>'Expenditures 15-22'!K224</f>
        <v>0</v>
      </c>
      <c r="G71" s="866"/>
    </row>
    <row r="72" spans="1:8" x14ac:dyDescent="0.2">
      <c r="A72" s="870" t="s">
        <v>482</v>
      </c>
      <c r="B72" s="870" t="s">
        <v>2005</v>
      </c>
      <c r="C72" s="887">
        <f>'Expenditures 15-22'!B280</f>
        <v>3000</v>
      </c>
      <c r="D72" s="877" t="s">
        <v>469</v>
      </c>
      <c r="E72" s="869"/>
      <c r="F72" s="1939">
        <f>'Expenditures 15-22'!K280</f>
        <v>9905</v>
      </c>
      <c r="G72" s="866"/>
    </row>
    <row r="73" spans="1:8" x14ac:dyDescent="0.2">
      <c r="A73" s="870" t="s">
        <v>482</v>
      </c>
      <c r="B73" s="870" t="s">
        <v>2006</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2007</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2008</v>
      </c>
      <c r="E76" s="1796" t="s">
        <v>1015</v>
      </c>
      <c r="F76" s="1800">
        <f>SUM(F18:F74)</f>
        <v>851757</v>
      </c>
      <c r="G76" s="866"/>
    </row>
    <row r="77" spans="1:8" s="894" customFormat="1" ht="12" customHeight="1" thickTop="1" thickBot="1" x14ac:dyDescent="0.25">
      <c r="A77" s="1801"/>
      <c r="B77" s="1798"/>
      <c r="C77" s="1794"/>
      <c r="D77" s="1799" t="s">
        <v>2009</v>
      </c>
      <c r="E77" s="1796"/>
      <c r="F77" s="1802">
        <f>(F14-F76)</f>
        <v>10761126</v>
      </c>
      <c r="G77" s="870"/>
    </row>
    <row r="78" spans="1:8" s="894" customFormat="1" ht="12" customHeight="1" thickTop="1" x14ac:dyDescent="0.2">
      <c r="A78" s="1803"/>
      <c r="B78" s="1798"/>
      <c r="C78" s="1794"/>
      <c r="D78" s="1799" t="s">
        <v>2056</v>
      </c>
      <c r="E78" s="1796"/>
      <c r="F78" s="899">
        <v>967.72</v>
      </c>
      <c r="G78" s="900"/>
      <c r="H78" s="870"/>
    </row>
    <row r="79" spans="1:8" s="894" customFormat="1" ht="12" customHeight="1" thickBot="1" x14ac:dyDescent="0.25">
      <c r="A79" s="1804"/>
      <c r="B79" s="1798"/>
      <c r="C79" s="1794"/>
      <c r="D79" s="1799" t="s">
        <v>2010</v>
      </c>
      <c r="E79" s="1796" t="s">
        <v>1015</v>
      </c>
      <c r="F79" s="1805">
        <f>IF(F78&gt;0,F77/F78," Complete Line 78")</f>
        <v>11120.082255197784</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76622</v>
      </c>
      <c r="G94" s="913"/>
    </row>
    <row r="95" spans="1:7" x14ac:dyDescent="0.2">
      <c r="A95" s="909" t="s">
        <v>142</v>
      </c>
      <c r="B95" s="909" t="s">
        <v>177</v>
      </c>
      <c r="C95" s="911">
        <v>1700</v>
      </c>
      <c r="D95" s="919" t="str">
        <f>'Revenues 9-14'!A82</f>
        <v>Total District/School Activity Income</v>
      </c>
      <c r="E95" s="907"/>
      <c r="F95" s="1811">
        <f>SUM('Revenues 9-14'!C82,'Revenues 9-14'!D82)</f>
        <v>7133</v>
      </c>
      <c r="G95" s="913"/>
    </row>
    <row r="96" spans="1:7" x14ac:dyDescent="0.2">
      <c r="A96" s="909" t="s">
        <v>479</v>
      </c>
      <c r="B96" s="909" t="s">
        <v>178</v>
      </c>
      <c r="C96" s="911">
        <f>'Revenues 9-14'!B84</f>
        <v>1811</v>
      </c>
      <c r="D96" s="912" t="str">
        <f>'Revenues 9-14'!A84</f>
        <v>Rentals - Regular Textbooks</v>
      </c>
      <c r="E96" s="907"/>
      <c r="F96" s="1811">
        <f>'Revenues 9-14'!C84</f>
        <v>27482</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90689</v>
      </c>
      <c r="G104" s="913"/>
    </row>
    <row r="105" spans="1:7" x14ac:dyDescent="0.2">
      <c r="A105" s="909" t="s">
        <v>524</v>
      </c>
      <c r="B105" s="909" t="s">
        <v>842</v>
      </c>
      <c r="C105" s="914">
        <v>3100</v>
      </c>
      <c r="D105" s="920" t="str">
        <f>'Revenues 9-14'!A131</f>
        <v>Total Special Education</v>
      </c>
      <c r="E105" s="907"/>
      <c r="F105" s="1811">
        <f>SUM('Revenues 9-14'!C131:D131,'Revenues 9-14'!F131)</f>
        <v>238595</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1037</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6108</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387933</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21066</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478672</v>
      </c>
      <c r="G129" s="931"/>
    </row>
    <row r="130" spans="1:7" x14ac:dyDescent="0.2">
      <c r="A130" s="928" t="s">
        <v>689</v>
      </c>
      <c r="B130" s="928" t="s">
        <v>804</v>
      </c>
      <c r="C130" s="933">
        <v>4300</v>
      </c>
      <c r="D130" s="934" t="str">
        <f>'Revenues 9-14'!A211</f>
        <v>Total Title I</v>
      </c>
      <c r="E130" s="907"/>
      <c r="F130" s="1811">
        <f>SUM('Revenues 9-14'!C211,'Revenues 9-14'!D211,'Revenues 9-14'!F211,'Revenues 9-14'!G211)</f>
        <v>276533</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220506</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7595</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485003</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485003</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41973</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19707</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75748</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2055</v>
      </c>
      <c r="C175" s="1946">
        <v>3100</v>
      </c>
      <c r="D175" s="1947" t="s">
        <v>2058</v>
      </c>
      <c r="E175" s="907"/>
      <c r="F175" s="1931"/>
      <c r="G175" s="928"/>
    </row>
    <row r="176" spans="1:7" x14ac:dyDescent="0.2">
      <c r="A176" s="1944" t="s">
        <v>685</v>
      </c>
      <c r="B176" s="1945" t="s">
        <v>2055</v>
      </c>
      <c r="C176" s="1946">
        <v>3300</v>
      </c>
      <c r="D176" s="1947" t="s">
        <v>2059</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2011</v>
      </c>
      <c r="E178" s="1809" t="s">
        <v>1015</v>
      </c>
      <c r="F178" s="1810">
        <f>SUM(F84:F136,F161:F176)</f>
        <v>2462402</v>
      </c>
    </row>
    <row r="179" spans="1:7" ht="12" customHeight="1" x14ac:dyDescent="0.2">
      <c r="A179" s="1792"/>
      <c r="B179" s="1806"/>
      <c r="C179" s="1807"/>
      <c r="D179" s="1808" t="s">
        <v>2012</v>
      </c>
      <c r="E179" s="1809"/>
      <c r="F179" s="1811">
        <f>'PCTC-OEPP 27-28'!F77-F178</f>
        <v>8298724</v>
      </c>
    </row>
    <row r="180" spans="1:7" ht="12" customHeight="1" x14ac:dyDescent="0.2">
      <c r="A180" s="1792"/>
      <c r="B180" s="1806"/>
      <c r="C180" s="1807"/>
      <c r="D180" s="1808" t="s">
        <v>1921</v>
      </c>
      <c r="E180" s="1809"/>
      <c r="F180" s="1811">
        <f>'Cap Outlay Deprec 26'!I18</f>
        <v>778885</v>
      </c>
    </row>
    <row r="181" spans="1:7" ht="12" customHeight="1" x14ac:dyDescent="0.2">
      <c r="A181" s="1792"/>
      <c r="B181" s="1806"/>
      <c r="C181" s="1807"/>
      <c r="D181" s="1808" t="s">
        <v>2013</v>
      </c>
      <c r="E181" s="1809"/>
      <c r="F181" s="1811">
        <f>F179+F180</f>
        <v>9077609</v>
      </c>
    </row>
    <row r="182" spans="1:7" ht="12" customHeight="1" x14ac:dyDescent="0.2">
      <c r="A182" s="1792"/>
      <c r="B182" s="1812"/>
      <c r="C182" s="1807"/>
      <c r="D182" s="1808" t="str">
        <f>D78</f>
        <v>9 Month ADA from District Average Daily Attendance/Prior General State Aid Inquiry 2017-2018</v>
      </c>
      <c r="E182" s="1809"/>
      <c r="F182" s="1813">
        <f>'PCTC-OEPP 27-28'!F78</f>
        <v>967.72</v>
      </c>
      <c r="G182" s="931"/>
    </row>
    <row r="183" spans="1:7" ht="12" customHeight="1" thickBot="1" x14ac:dyDescent="0.25">
      <c r="A183" s="1792"/>
      <c r="B183" s="1812"/>
      <c r="C183" s="1807"/>
      <c r="D183" s="1808" t="s">
        <v>2014</v>
      </c>
      <c r="E183" s="1809" t="s">
        <v>1626</v>
      </c>
      <c r="F183" s="1814">
        <f>F181/F182</f>
        <v>9380.4085892613566</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8" customFormat="1" ht="12.2" customHeight="1" x14ac:dyDescent="0.2">
      <c r="A186" s="1948" t="s">
        <v>2062</v>
      </c>
      <c r="B186" s="1949"/>
      <c r="C186" s="1950"/>
      <c r="D186" s="1949"/>
      <c r="E186" s="1950"/>
      <c r="F186" s="1949"/>
      <c r="G186" s="1949"/>
    </row>
    <row r="187" spans="1:7" s="1948" customFormat="1" ht="12.2" customHeight="1" x14ac:dyDescent="0.2">
      <c r="A187" s="1951" t="s">
        <v>2063</v>
      </c>
      <c r="C187" s="1950"/>
      <c r="D187" s="1949"/>
      <c r="E187" s="1950"/>
      <c r="F187" s="1949"/>
      <c r="G187" s="1949"/>
    </row>
    <row r="188" spans="1:7" ht="12" customHeight="1" x14ac:dyDescent="0.2">
      <c r="C188" s="950"/>
      <c r="D188" s="931"/>
      <c r="E188" s="950"/>
      <c r="F188" s="931"/>
      <c r="G188" s="931"/>
    </row>
    <row r="189" spans="1:7" x14ac:dyDescent="0.2">
      <c r="A189" s="1952" t="s">
        <v>2061</v>
      </c>
      <c r="B189" s="1953"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orizontalCentered="1"/>
  <pageMargins left="0.75" right="0.75" top="1" bottom="0.5" header="0.5" footer="0.5"/>
  <pageSetup scale="65" firstPageNumber="27" orientation="portrait" r:id="rId2"/>
  <headerFooter>
    <oddHeader>&amp;C&amp;"Times New Roman,Regular"BELLE VALLEY SCHOOL DISTRICT NO. 119
ESTIMATED OPERATING EXPENSE PER PUPIL/PER CAPITA TUITION CHARGE COMPUTATIONS
FOR THE YEAR ENDED JUNE 30, 2018</oddHeader>
    <oddFooter>&amp;C&amp;"Times New Roman,Regular"See Independent Auditor's Reports
&amp;P</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1"/>
  <sheetViews>
    <sheetView showGridLines="0" zoomScaleNormal="100" workbookViewId="0">
      <pane ySplit="16" topLeftCell="A17" activePane="bottomLeft" state="frozen"/>
      <selection activeCell="AF38" sqref="AF38"/>
      <selection pane="bottomLeft" activeCell="A18" sqref="A18"/>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1937</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1922</v>
      </c>
      <c r="B4" s="2289"/>
      <c r="C4" s="2289"/>
      <c r="D4" s="2289"/>
      <c r="E4" s="2289"/>
      <c r="F4" s="2289"/>
      <c r="G4" s="2290"/>
    </row>
    <row r="5" spans="1:7" x14ac:dyDescent="0.25">
      <c r="A5" s="2291"/>
      <c r="B5" s="2292"/>
      <c r="C5" s="2292"/>
      <c r="D5" s="2292"/>
      <c r="E5" s="2292"/>
      <c r="F5" s="2292"/>
      <c r="G5" s="2293"/>
    </row>
    <row r="6" spans="1:7" ht="18.75" x14ac:dyDescent="0.25">
      <c r="A6" s="1556" t="s">
        <v>1923</v>
      </c>
      <c r="B6" s="1557"/>
      <c r="C6" s="1557"/>
      <c r="D6" s="1557"/>
      <c r="E6" s="1557"/>
      <c r="F6" s="1557"/>
      <c r="G6" s="1558"/>
    </row>
    <row r="7" spans="1:7" ht="30.75" customHeight="1" x14ac:dyDescent="0.25">
      <c r="A7" s="2294" t="s">
        <v>2072</v>
      </c>
      <c r="B7" s="2295"/>
      <c r="C7" s="2295"/>
      <c r="D7" s="2295"/>
      <c r="E7" s="2295"/>
      <c r="F7" s="2295"/>
      <c r="G7" s="2296"/>
    </row>
    <row r="8" spans="1:7" ht="15.75" customHeight="1" x14ac:dyDescent="0.25">
      <c r="A8" s="2297" t="s">
        <v>2021</v>
      </c>
      <c r="B8" s="2298"/>
      <c r="C8" s="2298"/>
      <c r="D8" s="2298"/>
      <c r="E8" s="2298"/>
      <c r="F8" s="2298"/>
      <c r="G8" s="2299"/>
    </row>
    <row r="9" spans="1:7" ht="35.25" customHeight="1" x14ac:dyDescent="0.25">
      <c r="A9" s="2294" t="s">
        <v>2020</v>
      </c>
      <c r="B9" s="2295"/>
      <c r="C9" s="2295"/>
      <c r="D9" s="2295"/>
      <c r="E9" s="2295"/>
      <c r="F9" s="2295"/>
      <c r="G9" s="2296"/>
    </row>
    <row r="10" spans="1:7" ht="15" customHeight="1" x14ac:dyDescent="0.25">
      <c r="A10" s="1559" t="s">
        <v>1924</v>
      </c>
      <c r="B10" s="1560"/>
      <c r="C10" s="1560"/>
      <c r="D10" s="1560"/>
      <c r="E10" s="1560"/>
      <c r="F10" s="1560"/>
      <c r="G10" s="1561"/>
    </row>
    <row r="11" spans="1:7" ht="17.25" customHeight="1" x14ac:dyDescent="0.25">
      <c r="A11" s="2294" t="s">
        <v>1938</v>
      </c>
      <c r="B11" s="2295"/>
      <c r="C11" s="2295"/>
      <c r="D11" s="2295"/>
      <c r="E11" s="2295"/>
      <c r="F11" s="2295"/>
      <c r="G11" s="2296"/>
    </row>
    <row r="12" spans="1:7" ht="15" customHeight="1" x14ac:dyDescent="0.25">
      <c r="A12" s="1559" t="s">
        <v>1929</v>
      </c>
      <c r="B12" s="1560"/>
      <c r="C12" s="1560"/>
      <c r="D12" s="1560"/>
      <c r="E12" s="1560"/>
      <c r="F12" s="1560"/>
      <c r="G12" s="1561"/>
    </row>
    <row r="13" spans="1:7" ht="32.25" customHeight="1" x14ac:dyDescent="0.25">
      <c r="A13" s="2285" t="s">
        <v>1930</v>
      </c>
      <c r="B13" s="2286"/>
      <c r="C13" s="2286"/>
      <c r="D13" s="2286"/>
      <c r="E13" s="2286"/>
      <c r="F13" s="2286"/>
      <c r="G13" s="2287"/>
    </row>
    <row r="14" spans="1:7" x14ac:dyDescent="0.25">
      <c r="A14" s="1683" t="s">
        <v>1939</v>
      </c>
      <c r="B14" s="1684"/>
      <c r="C14" s="1684"/>
      <c r="D14" s="1684"/>
      <c r="E14" s="1684"/>
      <c r="F14" s="1684"/>
      <c r="G14" s="1685"/>
    </row>
    <row r="15" spans="1:7" ht="61.5" customHeight="1" x14ac:dyDescent="0.25">
      <c r="A15" s="1568" t="s">
        <v>1931</v>
      </c>
      <c r="B15" s="1568" t="s">
        <v>1932</v>
      </c>
      <c r="C15" s="1568" t="s">
        <v>1933</v>
      </c>
      <c r="D15" s="1569" t="s">
        <v>1934</v>
      </c>
      <c r="E15" s="1569" t="s">
        <v>1925</v>
      </c>
      <c r="F15" s="1569" t="s">
        <v>1935</v>
      </c>
      <c r="G15" s="1569" t="s">
        <v>1936</v>
      </c>
    </row>
    <row r="16" spans="1:7" x14ac:dyDescent="0.25">
      <c r="A16" s="1670" t="s">
        <v>1940</v>
      </c>
      <c r="B16" s="1671" t="s">
        <v>1928</v>
      </c>
      <c r="C16" s="1672" t="s">
        <v>1926</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2160</v>
      </c>
      <c r="B17" s="1957" t="s">
        <v>2161</v>
      </c>
      <c r="C17" s="1958" t="s">
        <v>2092</v>
      </c>
      <c r="D17" s="1867">
        <v>1</v>
      </c>
      <c r="E17" s="1562">
        <f t="shared" ref="E17:E141" si="1">IF(D17&lt;=25000,D17,IF(D17&gt;25000,25000,0))</f>
        <v>1</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v>
      </c>
      <c r="E141" s="1563">
        <f t="shared" si="1"/>
        <v>1</v>
      </c>
      <c r="F141" s="1817">
        <f>SUM(F17:F140)</f>
        <v>0</v>
      </c>
      <c r="G141" s="1818">
        <f>SUM(G17:G140)</f>
        <v>0</v>
      </c>
    </row>
  </sheetData>
  <sheetProtection sheet="1" selectLockedCells="1"/>
  <mergeCells count="6">
    <mergeCell ref="A13:G13"/>
    <mergeCell ref="A4:G5"/>
    <mergeCell ref="A11:G11"/>
    <mergeCell ref="A7:G7"/>
    <mergeCell ref="A8:G8"/>
    <mergeCell ref="A9:G9"/>
  </mergeCells>
  <printOptions horizontalCentered="1"/>
  <pageMargins left="0.75" right="0.75" top="1.1000000000000001" bottom="0.5" header="0.5" footer="0.5"/>
  <pageSetup scale="54" firstPageNumber="30" fitToHeight="0" orientation="portrait" r:id="rId1"/>
  <headerFooter>
    <oddHeader>&amp;C&amp;"Times New Roman,Regular"BELLE VALLEY SCHOOL DISTRICT NO. 119
CURRENT YEAR PAYMENT ON CONTRACTS FOR INDIRECT COST RATE COMPUTATION
FOR THE YEAR ENDED JUNE 30, 2018</oddHeader>
    <oddFooter>&amp;C&amp;"Times New Roman,Regular"See Independent Auditor's Reports
&amp;P</oddFooter>
  </headerFooter>
  <rowBreaks count="1" manualBreakCount="1">
    <brk id="72"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v>514740</v>
      </c>
      <c r="F10" s="975"/>
      <c r="G10" s="976"/>
      <c r="H10" s="162"/>
      <c r="I10" s="162"/>
    </row>
    <row r="11" spans="1:9" s="669" customFormat="1" ht="22.5" customHeight="1" x14ac:dyDescent="0.2">
      <c r="A11" s="2305" t="s">
        <v>1942</v>
      </c>
      <c r="B11" s="2306"/>
      <c r="C11" s="2306"/>
      <c r="D11" s="2307"/>
      <c r="E11" s="978">
        <v>43453</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5037651</v>
      </c>
      <c r="F19" s="1822"/>
      <c r="G19" s="1824">
        <f>'Expenditures 15-22'!K33-SUM('Expenditures 15-22'!G33,'Expenditures 15-22'!I33)+'Expenditures 15-22'!D229</f>
        <v>5037651</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383558</v>
      </c>
      <c r="F21" s="1825"/>
      <c r="G21" s="1828">
        <f>'Expenditures 15-22'!K42-SUM('Expenditures 15-22'!G42,'Expenditures 15-22'!I42)+'Expenditures 15-22'!K120-SUM('Expenditures 15-22'!G120,'Expenditures 15-22'!I120)+'Expenditures 15-22'!K180-SUM('Expenditures 15-22'!G180,'Expenditures 15-22'!I180)+'Expenditures 15-22'!D238</f>
        <v>383558</v>
      </c>
      <c r="H21" s="988"/>
      <c r="I21" s="162"/>
    </row>
    <row r="22" spans="1:9" s="669" customFormat="1" ht="12" customHeight="1" x14ac:dyDescent="0.2">
      <c r="A22" s="995" t="s">
        <v>585</v>
      </c>
      <c r="B22" s="996"/>
      <c r="C22" s="994">
        <v>2200</v>
      </c>
      <c r="D22" s="1825"/>
      <c r="E22" s="1827">
        <f>'Expenditures 15-22'!K47-SUM('Expenditures 15-22'!G47,'Expenditures 15-22'!I47)+'Expenditures 15-22'!D243</f>
        <v>177993</v>
      </c>
      <c r="F22" s="1825"/>
      <c r="G22" s="1828">
        <f>'Expenditures 15-22'!K47-SUM('Expenditures 15-22'!G47,'Expenditures 15-22'!I47)+'Expenditures 15-22'!D243</f>
        <v>177993</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370143</v>
      </c>
      <c r="F23" s="1825"/>
      <c r="G23" s="1827">
        <f>'Expenditures 15-22'!K53-SUM('Expenditures 15-22'!G53,'Expenditures 15-22'!I53)+'Expenditures 15-22'!D257+'Expenditures 15-22'!K330-SUM('Expenditures 15-22'!G330,'Expenditures 15-22'!I330)</f>
        <v>370143</v>
      </c>
      <c r="H23" s="988"/>
      <c r="I23" s="162"/>
    </row>
    <row r="24" spans="1:9" s="669" customFormat="1" ht="12" customHeight="1" x14ac:dyDescent="0.2">
      <c r="A24" s="995" t="s">
        <v>587</v>
      </c>
      <c r="B24" s="996"/>
      <c r="C24" s="994">
        <v>2400</v>
      </c>
      <c r="D24" s="1825"/>
      <c r="E24" s="1827">
        <f>'Expenditures 15-22'!K57-SUM('Expenditures 15-22'!G57,'Expenditures 15-22'!I57)+'Expenditures 15-22'!D261</f>
        <v>570049</v>
      </c>
      <c r="F24" s="1825"/>
      <c r="G24" s="1828">
        <f>'Expenditures 15-22'!K57-SUM('Expenditures 15-22'!G57,'Expenditures 15-22'!I57)+'Expenditures 15-22'!D261</f>
        <v>570049</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106901</v>
      </c>
      <c r="E26" s="1827">
        <f>'Expenditures 15-22'!K122-SUM('Expenditures 15-22'!G122,'Expenditures 15-22'!I122)+E7</f>
        <v>0</v>
      </c>
      <c r="F26" s="1827">
        <f>'Expenditures 15-22'!K59-SUM('Expenditures 15-22'!G59,'Expenditures 15-22'!I59)+'Expenditures 15-22'!D263-E7</f>
        <v>106901</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0</v>
      </c>
      <c r="E27" s="1827">
        <f>E8</f>
        <v>0</v>
      </c>
      <c r="F27" s="1827">
        <f>'Expenditures 15-22'!K60-SUM('Expenditures 15-22'!G60,'Expenditures 15-22'!I60)+'Expenditures 15-22'!D264-E8</f>
        <v>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471836</v>
      </c>
      <c r="F28" s="1829">
        <f>'Expenditures 15-22'!K61-SUM('Expenditures 15-22'!G61,'Expenditures 15-22'!I61)+'Expenditures 15-22'!K124-SUM('Expenditures 15-22'!G124,'Expenditures 15-22'!I124)+'Expenditures 15-22'!D266-E9</f>
        <v>471836</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567302</v>
      </c>
      <c r="F29" s="1825"/>
      <c r="G29" s="1828">
        <f>'Expenditures 15-22'!K62-SUM('Expenditures 15-22'!G62,'Expenditures 15-22'!I62)+'Expenditures 15-22'!K125-SUM('Expenditures 15-22'!G125,'Expenditures 15-22'!I125)+'Expenditures 15-22'!K182-SUM('Expenditures 15-22'!G182,'Expenditures 15-22'!I182)+'Expenditures 15-22'!D267</f>
        <v>567302</v>
      </c>
      <c r="H29" s="986"/>
    </row>
    <row r="30" spans="1:9" ht="12" customHeight="1" x14ac:dyDescent="0.2">
      <c r="A30" s="995" t="s">
        <v>102</v>
      </c>
      <c r="B30" s="998"/>
      <c r="C30" s="994">
        <v>2560</v>
      </c>
      <c r="D30" s="1825"/>
      <c r="E30" s="1827">
        <f>'Expenditures 15-22'!K63-SUM('Expenditures 15-22'!G63,'Expenditures 15-22'!I63)+'Expenditures 15-22'!D268-E10</f>
        <v>20178</v>
      </c>
      <c r="F30" s="1825"/>
      <c r="G30" s="1827">
        <f>'Expenditures 15-22'!K63-SUM('Expenditures 15-22'!G63,'Expenditures 15-22'!I63)+'Expenditures 15-22'!D268-E10</f>
        <v>20178</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103861</v>
      </c>
      <c r="F39" s="1825"/>
      <c r="G39" s="1827">
        <f>'Expenditures 15-22'!K75-SUM('Expenditures 15-22'!G75,'Expenditures 15-22'!I75)+'Expenditures 15-22'!K130-SUM('Expenditures 15-22'!G130,'Expenditures 15-22'!I130)+'Expenditures 15-22'!K185-SUM('Expenditures 15-22'!G185,'Expenditures 15-22'!I185)+'Expenditures 15-22'!D280</f>
        <v>103861</v>
      </c>
    </row>
    <row r="40" spans="1:7" ht="12" customHeight="1" x14ac:dyDescent="0.2">
      <c r="A40" s="991" t="s">
        <v>1927</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106901</v>
      </c>
      <c r="E41" s="1829">
        <f>SUM(E19:E40)</f>
        <v>7702571</v>
      </c>
      <c r="F41" s="1829">
        <f>SUM(F19:F39)</f>
        <v>578737</v>
      </c>
      <c r="G41" s="1829">
        <f>SUM(G19:G40)</f>
        <v>7230735</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106901</v>
      </c>
      <c r="F43" s="1830" t="s">
        <v>495</v>
      </c>
      <c r="G43" s="1831">
        <f>F41</f>
        <v>578737</v>
      </c>
    </row>
    <row r="44" spans="1:7" ht="12" customHeight="1" x14ac:dyDescent="0.2">
      <c r="A44" s="988"/>
      <c r="B44" s="162"/>
      <c r="C44" s="1002"/>
      <c r="D44" s="1830" t="s">
        <v>494</v>
      </c>
      <c r="E44" s="1831">
        <f>E41</f>
        <v>7702571</v>
      </c>
      <c r="F44" s="1830" t="s">
        <v>494</v>
      </c>
      <c r="G44" s="1831">
        <f>G41</f>
        <v>7230735</v>
      </c>
    </row>
    <row r="45" spans="1:7" ht="12" customHeight="1" x14ac:dyDescent="0.2">
      <c r="A45" s="988"/>
      <c r="B45" s="162"/>
      <c r="C45" s="162"/>
      <c r="D45" s="1832" t="s">
        <v>1063</v>
      </c>
      <c r="E45" s="1833">
        <f>(E43/E44)</f>
        <v>1.3878612738525876E-2</v>
      </c>
      <c r="F45" s="1832" t="s">
        <v>1063</v>
      </c>
      <c r="G45" s="1833">
        <f>(G43/G44)</f>
        <v>8.0038474650225733E-2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orizontalCentered="1"/>
  <pageMargins left="0.75" right="0.75" top="1" bottom="0.5" header="0.5" footer="0.5"/>
  <pageSetup scale="77" firstPageNumber="30" orientation="landscape" r:id="rId1"/>
  <headerFooter>
    <oddHeader>&amp;C&amp;"Times New Roman,Regular"BELLE VALLEY SCHOOL DISTRICT NO. 119
ESTIMATED INDIRECT COST RATE DATA
FOR THE YEAR ENDED JUNE 30, 2018</oddHeader>
    <oddFooter>&amp;C&amp;"Times New Roman,Regular"See Independent Auditor's Reports
&amp;P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F38" sqref="AF38"/>
      <selection pane="bottomLeft" activeCell="E30" sqref="E30"/>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2" t="s">
        <v>1446</v>
      </c>
      <c r="B1" s="2322"/>
      <c r="C1" s="2322"/>
      <c r="D1" s="2322"/>
      <c r="E1" s="2322"/>
      <c r="F1" s="2322"/>
    </row>
    <row r="2" spans="1:10" x14ac:dyDescent="0.2">
      <c r="A2" s="1912" t="s">
        <v>2045</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3" t="s">
        <v>1627</v>
      </c>
      <c r="B5" s="2324"/>
      <c r="C5" s="2325"/>
      <c r="D5" s="2325"/>
      <c r="E5" s="2325"/>
      <c r="F5" s="2325"/>
    </row>
    <row r="6" spans="1:10" ht="12" customHeight="1" x14ac:dyDescent="0.25">
      <c r="A6" s="1875"/>
      <c r="B6" s="1876"/>
      <c r="C6" s="2326" t="str">
        <f>COVER!A17</f>
        <v>Belle Valley SD 119</v>
      </c>
      <c r="D6" s="2326"/>
      <c r="E6" s="2326"/>
      <c r="F6" s="1877"/>
    </row>
    <row r="7" spans="1:10" ht="11.25" customHeight="1" thickBot="1" x14ac:dyDescent="0.3">
      <c r="A7" s="1875"/>
      <c r="B7" s="1876"/>
      <c r="C7" s="2327">
        <f>COVER!A13</f>
        <v>50082119002</v>
      </c>
      <c r="D7" s="2327"/>
      <c r="E7" s="2327"/>
      <c r="F7" s="1877"/>
    </row>
    <row r="8" spans="1:10" ht="25.5" customHeight="1" thickBot="1" x14ac:dyDescent="0.25">
      <c r="A8" s="1918" t="s">
        <v>2022</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2074</v>
      </c>
      <c r="D26" s="1890" t="s">
        <v>2074</v>
      </c>
      <c r="E26" s="1893" t="s">
        <v>2074</v>
      </c>
      <c r="F26" s="1892" t="s">
        <v>2090</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t="s">
        <v>2074</v>
      </c>
      <c r="D30" s="1890" t="s">
        <v>2074</v>
      </c>
      <c r="E30" s="1893"/>
      <c r="F30" s="1892" t="s">
        <v>2091</v>
      </c>
      <c r="H30" s="1903">
        <f t="shared" si="0"/>
        <v>5</v>
      </c>
      <c r="I30" s="1903">
        <f t="shared" si="1"/>
        <v>5</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10</v>
      </c>
      <c r="I34" s="1903">
        <f>SUM(I11:I32)</f>
        <v>10</v>
      </c>
      <c r="J34" s="1903">
        <f>SUM(J11:J32)</f>
        <v>5</v>
      </c>
      <c r="K34" s="1903">
        <f>SUM(H34:J34)</f>
        <v>25</v>
      </c>
    </row>
    <row r="35" spans="1:11" ht="12" customHeight="1" x14ac:dyDescent="0.2">
      <c r="A35" s="1896" t="s">
        <v>1459</v>
      </c>
      <c r="B35" s="1897"/>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8"/>
      <c r="B39" s="1898"/>
      <c r="C39" s="1898"/>
      <c r="D39" s="1898"/>
      <c r="E39" s="1898"/>
      <c r="F39" s="1898"/>
    </row>
    <row r="40" spans="1:11" s="1895" customFormat="1" ht="12" customHeight="1" x14ac:dyDescent="0.25">
      <c r="A40" s="1899" t="s">
        <v>1458</v>
      </c>
      <c r="B40" s="1900"/>
      <c r="C40" s="2317"/>
      <c r="D40" s="2317"/>
      <c r="E40" s="2317"/>
      <c r="F40" s="2318"/>
      <c r="H40" s="1904"/>
      <c r="I40" s="1904"/>
      <c r="J40" s="1904"/>
      <c r="K40" s="1904"/>
    </row>
    <row r="41" spans="1:11" s="1895" customFormat="1" ht="12" customHeight="1" x14ac:dyDescent="0.25">
      <c r="A41" s="2319"/>
      <c r="B41" s="2320"/>
      <c r="C41" s="2320"/>
      <c r="D41" s="2320"/>
      <c r="E41" s="2320"/>
      <c r="F41" s="2321"/>
      <c r="H41" s="1904"/>
      <c r="I41" s="1904"/>
      <c r="J41" s="1904"/>
      <c r="K41" s="1904"/>
    </row>
    <row r="42" spans="1:11" s="1895" customFormat="1" ht="12" customHeight="1" x14ac:dyDescent="0.25">
      <c r="A42" s="2319"/>
      <c r="B42" s="2320"/>
      <c r="C42" s="2320"/>
      <c r="D42" s="2320"/>
      <c r="E42" s="2320"/>
      <c r="F42" s="2321"/>
      <c r="H42" s="1904"/>
      <c r="I42" s="1904"/>
      <c r="J42" s="1904"/>
      <c r="K42" s="1904"/>
    </row>
    <row r="43" spans="1:11" s="1895" customFormat="1" ht="15" x14ac:dyDescent="0.25">
      <c r="A43" s="2308"/>
      <c r="B43" s="2309"/>
      <c r="C43" s="2309"/>
      <c r="D43" s="2309"/>
      <c r="E43" s="2309"/>
      <c r="F43" s="2310"/>
      <c r="H43" s="1904"/>
      <c r="I43" s="1904"/>
      <c r="J43" s="1904"/>
      <c r="K43" s="1904"/>
    </row>
    <row r="44" spans="1:11" s="1895" customFormat="1" ht="12" hidden="1" customHeight="1" x14ac:dyDescent="0.25">
      <c r="A44" s="2308"/>
      <c r="B44" s="2309"/>
      <c r="C44" s="2309"/>
      <c r="D44" s="2309"/>
      <c r="E44" s="2309"/>
      <c r="F44" s="2310"/>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pageMargins left="0.75" right="0.75" top="1.25" bottom="0.5" header="0.5" footer="0.5"/>
  <pageSetup scale="76" orientation="landscape" r:id="rId1"/>
  <headerFooter>
    <oddHeader>&amp;C&amp;"Times New Roman,Regular"BELLE VALLEY SCHOOL DISTRICT NO. 119</oddHeader>
    <oddFooter>&amp;C&amp;"Times New Roman,Regular"See Independent Auditor's Reports
&amp;P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6" sqref="H1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Belle Valley SD 119</v>
      </c>
      <c r="J6" s="2336"/>
      <c r="Q6" s="1686"/>
    </row>
    <row r="7" spans="1:17" x14ac:dyDescent="0.2">
      <c r="A7" s="2337" t="s">
        <v>924</v>
      </c>
      <c r="B7" s="2338"/>
      <c r="C7" s="2338"/>
      <c r="D7" s="2338"/>
      <c r="E7" s="2339"/>
      <c r="F7" s="1018"/>
      <c r="G7" s="1010"/>
      <c r="H7" s="1017" t="s">
        <v>390</v>
      </c>
      <c r="I7" s="2340">
        <f>COVER!A13</f>
        <v>50082119002</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158230</v>
      </c>
      <c r="F12" s="1040"/>
      <c r="G12" s="1834">
        <f t="shared" ref="G12:G18" si="0">SUM(E12:F12)</f>
        <v>158230</v>
      </c>
      <c r="H12" s="1041">
        <v>164725</v>
      </c>
      <c r="I12" s="1040"/>
      <c r="J12" s="1834">
        <f t="shared" ref="J12:J18" si="1">SUM(H12:I12)</f>
        <v>164725</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105766</v>
      </c>
      <c r="F15" s="1834">
        <f>'Expenditures 15-22'!K122</f>
        <v>0</v>
      </c>
      <c r="G15" s="1834">
        <f t="shared" si="0"/>
        <v>105766</v>
      </c>
      <c r="H15" s="1041">
        <v>109150</v>
      </c>
      <c r="I15" s="1041"/>
      <c r="J15" s="1834">
        <f t="shared" si="1"/>
        <v>109150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263996</v>
      </c>
      <c r="F19" s="1836">
        <f t="shared" si="2"/>
        <v>0</v>
      </c>
      <c r="G19" s="1836">
        <f t="shared" si="2"/>
        <v>263996</v>
      </c>
      <c r="H19" s="1836">
        <f t="shared" si="2"/>
        <v>273875</v>
      </c>
      <c r="I19" s="1836">
        <f t="shared" si="2"/>
        <v>0</v>
      </c>
      <c r="J19" s="1836">
        <f t="shared" si="2"/>
        <v>273875</v>
      </c>
    </row>
    <row r="20" spans="1:10" ht="13.5" thickTop="1" x14ac:dyDescent="0.2">
      <c r="A20" s="1036">
        <v>9</v>
      </c>
      <c r="B20" s="2347" t="s">
        <v>1703</v>
      </c>
      <c r="C20" s="2347"/>
      <c r="D20" s="2348"/>
      <c r="E20" s="1047"/>
      <c r="F20" s="1047"/>
      <c r="G20" s="1047"/>
      <c r="H20" s="1047"/>
      <c r="I20" s="1047"/>
      <c r="J20" s="1837">
        <f>IF(AND(G19&gt;0,J19&gt;0),(((J19-G19)/G19)),"Enter Budget Data")</f>
        <v>3.7421021530629255E-2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1941</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pageMargins left="0.75" right="0.75" top="1" bottom="0.5" header="0.5" footer="0.5"/>
  <pageSetup scale="85" firstPageNumber="31" orientation="landscape" r:id="rId1"/>
  <headerFooter>
    <oddHeader>&amp;C&amp;"Times New Roman,Regular"BELLE VALLEY SCHOOL DISTRICT NO. 119
LIMITATION OF ADMINISTRATIVE COSTS WORKSHEET
FOR THE YEAR ENDED JUNE 30, 2018</oddHeader>
    <oddFooter>&amp;C&amp;"Times New Roman,Regular"See Independent Auditor's Reports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topLeftCell="B1" zoomScale="110" zoomScaleNormal="110" workbookViewId="0">
      <selection activeCell="B12" sqref="B12"/>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4" spans="1:2" x14ac:dyDescent="0.2">
      <c r="B4" s="329" t="s">
        <v>2093</v>
      </c>
    </row>
    <row r="5" spans="1:2" x14ac:dyDescent="0.2">
      <c r="A5" s="1069">
        <v>1</v>
      </c>
      <c r="B5" s="329" t="s">
        <v>2094</v>
      </c>
    </row>
    <row r="6" spans="1:2" x14ac:dyDescent="0.2">
      <c r="A6" s="1069">
        <v>2</v>
      </c>
      <c r="B6" s="329" t="s">
        <v>2095</v>
      </c>
    </row>
    <row r="7" spans="1:2" x14ac:dyDescent="0.2">
      <c r="A7" s="1069">
        <v>3</v>
      </c>
      <c r="B7" s="329" t="s">
        <v>2096</v>
      </c>
    </row>
    <row r="8" spans="1:2" x14ac:dyDescent="0.2">
      <c r="A8" s="1069">
        <v>4</v>
      </c>
      <c r="B8" s="329" t="s">
        <v>2097</v>
      </c>
    </row>
    <row r="9" spans="1:2" x14ac:dyDescent="0.2">
      <c r="A9" s="1070"/>
      <c r="B9" s="329" t="s">
        <v>2098</v>
      </c>
    </row>
    <row r="10" spans="1:2" x14ac:dyDescent="0.2">
      <c r="A10" s="1070"/>
      <c r="B10" s="329" t="s">
        <v>2099</v>
      </c>
    </row>
    <row r="11" spans="1:2" x14ac:dyDescent="0.2">
      <c r="A11" s="1070"/>
      <c r="B11" s="329" t="s">
        <v>2100</v>
      </c>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Belle Valley SD 119</v>
      </c>
    </row>
    <row r="65" spans="2:2" x14ac:dyDescent="0.2">
      <c r="B65" s="1071">
        <f>COVER!A13</f>
        <v>50082119002</v>
      </c>
    </row>
  </sheetData>
  <phoneticPr fontId="12" type="noConversion"/>
  <printOptions horizontalCentered="1"/>
  <pageMargins left="0.75" right="0.75" top="1.1000000000000001" bottom="0.5" header="0.5" footer="0.5"/>
  <pageSetup scale="80" firstPageNumber="32" orientation="portrait" r:id="rId1"/>
  <headerFooter>
    <oddHeader>&amp;C&amp;"Times New Roman,Regular"BELLE VALLEY SCHOOL DISTRICT NO. 119
ITEMIZATION SCHEDULE
FOR THE YEAR ENDED JUNE 30, 2018</oddHeader>
    <oddFooter>&amp;C&amp;"Times New Roman,Regular"See Independent Auditor's Reports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4"/>
  <sheetViews>
    <sheetView showGridLines="0" topLeftCell="A10" zoomScale="110" zoomScaleNormal="110" workbookViewId="0">
      <selection activeCell="B50" sqref="B5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9" t="s">
        <v>1709</v>
      </c>
    </row>
    <row r="23" spans="1:5" x14ac:dyDescent="0.2">
      <c r="A23" s="168"/>
      <c r="B23" s="162" t="s">
        <v>1966</v>
      </c>
      <c r="D23" s="167" t="s">
        <v>658</v>
      </c>
      <c r="E23" s="1859"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7" t="s">
        <v>1876</v>
      </c>
    </row>
    <row r="60" spans="1:3" x14ac:dyDescent="0.2">
      <c r="A60" s="196"/>
      <c r="B60" s="1507"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9"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8"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rintOptions horizontalCentered="1"/>
  <pageMargins left="0.75" right="0.75" top="1" bottom="0.5" header="0.5" footer="0.5"/>
  <pageSetup scale="72" fitToHeight="0" orientation="portrait" r:id="rId4"/>
  <headerFooter>
    <oddHeader>&amp;C&amp;"Times New Roman,Regular"BELLE VALLEY SCHOOL DISTRICT NO. 119</oddHeader>
    <oddFooter>&amp;C&amp;"Times New Roman,Regular"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F38" sqref="AF3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rintOptions horizontalCentered="1"/>
  <pageMargins left="0.75" right="0.75" top="1" bottom="0.5" header="0.5" footer="0.5"/>
  <pageSetup scale="75" firstPageNumber="33" orientation="landscape" r:id="rId1"/>
  <headerFooter>
    <oddHeader>&amp;C
&amp;"Times New Roman,Regular"FOR THE YEAR ENDED JUNE 30, 2018</oddHeader>
    <oddFooter>&amp;C&amp;"Times New Roman,Regular"See Independent Auditor's Reports
&amp;P</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9" sqref="B9"/>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2" type="noConversion"/>
  <printOptions horizontalCentered="1"/>
  <pageMargins left="0.75" right="0.75" top="1" bottom="0.5" header="0.5" footer="0.5"/>
  <pageSetup scale="75" firstPageNumber="34" orientation="landscape" r:id="rId1"/>
  <headerFooter>
    <oddHeader>&amp;C
&amp;"Times New Roman,Regular"FOR THE YEAR ENDED JUNE 30, 2018</oddHeader>
    <oddFooter>&amp;C&amp;"Times New Roman,Regular"See Independent Auditor's Reports
&amp;P</oddFoot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H48"/>
  <sheetViews>
    <sheetView showGridLines="0" showZeros="0" topLeftCell="Q7" zoomScale="110" zoomScaleNormal="110" workbookViewId="0">
      <selection activeCell="AF38" sqref="AF38"/>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2053</v>
      </c>
      <c r="B4" s="2375"/>
      <c r="C4" s="2375"/>
      <c r="D4" s="2375"/>
      <c r="E4" s="2375"/>
      <c r="F4" s="2376"/>
      <c r="G4" s="1075"/>
      <c r="H4" s="1075"/>
    </row>
    <row r="5" spans="1:8" ht="14.25" customHeight="1" x14ac:dyDescent="0.2">
      <c r="A5" s="2377" t="s">
        <v>2054</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9507928</v>
      </c>
      <c r="C8" s="1838">
        <f>'Acct Summary 7-8'!D8</f>
        <v>531673</v>
      </c>
      <c r="D8" s="1838">
        <f>'Acct Summary 7-8'!F8</f>
        <v>546343</v>
      </c>
      <c r="E8" s="1838">
        <f>'Acct Summary 7-8'!I8</f>
        <v>56968</v>
      </c>
      <c r="F8" s="1838">
        <f>SUM(B8:E8)</f>
        <v>10642912</v>
      </c>
    </row>
    <row r="9" spans="1:8" s="1080" customFormat="1" ht="14.25" customHeight="1" thickBot="1" x14ac:dyDescent="0.25">
      <c r="A9" s="1079" t="s">
        <v>1436</v>
      </c>
      <c r="B9" s="1839">
        <f>'Acct Summary 7-8'!C17</f>
        <v>7967544</v>
      </c>
      <c r="C9" s="1839">
        <f>'Acct Summary 7-8'!D17</f>
        <v>401265</v>
      </c>
      <c r="D9" s="1839">
        <f>'Acct Summary 7-8'!F17</f>
        <v>485797</v>
      </c>
      <c r="E9" s="1838"/>
      <c r="F9" s="1838">
        <f>SUM(B9:E9)</f>
        <v>8854606</v>
      </c>
    </row>
    <row r="10" spans="1:8" s="1080" customFormat="1" ht="14.25" thickTop="1" thickBot="1" x14ac:dyDescent="0.25">
      <c r="A10" s="1081" t="s">
        <v>1437</v>
      </c>
      <c r="B10" s="1840">
        <f>(B8-B9)</f>
        <v>1540384</v>
      </c>
      <c r="C10" s="1840">
        <f>(C8-C9)</f>
        <v>130408</v>
      </c>
      <c r="D10" s="1840">
        <f>(D8-D9)</f>
        <v>60546</v>
      </c>
      <c r="E10" s="1839">
        <f>(E8-E9)</f>
        <v>56968</v>
      </c>
      <c r="F10" s="1841">
        <f>SUM(F8-F9)</f>
        <v>1788306</v>
      </c>
    </row>
    <row r="11" spans="1:8" s="1080" customFormat="1" ht="14.25" thickTop="1" thickBot="1" x14ac:dyDescent="0.25">
      <c r="A11" s="1082" t="s">
        <v>1785</v>
      </c>
      <c r="B11" s="1842">
        <f>'Acct Summary 7-8'!C81</f>
        <v>7153553</v>
      </c>
      <c r="C11" s="1842">
        <f>'Acct Summary 7-8'!D81</f>
        <v>529285</v>
      </c>
      <c r="D11" s="1842">
        <f>'Acct Summary 7-8'!F81</f>
        <v>73505</v>
      </c>
      <c r="E11" s="1842">
        <f>'Acct Summary 7-8'!I81</f>
        <v>804697</v>
      </c>
      <c r="F11" s="1843">
        <f>SUM(B11:E11)</f>
        <v>8561040</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orizontalCentered="1"/>
  <pageMargins left="0.75" right="0.75" top="1.5" bottom="0.5" header="0.5" footer="0.5"/>
  <pageSetup firstPageNumber="19" fitToHeight="0" orientation="landscape" r:id="rId1"/>
  <headerFooter>
    <oddHeader>&amp;C&amp;"Times New Roman,Regular"BELLE VALLEY SCHOOL DISTRICT NO. 119
DEFICIT ANNUAL FINANCIAL REPORT (AFR) SUMMARY INFORMATION
FOR THE YEAR ENDED JUNE 30, 2018</oddHeader>
    <oddFooter>&amp;C&amp;"Times New Roman,Regular"See Independent Auditor's Reports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38" colorId="8" zoomScale="110" zoomScaleNormal="110" workbookViewId="0">
      <selection activeCell="D62" sqref="D62"/>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rintOptions horizontalCentered="1"/>
  <pageMargins left="0.75" right="0.75" top="1" bottom="0.5" header="0.5" footer="0.5"/>
  <pageSetup scale="75" firstPageNumber="32" orientation="landscape" r:id="rId1"/>
  <headerFooter>
    <oddHeader>&amp;C
&amp;"Times New Roman,Regular"FOR THE YEAR ENDED JUNE 30, 2018</oddHeader>
    <oddFooter>&amp;C&amp;"Times New Roman,Regular"See Independent Auditor's Reports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50082119002</v>
      </c>
    </row>
    <row r="3" spans="1:2" x14ac:dyDescent="0.2">
      <c r="A3" t="s">
        <v>1013</v>
      </c>
      <c r="B3" s="138" t="str">
        <f>COVER!A15</f>
        <v>ST. CLAIR</v>
      </c>
    </row>
    <row r="4" spans="1:2" x14ac:dyDescent="0.2">
      <c r="A4" t="s">
        <v>1064</v>
      </c>
      <c r="B4" s="138" t="str">
        <f>COVER!A17</f>
        <v>Belle Valley SD 119</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066-005060</v>
      </c>
    </row>
    <row r="16" spans="1:2" x14ac:dyDescent="0.2">
      <c r="A16" t="s">
        <v>442</v>
      </c>
      <c r="B16" s="138" t="str">
        <f>COVER!T13</f>
        <v>DENNIS ROSE &amp; ASSOCIATES, P.C.</v>
      </c>
    </row>
    <row r="17" spans="1:2" x14ac:dyDescent="0.2">
      <c r="A17" t="s">
        <v>939</v>
      </c>
      <c r="B17" s="138" t="str">
        <f>COVER!T15</f>
        <v>DENNIS ROSE</v>
      </c>
    </row>
    <row r="18" spans="1:2" x14ac:dyDescent="0.2">
      <c r="A18" t="s">
        <v>1212</v>
      </c>
      <c r="B18" s="138" t="str">
        <f>COVER!T17</f>
        <v xml:space="preserve">1904 STATE STREET </v>
      </c>
    </row>
    <row r="19" spans="1:2" x14ac:dyDescent="0.2">
      <c r="A19" t="s">
        <v>941</v>
      </c>
      <c r="B19" s="138" t="str">
        <f>COVER!T25</f>
        <v>DROSECPA@DRA-CPA.COM</v>
      </c>
    </row>
    <row r="20" spans="1:2" x14ac:dyDescent="0.2">
      <c r="A20" t="s">
        <v>942</v>
      </c>
      <c r="B20" s="138" t="str">
        <f>COVER!T19</f>
        <v>ALTON</v>
      </c>
    </row>
    <row r="21" spans="1:2" x14ac:dyDescent="0.2">
      <c r="A21" t="s">
        <v>500</v>
      </c>
      <c r="B21" s="138" t="str">
        <f>COVER!X19</f>
        <v>IL</v>
      </c>
    </row>
    <row r="22" spans="1:2" x14ac:dyDescent="0.2">
      <c r="A22" t="s">
        <v>943</v>
      </c>
      <c r="B22" s="138">
        <f>COVER!Z19</f>
        <v>62002</v>
      </c>
    </row>
    <row r="23" spans="1:2" x14ac:dyDescent="0.2">
      <c r="A23" t="s">
        <v>1214</v>
      </c>
      <c r="B23" s="138" t="str">
        <f>COVER!T21</f>
        <v>618-465-4999</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2480738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7153698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145</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145</v>
      </c>
      <c r="C91" s="2" t="s">
        <v>594</v>
      </c>
      <c r="D91" s="2" t="str">
        <f t="shared" si="0"/>
        <v>Error?</v>
      </c>
    </row>
    <row r="92" spans="1:4" x14ac:dyDescent="0.2">
      <c r="A92" s="5">
        <v>31</v>
      </c>
      <c r="B92" s="138">
        <f>'Assets-Liab 5-6'!C39</f>
        <v>7153553</v>
      </c>
      <c r="D92" s="2" t="str">
        <f t="shared" si="0"/>
        <v>Error?</v>
      </c>
    </row>
    <row r="93" spans="1:4" x14ac:dyDescent="0.2">
      <c r="A93" s="5">
        <v>32</v>
      </c>
      <c r="B93" s="138">
        <f>'Assets-Liab 5-6'!C41</f>
        <v>7153698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529285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529285</v>
      </c>
      <c r="D123" s="2" t="str">
        <f t="shared" si="0"/>
        <v>Error?</v>
      </c>
    </row>
    <row r="124" spans="1:4" x14ac:dyDescent="0.2">
      <c r="A124" s="5">
        <v>63</v>
      </c>
      <c r="B124" s="138">
        <f>'Assets-Liab 5-6'!D41</f>
        <v>529285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710847</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710847</v>
      </c>
      <c r="D140" s="2" t="str">
        <f t="shared" si="1"/>
        <v>Error?</v>
      </c>
    </row>
    <row r="141" spans="1:4" x14ac:dyDescent="0.2">
      <c r="A141" s="5">
        <v>80</v>
      </c>
      <c r="B141" s="138">
        <f>'Assets-Liab 5-6'!E41</f>
        <v>710847</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73505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73505</v>
      </c>
      <c r="D170" s="2" t="str">
        <f t="shared" si="1"/>
        <v>Error?</v>
      </c>
    </row>
    <row r="171" spans="1:4" x14ac:dyDescent="0.2">
      <c r="A171" s="5">
        <v>110</v>
      </c>
      <c r="B171" s="138">
        <f>'Assets-Liab 5-6'!F41</f>
        <v>73505</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406769</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861202</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435919</v>
      </c>
      <c r="D189" s="2" t="str">
        <f t="shared" si="1"/>
        <v>Error?</v>
      </c>
    </row>
    <row r="190" spans="1:4" x14ac:dyDescent="0.2">
      <c r="A190" s="5">
        <v>129</v>
      </c>
      <c r="B190" s="138">
        <f>'Assets-Liab 5-6'!G41</f>
        <v>861202</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1086741</v>
      </c>
      <c r="D273" s="2" t="str">
        <f t="shared" si="3"/>
        <v>Error?</v>
      </c>
    </row>
    <row r="274" spans="1:4" x14ac:dyDescent="0.2">
      <c r="A274" s="5">
        <v>213</v>
      </c>
      <c r="B274" s="138">
        <f>'Assets-Liab 5-6'!M17</f>
        <v>32227693</v>
      </c>
      <c r="D274" s="2" t="str">
        <f t="shared" si="3"/>
        <v>Error?</v>
      </c>
    </row>
    <row r="275" spans="1:4" x14ac:dyDescent="0.2">
      <c r="A275" s="5">
        <v>214</v>
      </c>
      <c r="B275" s="138">
        <f>'Assets-Liab 5-6'!M18</f>
        <v>0</v>
      </c>
      <c r="D275" s="2" t="str">
        <f t="shared" si="3"/>
        <v>Error?</v>
      </c>
    </row>
    <row r="276" spans="1:4" x14ac:dyDescent="0.2">
      <c r="A276" s="5">
        <v>215</v>
      </c>
      <c r="B276" s="138">
        <f>'Assets-Liab 5-6'!M19</f>
        <v>1031162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34345596</v>
      </c>
      <c r="C279" s="2" t="s">
        <v>594</v>
      </c>
      <c r="D279" s="2" t="str">
        <f t="shared" si="3"/>
        <v>Error?</v>
      </c>
    </row>
    <row r="280" spans="1:4" x14ac:dyDescent="0.2">
      <c r="A280" s="5">
        <v>219</v>
      </c>
      <c r="B280" s="138">
        <f>'Assets-Liab 5-6'!M40</f>
        <v>34345596</v>
      </c>
      <c r="D280" s="2" t="str">
        <f t="shared" si="3"/>
        <v>Error?</v>
      </c>
    </row>
    <row r="281" spans="1:4" x14ac:dyDescent="0.2">
      <c r="A281" s="5">
        <v>220</v>
      </c>
      <c r="B281" s="138">
        <f>'Assets-Liab 5-6'!M41</f>
        <v>34345596</v>
      </c>
      <c r="C281" s="2" t="s">
        <v>594</v>
      </c>
      <c r="D281" s="2" t="str">
        <f t="shared" si="3"/>
        <v>Error?</v>
      </c>
    </row>
    <row r="282" spans="1:4" x14ac:dyDescent="0.2">
      <c r="A282" s="5">
        <v>221</v>
      </c>
      <c r="B282" s="138">
        <f>'Assets-Liab 5-6'!N21</f>
        <v>710847</v>
      </c>
      <c r="D282" s="2" t="str">
        <f t="shared" si="3"/>
        <v>Error?</v>
      </c>
    </row>
    <row r="283" spans="1:4" x14ac:dyDescent="0.2">
      <c r="A283" s="5">
        <v>222</v>
      </c>
      <c r="B283" s="138">
        <f>'Assets-Liab 5-6'!N22</f>
        <v>33749153</v>
      </c>
      <c r="D283" s="2" t="str">
        <f t="shared" si="3"/>
        <v>Error?</v>
      </c>
    </row>
    <row r="284" spans="1:4" x14ac:dyDescent="0.2">
      <c r="A284" s="5">
        <v>223</v>
      </c>
      <c r="B284" s="138">
        <f>'Assets-Liab 5-6'!N23</f>
        <v>34460000</v>
      </c>
      <c r="C284" s="2" t="s">
        <v>594</v>
      </c>
      <c r="D284" s="2" t="str">
        <f t="shared" si="3"/>
        <v>Error?</v>
      </c>
    </row>
    <row r="285" spans="1:4" x14ac:dyDescent="0.2">
      <c r="A285" s="5">
        <v>224</v>
      </c>
      <c r="B285" s="138">
        <f>'Assets-Liab 5-6'!N36</f>
        <v>34460000</v>
      </c>
      <c r="D285" s="2" t="str">
        <f t="shared" si="3"/>
        <v>Error?</v>
      </c>
    </row>
    <row r="286" spans="1:4" x14ac:dyDescent="0.2">
      <c r="A286" s="10">
        <v>225</v>
      </c>
      <c r="D286" s="2" t="str">
        <f t="shared" si="3"/>
        <v>OK</v>
      </c>
    </row>
    <row r="287" spans="1:4" x14ac:dyDescent="0.2">
      <c r="A287" s="5">
        <v>226</v>
      </c>
      <c r="B287" s="138">
        <f>'Assets-Liab 5-6'!N37</f>
        <v>34460000</v>
      </c>
      <c r="C287" s="2" t="s">
        <v>594</v>
      </c>
      <c r="D287" s="2" t="str">
        <f t="shared" si="3"/>
        <v>Error?</v>
      </c>
    </row>
    <row r="288" spans="1:4" x14ac:dyDescent="0.2">
      <c r="A288" s="5">
        <v>227</v>
      </c>
      <c r="B288" s="138">
        <f>'Assets-Liab 5-6'!N41</f>
        <v>34460000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2631463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3718068</v>
      </c>
      <c r="C720" s="2" t="s">
        <v>594</v>
      </c>
      <c r="D720" s="2" t="str">
        <f t="shared" si="10"/>
        <v>Error?</v>
      </c>
    </row>
    <row r="721" spans="1:4" x14ac:dyDescent="0.2">
      <c r="A721" s="5">
        <v>660</v>
      </c>
      <c r="B721" s="138">
        <f>'Expenditures 15-22'!C36</f>
        <v>51453</v>
      </c>
      <c r="D721" s="2" t="str">
        <f t="shared" si="10"/>
        <v>Error?</v>
      </c>
    </row>
    <row r="722" spans="1:4" x14ac:dyDescent="0.2">
      <c r="A722" s="5">
        <v>661</v>
      </c>
      <c r="B722" s="138">
        <f>'Expenditures 15-22'!C37</f>
        <v>20335</v>
      </c>
      <c r="D722" s="2" t="str">
        <f t="shared" si="10"/>
        <v>Error?</v>
      </c>
    </row>
    <row r="723" spans="1:4" x14ac:dyDescent="0.2">
      <c r="A723" s="5">
        <v>662</v>
      </c>
      <c r="B723" s="138">
        <f>'Expenditures 15-22'!C38</f>
        <v>53336</v>
      </c>
      <c r="D723" s="2" t="str">
        <f t="shared" si="10"/>
        <v>Error?</v>
      </c>
    </row>
    <row r="724" spans="1:4" x14ac:dyDescent="0.2">
      <c r="A724" s="5">
        <v>663</v>
      </c>
      <c r="B724" s="138">
        <f>'Expenditures 15-22'!C39</f>
        <v>0</v>
      </c>
      <c r="D724" s="2" t="str">
        <f t="shared" si="10"/>
        <v>Error?</v>
      </c>
    </row>
    <row r="725" spans="1:4" x14ac:dyDescent="0.2">
      <c r="A725" s="5">
        <v>664</v>
      </c>
      <c r="B725" s="138">
        <f>'Expenditures 15-22'!C40</f>
        <v>84825</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209949</v>
      </c>
      <c r="C727" s="2" t="s">
        <v>594</v>
      </c>
      <c r="D727" s="2" t="str">
        <f t="shared" si="10"/>
        <v>Error?</v>
      </c>
    </row>
    <row r="728" spans="1:4" x14ac:dyDescent="0.2">
      <c r="A728" s="5">
        <v>667</v>
      </c>
      <c r="B728" s="138">
        <f>'Expenditures 15-22'!C44</f>
        <v>34073</v>
      </c>
      <c r="D728" s="2" t="str">
        <f t="shared" si="10"/>
        <v>Error?</v>
      </c>
    </row>
    <row r="729" spans="1:4" x14ac:dyDescent="0.2">
      <c r="A729" s="5">
        <v>668</v>
      </c>
      <c r="B729" s="138">
        <f>'Expenditures 15-22'!C45</f>
        <v>85980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120053</v>
      </c>
      <c r="C731" s="2" t="s">
        <v>594</v>
      </c>
      <c r="D731" s="2" t="str">
        <f t="shared" si="10"/>
        <v>Error?</v>
      </c>
    </row>
    <row r="732" spans="1:4" x14ac:dyDescent="0.2">
      <c r="A732" s="5">
        <v>671</v>
      </c>
      <c r="B732" s="138">
        <f>'Expenditures 15-22'!C49</f>
        <v>23584</v>
      </c>
      <c r="D732" s="2" t="str">
        <f t="shared" si="10"/>
        <v>Error?</v>
      </c>
    </row>
    <row r="733" spans="1:4" x14ac:dyDescent="0.2">
      <c r="A733" s="5">
        <v>672</v>
      </c>
      <c r="B733" s="138">
        <f>'Expenditures 15-22'!C50</f>
        <v>120279</v>
      </c>
      <c r="D733" s="2" t="str">
        <f t="shared" si="10"/>
        <v>Error?</v>
      </c>
    </row>
    <row r="734" spans="1:4" x14ac:dyDescent="0.2">
      <c r="A734" s="5">
        <v>673</v>
      </c>
      <c r="B734" s="138">
        <f>'Expenditures 15-22'!C53</f>
        <v>143863</v>
      </c>
      <c r="C734" s="2" t="s">
        <v>594</v>
      </c>
      <c r="D734" s="2" t="str">
        <f t="shared" si="10"/>
        <v>Error?</v>
      </c>
    </row>
    <row r="735" spans="1:4" x14ac:dyDescent="0.2">
      <c r="A735" s="5">
        <v>674</v>
      </c>
      <c r="B735" s="138">
        <f>'Expenditures 15-22'!C55</f>
        <v>434477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434477</v>
      </c>
      <c r="C737" s="2" t="s">
        <v>594</v>
      </c>
      <c r="D737" s="2" t="str">
        <f t="shared" si="10"/>
        <v>Error?</v>
      </c>
    </row>
    <row r="738" spans="1:4" x14ac:dyDescent="0.2">
      <c r="A738" s="5">
        <v>677</v>
      </c>
      <c r="B738" s="138">
        <f>'Expenditures 15-22'!C59</f>
        <v>87349</v>
      </c>
      <c r="D738" s="2" t="str">
        <f t="shared" si="10"/>
        <v>Error?</v>
      </c>
    </row>
    <row r="739" spans="1:4" x14ac:dyDescent="0.2">
      <c r="A739" s="5">
        <v>678</v>
      </c>
      <c r="B739" s="138">
        <f>'Expenditures 15-22'!C60</f>
        <v>0</v>
      </c>
      <c r="D739" s="2" t="str">
        <f t="shared" si="10"/>
        <v>Error?</v>
      </c>
    </row>
    <row r="740" spans="1:4" x14ac:dyDescent="0.2">
      <c r="A740" s="5">
        <v>679</v>
      </c>
      <c r="B740" s="138">
        <f>'Expenditures 15-22'!C61</f>
        <v>351701</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203524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642574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1550916</v>
      </c>
      <c r="C755" s="2" t="s">
        <v>594</v>
      </c>
      <c r="D755" s="2" t="str">
        <f t="shared" si="10"/>
        <v>Error?</v>
      </c>
    </row>
    <row r="756" spans="1:4" x14ac:dyDescent="0.2">
      <c r="A756" s="5">
        <v>695</v>
      </c>
      <c r="B756" s="138">
        <f>'Expenditures 15-22'!C75</f>
        <v>70677</v>
      </c>
      <c r="D756" s="2" t="str">
        <f t="shared" si="10"/>
        <v>Error?</v>
      </c>
    </row>
    <row r="757" spans="1:4" x14ac:dyDescent="0.2">
      <c r="A757" s="5">
        <v>696</v>
      </c>
      <c r="B757" s="138">
        <f>'Expenditures 15-22'!C114</f>
        <v>5339661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658273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902620</v>
      </c>
      <c r="C778" s="2" t="s">
        <v>594</v>
      </c>
      <c r="D778" s="2" t="str">
        <f t="shared" si="11"/>
        <v>Error?</v>
      </c>
    </row>
    <row r="779" spans="1:4" x14ac:dyDescent="0.2">
      <c r="A779" s="5">
        <v>718</v>
      </c>
      <c r="B779" s="138">
        <f>'Expenditures 15-22'!D36</f>
        <v>13009</v>
      </c>
      <c r="D779" s="2" t="str">
        <f t="shared" si="11"/>
        <v>Error?</v>
      </c>
    </row>
    <row r="780" spans="1:4" x14ac:dyDescent="0.2">
      <c r="A780" s="5">
        <v>719</v>
      </c>
      <c r="B780" s="138">
        <f>'Expenditures 15-22'!D37</f>
        <v>0</v>
      </c>
      <c r="D780" s="2" t="str">
        <f t="shared" si="11"/>
        <v>Error?</v>
      </c>
    </row>
    <row r="781" spans="1:4" x14ac:dyDescent="0.2">
      <c r="A781" s="5">
        <v>720</v>
      </c>
      <c r="B781" s="138">
        <f>'Expenditures 15-22'!D38</f>
        <v>3000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19308</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35317</v>
      </c>
      <c r="C785" s="2" t="s">
        <v>594</v>
      </c>
      <c r="D785" s="2" t="str">
        <f t="shared" si="11"/>
        <v>Error?</v>
      </c>
    </row>
    <row r="786" spans="1:4" x14ac:dyDescent="0.2">
      <c r="A786" s="5">
        <v>725</v>
      </c>
      <c r="B786" s="138">
        <f>'Expenditures 15-22'!D44</f>
        <v>2697</v>
      </c>
      <c r="D786" s="2" t="str">
        <f t="shared" si="11"/>
        <v>Error?</v>
      </c>
    </row>
    <row r="787" spans="1:4" x14ac:dyDescent="0.2">
      <c r="A787" s="5">
        <v>726</v>
      </c>
      <c r="B787" s="138">
        <f>'Expenditures 15-22'!D45</f>
        <v>7314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10011</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36882</v>
      </c>
      <c r="D791" s="2" t="str">
        <f t="shared" si="11"/>
        <v>Error?</v>
      </c>
    </row>
    <row r="792" spans="1:4" x14ac:dyDescent="0.2">
      <c r="A792" s="5">
        <v>731</v>
      </c>
      <c r="B792" s="138">
        <f>'Expenditures 15-22'!D53</f>
        <v>36882</v>
      </c>
      <c r="C792" s="2" t="s">
        <v>594</v>
      </c>
      <c r="D792" s="2" t="str">
        <f t="shared" si="11"/>
        <v>Error?</v>
      </c>
    </row>
    <row r="793" spans="1:4" x14ac:dyDescent="0.2">
      <c r="A793" s="5">
        <v>732</v>
      </c>
      <c r="B793" s="138">
        <f>'Expenditures 15-22'!D55</f>
        <v>95684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95684</v>
      </c>
      <c r="C795" s="2" t="s">
        <v>594</v>
      </c>
      <c r="D795" s="2" t="str">
        <f t="shared" si="11"/>
        <v>Error?</v>
      </c>
    </row>
    <row r="796" spans="1:4" x14ac:dyDescent="0.2">
      <c r="A796" s="5">
        <v>735</v>
      </c>
      <c r="B796" s="138">
        <f>'Expenditures 15-22'!D59</f>
        <v>18417</v>
      </c>
      <c r="D796" s="2" t="str">
        <f t="shared" si="11"/>
        <v>Error?</v>
      </c>
    </row>
    <row r="797" spans="1:4" x14ac:dyDescent="0.2">
      <c r="A797" s="5">
        <v>736</v>
      </c>
      <c r="B797" s="138">
        <f>'Expenditures 15-22'!D60</f>
        <v>0</v>
      </c>
      <c r="D797" s="2" t="str">
        <f t="shared" si="11"/>
        <v>Error?</v>
      </c>
    </row>
    <row r="798" spans="1:4" x14ac:dyDescent="0.2">
      <c r="A798" s="5">
        <v>737</v>
      </c>
      <c r="B798" s="138">
        <f>'Expenditures 15-22'!D61</f>
        <v>33222</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51639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229533</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1132153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78805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81575</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85896</v>
      </c>
      <c r="D839" s="2" t="str">
        <f t="shared" si="12"/>
        <v>Error?</v>
      </c>
    </row>
    <row r="840" spans="1:4" x14ac:dyDescent="0.2">
      <c r="A840" s="5">
        <v>779</v>
      </c>
      <c r="B840" s="138">
        <f>'Expenditures 15-22'!E39</f>
        <v>0</v>
      </c>
      <c r="D840" s="2" t="str">
        <f t="shared" si="12"/>
        <v>Error?</v>
      </c>
    </row>
    <row r="841" spans="1:4" x14ac:dyDescent="0.2">
      <c r="A841" s="5">
        <v>780</v>
      </c>
      <c r="B841" s="138">
        <f>'Expenditures 15-22'!E40</f>
        <v>34518</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120414</v>
      </c>
      <c r="C843" s="2" t="s">
        <v>594</v>
      </c>
      <c r="D843" s="2" t="str">
        <f t="shared" si="12"/>
        <v>Error?</v>
      </c>
    </row>
    <row r="844" spans="1:4" x14ac:dyDescent="0.2">
      <c r="A844" s="5">
        <v>783</v>
      </c>
      <c r="B844" s="138">
        <f>'Expenditures 15-22'!E44</f>
        <v>18302</v>
      </c>
      <c r="D844" s="2" t="str">
        <f t="shared" si="12"/>
        <v>Error?</v>
      </c>
    </row>
    <row r="845" spans="1:4" x14ac:dyDescent="0.2">
      <c r="A845" s="5">
        <v>784</v>
      </c>
      <c r="B845" s="138">
        <f>'Expenditures 15-22'!E45</f>
        <v>2463</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20765</v>
      </c>
      <c r="C847" s="2" t="s">
        <v>594</v>
      </c>
      <c r="D847" s="2" t="str">
        <f t="shared" si="12"/>
        <v>Error?</v>
      </c>
    </row>
    <row r="848" spans="1:4" x14ac:dyDescent="0.2">
      <c r="A848" s="5">
        <v>787</v>
      </c>
      <c r="B848" s="138">
        <f>'Expenditures 15-22'!E49</f>
        <v>34580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34580</v>
      </c>
      <c r="C850" s="2" t="s">
        <v>594</v>
      </c>
      <c r="D850" s="2" t="str">
        <f t="shared" si="12"/>
        <v>Error?</v>
      </c>
    </row>
    <row r="851" spans="1:4" x14ac:dyDescent="0.2">
      <c r="A851" s="5">
        <v>790</v>
      </c>
      <c r="B851" s="138">
        <f>'Expenditures 15-22'!E55</f>
        <v>5575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5575</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28572</v>
      </c>
      <c r="D856" s="2" t="str">
        <f t="shared" si="12"/>
        <v>Error?</v>
      </c>
    </row>
    <row r="857" spans="1:4" x14ac:dyDescent="0.2">
      <c r="A857" s="5">
        <v>796</v>
      </c>
      <c r="B857" s="138">
        <f>'Expenditures 15-22'!E62</f>
        <v>75767</v>
      </c>
      <c r="D857" s="2" t="str">
        <f t="shared" si="12"/>
        <v>Error?</v>
      </c>
    </row>
    <row r="858" spans="1:4" x14ac:dyDescent="0.2">
      <c r="A858" s="5">
        <v>797</v>
      </c>
      <c r="B858" s="138">
        <f>'Expenditures 15-22'!E63</f>
        <v>11012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115351</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296685</v>
      </c>
      <c r="C871" s="2" t="s">
        <v>594</v>
      </c>
      <c r="D871" s="2" t="str">
        <f t="shared" si="12"/>
        <v>Error?</v>
      </c>
    </row>
    <row r="872" spans="1:4" x14ac:dyDescent="0.2">
      <c r="A872" s="5">
        <v>811</v>
      </c>
      <c r="B872" s="138">
        <f>'Expenditures 15-22'!E75</f>
        <v>17918</v>
      </c>
      <c r="D872" s="2" t="str">
        <f t="shared" si="12"/>
        <v>Error?</v>
      </c>
    </row>
    <row r="873" spans="1:4" x14ac:dyDescent="0.2">
      <c r="A873" s="5">
        <v>812</v>
      </c>
      <c r="B873" s="138">
        <f>'Expenditures 15-22'!E114</f>
        <v>396178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192418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201546</v>
      </c>
      <c r="C894" s="2" t="s">
        <v>594</v>
      </c>
      <c r="D894" s="2" t="str">
        <f t="shared" si="12"/>
        <v>Error?</v>
      </c>
    </row>
    <row r="895" spans="1:4" x14ac:dyDescent="0.2">
      <c r="A895" s="5">
        <v>834</v>
      </c>
      <c r="B895" s="138">
        <f>'Expenditures 15-22'!F36</f>
        <v>668</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1942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1530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4140</v>
      </c>
      <c r="C901" s="2" t="s">
        <v>594</v>
      </c>
      <c r="D901" s="2" t="str">
        <f t="shared" si="13"/>
        <v>Error?</v>
      </c>
    </row>
    <row r="902" spans="1:4" x14ac:dyDescent="0.2">
      <c r="A902" s="5">
        <v>841</v>
      </c>
      <c r="B902" s="138">
        <f>'Expenditures 15-22'!F44</f>
        <v>2984</v>
      </c>
      <c r="D902" s="2" t="str">
        <f t="shared" si="13"/>
        <v>Error?</v>
      </c>
    </row>
    <row r="903" spans="1:4" x14ac:dyDescent="0.2">
      <c r="A903" s="5">
        <v>842</v>
      </c>
      <c r="B903" s="138">
        <f>'Expenditures 15-22'!F45</f>
        <v>18506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21490</v>
      </c>
      <c r="C905" s="2" t="s">
        <v>594</v>
      </c>
      <c r="D905" s="2" t="str">
        <f t="shared" si="13"/>
        <v>Error?</v>
      </c>
    </row>
    <row r="906" spans="1:4" x14ac:dyDescent="0.2">
      <c r="A906" s="5">
        <v>845</v>
      </c>
      <c r="B906" s="138">
        <f>'Expenditures 15-22'!F49</f>
        <v>5446</v>
      </c>
      <c r="D906" s="2" t="str">
        <f t="shared" si="13"/>
        <v>Error?</v>
      </c>
    </row>
    <row r="907" spans="1:4" x14ac:dyDescent="0.2">
      <c r="A907" s="5">
        <v>846</v>
      </c>
      <c r="B907" s="138">
        <f>'Expenditures 15-22'!F50</f>
        <v>0</v>
      </c>
      <c r="D907" s="2" t="str">
        <f t="shared" si="13"/>
        <v>Error?</v>
      </c>
    </row>
    <row r="908" spans="1:4" x14ac:dyDescent="0.2">
      <c r="A908" s="5">
        <v>847</v>
      </c>
      <c r="B908" s="138">
        <f>'Expenditures 15-22'!F53</f>
        <v>5446</v>
      </c>
      <c r="C908" s="2" t="s">
        <v>594</v>
      </c>
      <c r="D908" s="2" t="str">
        <f t="shared" si="13"/>
        <v>Error?</v>
      </c>
    </row>
    <row r="909" spans="1:4" x14ac:dyDescent="0.2">
      <c r="A909" s="5">
        <v>848</v>
      </c>
      <c r="B909" s="138">
        <f>'Expenditures 15-22'!F55</f>
        <v>1931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1931</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102</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288542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288644</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321651</v>
      </c>
      <c r="C929" s="2" t="s">
        <v>594</v>
      </c>
      <c r="D929" s="2" t="str">
        <f t="shared" si="13"/>
        <v>Error?</v>
      </c>
    </row>
    <row r="930" spans="1:4" x14ac:dyDescent="0.2">
      <c r="A930" s="5">
        <v>869</v>
      </c>
      <c r="B930" s="138">
        <f>'Expenditures 15-22'!F75</f>
        <v>5361</v>
      </c>
      <c r="D930" s="2" t="str">
        <f t="shared" si="13"/>
        <v>Error?</v>
      </c>
    </row>
    <row r="931" spans="1:4" x14ac:dyDescent="0.2">
      <c r="A931" s="5">
        <v>870</v>
      </c>
      <c r="B931" s="138">
        <f>'Expenditures 15-22'!F114</f>
        <v>528558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80770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89324</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733</v>
      </c>
      <c r="D964" s="2" t="str">
        <f t="shared" si="14"/>
        <v>Error?</v>
      </c>
    </row>
    <row r="965" spans="1:4" x14ac:dyDescent="0.2">
      <c r="A965" s="5">
        <v>904</v>
      </c>
      <c r="B965" s="138">
        <f>'Expenditures 15-22'!G50</f>
        <v>0</v>
      </c>
      <c r="D965" s="2" t="str">
        <f t="shared" si="14"/>
        <v>Error?</v>
      </c>
    </row>
    <row r="966" spans="1:4" x14ac:dyDescent="0.2">
      <c r="A966" s="5">
        <v>905</v>
      </c>
      <c r="B966" s="138">
        <f>'Expenditures 15-22'!G53</f>
        <v>733</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10965</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10965</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11698</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101022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9246</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1069</v>
      </c>
      <c r="D1023" s="2" t="str">
        <f t="shared" ref="D1023:D1086" si="15">IF(ISBLANK(B1023),"OK",IF(A1023-B1023=0,"OK","Error?"))</f>
        <v>Error?</v>
      </c>
    </row>
    <row r="1024" spans="1:4" x14ac:dyDescent="0.2">
      <c r="A1024" s="5">
        <v>963</v>
      </c>
      <c r="B1024" s="138">
        <f>'Expenditures 15-22'!H53</f>
        <v>1069</v>
      </c>
      <c r="C1024" s="2" t="s">
        <v>594</v>
      </c>
      <c r="D1024" s="2" t="str">
        <f t="shared" si="15"/>
        <v>Error?</v>
      </c>
    </row>
    <row r="1025" spans="1:4" x14ac:dyDescent="0.2">
      <c r="A1025" s="5">
        <v>964</v>
      </c>
      <c r="B1025" s="138">
        <f>'Expenditures 15-22'!H55</f>
        <v>717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717</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697</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697</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2483</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458243</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469972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3641729</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5002379</v>
      </c>
      <c r="C1108" s="2" t="s">
        <v>594</v>
      </c>
      <c r="D1108" s="2" t="str">
        <f t="shared" si="16"/>
        <v>Error?</v>
      </c>
    </row>
    <row r="1109" spans="1:4" x14ac:dyDescent="0.2">
      <c r="A1109" s="5">
        <v>1048</v>
      </c>
      <c r="B1109" s="138">
        <f>'Expenditures 15-22'!K36</f>
        <v>65130</v>
      </c>
      <c r="C1109" s="2" t="s">
        <v>594</v>
      </c>
      <c r="D1109" s="2" t="str">
        <f t="shared" si="16"/>
        <v>Error?</v>
      </c>
    </row>
    <row r="1110" spans="1:4" x14ac:dyDescent="0.2">
      <c r="A1110" s="5">
        <v>1049</v>
      </c>
      <c r="B1110" s="138">
        <f>'Expenditures 15-22'!K37</f>
        <v>20335</v>
      </c>
      <c r="C1110" s="2" t="s">
        <v>594</v>
      </c>
      <c r="D1110" s="2" t="str">
        <f t="shared" si="16"/>
        <v>Error?</v>
      </c>
    </row>
    <row r="1111" spans="1:4" x14ac:dyDescent="0.2">
      <c r="A1111" s="5">
        <v>1050</v>
      </c>
      <c r="B1111" s="138">
        <f>'Expenditures 15-22'!K38</f>
        <v>144174</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140181</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369820</v>
      </c>
      <c r="C1115" s="2" t="s">
        <v>594</v>
      </c>
      <c r="D1115" s="2" t="str">
        <f t="shared" si="16"/>
        <v>Error?</v>
      </c>
    </row>
    <row r="1116" spans="1:4" x14ac:dyDescent="0.2">
      <c r="A1116" s="5">
        <v>1055</v>
      </c>
      <c r="B1116" s="138">
        <f>'Expenditures 15-22'!K44</f>
        <v>58056</v>
      </c>
      <c r="C1116" s="2" t="s">
        <v>594</v>
      </c>
      <c r="D1116" s="2" t="str">
        <f t="shared" si="16"/>
        <v>Error?</v>
      </c>
    </row>
    <row r="1117" spans="1:4" x14ac:dyDescent="0.2">
      <c r="A1117" s="5">
        <v>1056</v>
      </c>
      <c r="B1117" s="138">
        <f>'Expenditures 15-22'!K45</f>
        <v>114263</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172319</v>
      </c>
      <c r="C1119" s="2" t="s">
        <v>594</v>
      </c>
      <c r="D1119" s="2" t="str">
        <f t="shared" si="16"/>
        <v>Error?</v>
      </c>
    </row>
    <row r="1120" spans="1:4" x14ac:dyDescent="0.2">
      <c r="A1120" s="5">
        <v>1059</v>
      </c>
      <c r="B1120" s="138">
        <f>'Expenditures 15-22'!K49</f>
        <v>64343</v>
      </c>
      <c r="C1120" s="2" t="s">
        <v>594</v>
      </c>
      <c r="D1120" s="2" t="str">
        <f t="shared" si="16"/>
        <v>Error?</v>
      </c>
    </row>
    <row r="1121" spans="1:4" x14ac:dyDescent="0.2">
      <c r="A1121" s="5">
        <v>1060</v>
      </c>
      <c r="B1121" s="138">
        <f>'Expenditures 15-22'!K50</f>
        <v>158230</v>
      </c>
      <c r="C1121" s="2" t="s">
        <v>594</v>
      </c>
      <c r="D1121" s="2" t="str">
        <f t="shared" si="16"/>
        <v>Error?</v>
      </c>
    </row>
    <row r="1122" spans="1:4" x14ac:dyDescent="0.2">
      <c r="A1122" s="5">
        <v>1061</v>
      </c>
      <c r="B1122" s="138">
        <f>'Expenditures 15-22'!K53</f>
        <v>222573</v>
      </c>
      <c r="C1122" s="2" t="s">
        <v>594</v>
      </c>
      <c r="D1122" s="2" t="str">
        <f t="shared" si="16"/>
        <v>Error?</v>
      </c>
    </row>
    <row r="1123" spans="1:4" x14ac:dyDescent="0.2">
      <c r="A1123" s="5">
        <v>1062</v>
      </c>
      <c r="B1123" s="138">
        <f>'Expenditures 15-22'!K55</f>
        <v>538384</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538384</v>
      </c>
      <c r="C1125" s="2" t="s">
        <v>594</v>
      </c>
      <c r="D1125" s="2" t="str">
        <f t="shared" si="16"/>
        <v>Error?</v>
      </c>
    </row>
    <row r="1126" spans="1:4" x14ac:dyDescent="0.2">
      <c r="A1126" s="5">
        <v>1065</v>
      </c>
      <c r="B1126" s="138">
        <f>'Expenditures 15-22'!K59</f>
        <v>105766</v>
      </c>
      <c r="C1126" s="2" t="s">
        <v>594</v>
      </c>
      <c r="D1126" s="2" t="str">
        <f t="shared" si="16"/>
        <v>Error?</v>
      </c>
    </row>
    <row r="1127" spans="1:4" x14ac:dyDescent="0.2">
      <c r="A1127" s="5">
        <v>1066</v>
      </c>
      <c r="B1127" s="138">
        <f>'Expenditures 15-22'!K60</f>
        <v>0</v>
      </c>
      <c r="C1127" s="2" t="s">
        <v>594</v>
      </c>
      <c r="D1127" s="2" t="str">
        <f t="shared" si="16"/>
        <v>Error?</v>
      </c>
    </row>
    <row r="1128" spans="1:4" x14ac:dyDescent="0.2">
      <c r="A1128" s="5">
        <v>1067</v>
      </c>
      <c r="B1128" s="138">
        <f>'Expenditures 15-22'!K61</f>
        <v>413597</v>
      </c>
      <c r="C1128" s="2" t="s">
        <v>594</v>
      </c>
      <c r="D1128" s="2" t="str">
        <f t="shared" si="16"/>
        <v>Error?</v>
      </c>
    </row>
    <row r="1129" spans="1:4" x14ac:dyDescent="0.2">
      <c r="A1129" s="5">
        <v>1068</v>
      </c>
      <c r="B1129" s="138">
        <f>'Expenditures 15-22'!K62</f>
        <v>75767</v>
      </c>
      <c r="C1129" s="2" t="s">
        <v>594</v>
      </c>
      <c r="D1129" s="2" t="str">
        <f t="shared" si="16"/>
        <v>Error?</v>
      </c>
    </row>
    <row r="1130" spans="1:4" x14ac:dyDescent="0.2">
      <c r="A1130" s="5">
        <v>1069</v>
      </c>
      <c r="B1130" s="138">
        <f>'Expenditures 15-22'!K63</f>
        <v>514740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1109870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2412966</v>
      </c>
      <c r="C1143" s="2" t="s">
        <v>594</v>
      </c>
      <c r="D1143" s="2" t="str">
        <f t="shared" si="16"/>
        <v>Error?</v>
      </c>
    </row>
    <row r="1144" spans="1:4" x14ac:dyDescent="0.2">
      <c r="A1144" s="5">
        <v>1083</v>
      </c>
      <c r="B1144" s="138">
        <f>'Expenditures 15-22'!K75</f>
        <v>93956</v>
      </c>
      <c r="C1144" s="2" t="s">
        <v>594</v>
      </c>
      <c r="D1144" s="2" t="str">
        <f t="shared" si="16"/>
        <v>Error?</v>
      </c>
    </row>
    <row r="1145" spans="1:4" x14ac:dyDescent="0.2">
      <c r="A1145" s="5">
        <v>1084</v>
      </c>
      <c r="B1145" s="138">
        <f>'Expenditures 15-22'!K102</f>
        <v>458243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7967544</v>
      </c>
      <c r="C1152" s="2" t="s">
        <v>594</v>
      </c>
      <c r="D1152" s="2" t="str">
        <f t="shared" si="17"/>
        <v>Error?</v>
      </c>
    </row>
    <row r="1153" spans="1:4" x14ac:dyDescent="0.2">
      <c r="A1153" s="5">
        <v>1092</v>
      </c>
      <c r="B1153" s="138">
        <f>'Expenditures 15-22'!K115</f>
        <v>1540384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310571</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310571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310571</v>
      </c>
      <c r="C1241" s="2" t="s">
        <v>594</v>
      </c>
      <c r="D1241" s="2" t="str">
        <f t="shared" si="18"/>
        <v>Error?</v>
      </c>
    </row>
    <row r="1242" spans="1:4" x14ac:dyDescent="0.2">
      <c r="A1242" s="5">
        <v>1181</v>
      </c>
      <c r="B1242" s="138">
        <f>'Expenditures 15-22'!E151</f>
        <v>310571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54873</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54873</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54873</v>
      </c>
      <c r="C1249" s="2" t="s">
        <v>594</v>
      </c>
      <c r="D1249" s="2" t="str">
        <f t="shared" si="18"/>
        <v>Error?</v>
      </c>
    </row>
    <row r="1250" spans="1:4" x14ac:dyDescent="0.2">
      <c r="A1250" s="5">
        <v>1189</v>
      </c>
      <c r="B1250" s="138">
        <f>'Expenditures 15-22'!F151</f>
        <v>54873</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35821</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35821</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35821</v>
      </c>
      <c r="C1258" s="2" t="s">
        <v>594</v>
      </c>
      <c r="D1258" s="2" t="str">
        <f t="shared" si="18"/>
        <v>Error?</v>
      </c>
    </row>
    <row r="1259" spans="1:4" x14ac:dyDescent="0.2">
      <c r="A1259" s="5">
        <v>1198</v>
      </c>
      <c r="B1259" s="138">
        <f>'Expenditures 15-22'!G151</f>
        <v>35821</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401265</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401265</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401265</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401265</v>
      </c>
      <c r="C1288" s="2" t="s">
        <v>594</v>
      </c>
      <c r="D1288" s="2" t="str">
        <f t="shared" si="19"/>
        <v>Error?</v>
      </c>
    </row>
    <row r="1289" spans="1:4" x14ac:dyDescent="0.2">
      <c r="A1289" s="5">
        <v>1228</v>
      </c>
      <c r="B1289" s="138">
        <f>'Expenditures 15-22'!K152</f>
        <v>130408</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2327054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1087</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2328141</v>
      </c>
      <c r="C1317" s="2" t="s">
        <v>594</v>
      </c>
      <c r="D1317" s="2" t="str">
        <f t="shared" si="19"/>
        <v>Error?</v>
      </c>
    </row>
    <row r="1318" spans="1:4" x14ac:dyDescent="0.2">
      <c r="A1318" s="5">
        <v>1257</v>
      </c>
      <c r="B1318" s="138">
        <f>'Expenditures 15-22'!H174</f>
        <v>2328141</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2327054</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1087</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2328141</v>
      </c>
      <c r="C1331" s="2" t="s">
        <v>594</v>
      </c>
      <c r="D1331" s="2" t="str">
        <f t="shared" si="19"/>
        <v>Error?</v>
      </c>
    </row>
    <row r="1332" spans="1:4" x14ac:dyDescent="0.2">
      <c r="A1332" s="5">
        <v>1271</v>
      </c>
      <c r="B1332" s="138">
        <f>'Expenditures 15-22'!K174</f>
        <v>2328141</v>
      </c>
      <c r="C1332" s="2" t="s">
        <v>594</v>
      </c>
      <c r="D1332" s="2" t="str">
        <f t="shared" si="19"/>
        <v>Error?</v>
      </c>
    </row>
    <row r="1333" spans="1:4" x14ac:dyDescent="0.2">
      <c r="A1333" s="5">
        <v>1272</v>
      </c>
      <c r="B1333" s="138">
        <f>'Expenditures 15-22'!K175</f>
        <v>334585</v>
      </c>
      <c r="C1333" s="2" t="s">
        <v>594</v>
      </c>
      <c r="D1333" s="2" t="str">
        <f t="shared" si="19"/>
        <v>Error?</v>
      </c>
    </row>
    <row r="1334" spans="1:4" x14ac:dyDescent="0.2">
      <c r="A1334" s="10">
        <v>1273</v>
      </c>
      <c r="D1334" s="2" t="str">
        <f t="shared" si="19"/>
        <v>OK</v>
      </c>
    </row>
    <row r="1335" spans="1:4" x14ac:dyDescent="0.2">
      <c r="A1335" s="5">
        <v>1274</v>
      </c>
      <c r="B1335" s="138">
        <f>'Expenditures 15-22'!C182</f>
        <v>35579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35579</v>
      </c>
      <c r="C1339" s="2" t="s">
        <v>594</v>
      </c>
      <c r="D1339" s="2" t="str">
        <f t="shared" si="19"/>
        <v>Error?</v>
      </c>
    </row>
    <row r="1340" spans="1:4" x14ac:dyDescent="0.2">
      <c r="A1340" s="5">
        <v>1279</v>
      </c>
      <c r="B1340" s="138">
        <f>'Expenditures 15-22'!C210</f>
        <v>35579</v>
      </c>
      <c r="C1340" s="2" t="s">
        <v>594</v>
      </c>
      <c r="D1340" s="2" t="str">
        <f t="shared" si="19"/>
        <v>Error?</v>
      </c>
    </row>
    <row r="1341" spans="1:4" x14ac:dyDescent="0.2">
      <c r="A1341" s="5">
        <v>1280</v>
      </c>
      <c r="B1341" s="138">
        <f>'Expenditures 15-22'!D182</f>
        <v>578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578</v>
      </c>
      <c r="C1345" s="2" t="s">
        <v>594</v>
      </c>
      <c r="D1345" s="2" t="str">
        <f t="shared" si="20"/>
        <v>Error?</v>
      </c>
    </row>
    <row r="1346" spans="1:4" x14ac:dyDescent="0.2">
      <c r="A1346" s="5">
        <v>1285</v>
      </c>
      <c r="B1346" s="138">
        <f>'Expenditures 15-22'!D210</f>
        <v>578</v>
      </c>
      <c r="C1346" s="2" t="s">
        <v>594</v>
      </c>
      <c r="D1346" s="2" t="str">
        <f t="shared" si="20"/>
        <v>Error?</v>
      </c>
    </row>
    <row r="1347" spans="1:4" x14ac:dyDescent="0.2">
      <c r="A1347" s="5">
        <v>1286</v>
      </c>
      <c r="B1347" s="138">
        <f>'Expenditures 15-22'!E182</f>
        <v>449640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449640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449640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485797</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485797</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485797</v>
      </c>
      <c r="C1388" s="2" t="s">
        <v>594</v>
      </c>
      <c r="D1388" s="2" t="str">
        <f t="shared" si="20"/>
        <v>Error?</v>
      </c>
    </row>
    <row r="1389" spans="1:4" x14ac:dyDescent="0.2">
      <c r="A1389" s="5">
        <v>1328</v>
      </c>
      <c r="B1389" s="138">
        <f>'Expenditures 15-22'!K211</f>
        <v>60546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124596</v>
      </c>
      <c r="C1410" s="2" t="s">
        <v>594</v>
      </c>
      <c r="D1410" s="2" t="str">
        <f t="shared" si="21"/>
        <v>Error?</v>
      </c>
    </row>
    <row r="1411" spans="1:4" x14ac:dyDescent="0.2">
      <c r="A1411" s="5">
        <v>1350</v>
      </c>
      <c r="B1411" s="138">
        <f>'Expenditures 15-22'!D232</f>
        <v>729</v>
      </c>
      <c r="D1411" s="2" t="str">
        <f t="shared" si="21"/>
        <v>Error?</v>
      </c>
    </row>
    <row r="1412" spans="1:4" x14ac:dyDescent="0.2">
      <c r="A1412" s="5">
        <v>1351</v>
      </c>
      <c r="B1412" s="138">
        <f>'Expenditures 15-22'!D233</f>
        <v>3557</v>
      </c>
      <c r="D1412" s="2" t="str">
        <f t="shared" si="21"/>
        <v>Error?</v>
      </c>
    </row>
    <row r="1413" spans="1:4" x14ac:dyDescent="0.2">
      <c r="A1413" s="5">
        <v>1352</v>
      </c>
      <c r="B1413" s="138">
        <f>'Expenditures 15-22'!D234</f>
        <v>8226</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1226</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13738</v>
      </c>
      <c r="C1417" s="2" t="s">
        <v>594</v>
      </c>
      <c r="D1417" s="2" t="str">
        <f t="shared" si="21"/>
        <v>Error?</v>
      </c>
    </row>
    <row r="1418" spans="1:4" x14ac:dyDescent="0.2">
      <c r="A1418" s="5">
        <v>1357</v>
      </c>
      <c r="B1418" s="138">
        <f>'Expenditures 15-22'!D240</f>
        <v>448</v>
      </c>
      <c r="D1418" s="2" t="str">
        <f t="shared" si="21"/>
        <v>Error?</v>
      </c>
    </row>
    <row r="1419" spans="1:4" x14ac:dyDescent="0.2">
      <c r="A1419" s="5">
        <v>1358</v>
      </c>
      <c r="B1419" s="138">
        <f>'Expenditures 15-22'!D241</f>
        <v>5226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5674</v>
      </c>
      <c r="C1421" s="2" t="s">
        <v>594</v>
      </c>
      <c r="D1421" s="2" t="str">
        <f t="shared" si="21"/>
        <v>Error?</v>
      </c>
    </row>
    <row r="1422" spans="1:4" x14ac:dyDescent="0.2">
      <c r="A1422" s="5">
        <v>1361</v>
      </c>
      <c r="B1422" s="138">
        <f>'Expenditures 15-22'!D245</f>
        <v>3367</v>
      </c>
      <c r="D1422" s="2" t="str">
        <f t="shared" si="21"/>
        <v>Error?</v>
      </c>
    </row>
    <row r="1423" spans="1:4" x14ac:dyDescent="0.2">
      <c r="A1423" s="5">
        <v>1362</v>
      </c>
      <c r="B1423" s="138">
        <f>'Expenditures 15-22'!D246</f>
        <v>1772</v>
      </c>
      <c r="D1423" s="2" t="str">
        <f t="shared" si="21"/>
        <v>Error?</v>
      </c>
    </row>
    <row r="1424" spans="1:4" x14ac:dyDescent="0.2">
      <c r="A1424" s="5">
        <v>1363</v>
      </c>
      <c r="B1424" s="138">
        <f>'Expenditures 15-22'!D257</f>
        <v>6405</v>
      </c>
      <c r="C1424" s="2" t="s">
        <v>594</v>
      </c>
      <c r="D1424" s="2" t="str">
        <f t="shared" si="21"/>
        <v>Error?</v>
      </c>
    </row>
    <row r="1425" spans="1:4" x14ac:dyDescent="0.2">
      <c r="A1425" s="5">
        <v>1364</v>
      </c>
      <c r="B1425" s="138">
        <f>'Expenditures 15-22'!D259</f>
        <v>31665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31665</v>
      </c>
      <c r="C1427" s="2" t="s">
        <v>594</v>
      </c>
      <c r="D1427" s="2" t="str">
        <f t="shared" si="21"/>
        <v>Error?</v>
      </c>
    </row>
    <row r="1428" spans="1:4" x14ac:dyDescent="0.2">
      <c r="A1428" s="5">
        <v>1367</v>
      </c>
      <c r="B1428" s="138">
        <f>'Expenditures 15-22'!D263</f>
        <v>1135</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58239</v>
      </c>
      <c r="D1431" s="2" t="str">
        <f t="shared" si="21"/>
        <v>Error?</v>
      </c>
    </row>
    <row r="1432" spans="1:4" x14ac:dyDescent="0.2">
      <c r="A1432" s="5">
        <v>1371</v>
      </c>
      <c r="B1432" s="138">
        <f>'Expenditures 15-22'!D267</f>
        <v>5738</v>
      </c>
      <c r="D1432" s="2" t="str">
        <f t="shared" si="21"/>
        <v>Error?</v>
      </c>
    </row>
    <row r="1433" spans="1:4" x14ac:dyDescent="0.2">
      <c r="A1433" s="5">
        <v>1372</v>
      </c>
      <c r="B1433" s="138">
        <f>'Expenditures 15-22'!D268</f>
        <v>31143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96255</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153737</v>
      </c>
      <c r="C1446" s="2" t="s">
        <v>594</v>
      </c>
      <c r="D1446" s="2" t="str">
        <f t="shared" si="21"/>
        <v>Error?</v>
      </c>
    </row>
    <row r="1447" spans="1:4" x14ac:dyDescent="0.2">
      <c r="A1447" s="5">
        <v>1386</v>
      </c>
      <c r="B1447" s="138">
        <f>'Expenditures 15-22'!D280</f>
        <v>9905</v>
      </c>
      <c r="D1447" s="2" t="str">
        <f t="shared" si="21"/>
        <v>Error?</v>
      </c>
    </row>
    <row r="1448" spans="1:4" x14ac:dyDescent="0.2">
      <c r="A1448" s="5">
        <v>1387</v>
      </c>
      <c r="B1448" s="138">
        <f>'Expenditures 15-22'!D295</f>
        <v>288238</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124596</v>
      </c>
      <c r="C1474" s="2" t="s">
        <v>594</v>
      </c>
      <c r="D1474" s="2" t="str">
        <f t="shared" si="22"/>
        <v>Error?</v>
      </c>
    </row>
    <row r="1475" spans="1:4" x14ac:dyDescent="0.2">
      <c r="A1475" s="5">
        <v>1414</v>
      </c>
      <c r="B1475" s="138">
        <f>'Expenditures 15-22'!K232</f>
        <v>729</v>
      </c>
      <c r="C1475" s="2" t="s">
        <v>594</v>
      </c>
      <c r="D1475" s="2" t="str">
        <f t="shared" si="22"/>
        <v>Error?</v>
      </c>
    </row>
    <row r="1476" spans="1:4" x14ac:dyDescent="0.2">
      <c r="A1476" s="5">
        <v>1415</v>
      </c>
      <c r="B1476" s="138">
        <f>'Expenditures 15-22'!K233</f>
        <v>3557</v>
      </c>
      <c r="C1476" s="2" t="s">
        <v>594</v>
      </c>
      <c r="D1476" s="2" t="str">
        <f t="shared" si="22"/>
        <v>Error?</v>
      </c>
    </row>
    <row r="1477" spans="1:4" x14ac:dyDescent="0.2">
      <c r="A1477" s="5">
        <v>1416</v>
      </c>
      <c r="B1477" s="138">
        <f>'Expenditures 15-22'!K234</f>
        <v>8226</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1226</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13738</v>
      </c>
      <c r="C1481" s="2" t="s">
        <v>594</v>
      </c>
      <c r="D1481" s="2" t="str">
        <f t="shared" si="22"/>
        <v>Error?</v>
      </c>
    </row>
    <row r="1482" spans="1:4" x14ac:dyDescent="0.2">
      <c r="A1482" s="5">
        <v>1421</v>
      </c>
      <c r="B1482" s="138">
        <f>'Expenditures 15-22'!K240</f>
        <v>448</v>
      </c>
      <c r="C1482" s="2" t="s">
        <v>594</v>
      </c>
      <c r="D1482" s="2" t="str">
        <f t="shared" si="22"/>
        <v>Error?</v>
      </c>
    </row>
    <row r="1483" spans="1:4" x14ac:dyDescent="0.2">
      <c r="A1483" s="5">
        <v>1422</v>
      </c>
      <c r="B1483" s="138">
        <f>'Expenditures 15-22'!K241</f>
        <v>5226</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5674</v>
      </c>
      <c r="C1485" s="2" t="s">
        <v>594</v>
      </c>
      <c r="D1485" s="2" t="str">
        <f t="shared" si="22"/>
        <v>Error?</v>
      </c>
    </row>
    <row r="1486" spans="1:4" x14ac:dyDescent="0.2">
      <c r="A1486" s="5">
        <v>1425</v>
      </c>
      <c r="B1486" s="138">
        <f>'Expenditures 15-22'!K245</f>
        <v>3367</v>
      </c>
      <c r="C1486" s="2" t="s">
        <v>594</v>
      </c>
      <c r="D1486" s="2" t="str">
        <f t="shared" si="22"/>
        <v>Error?</v>
      </c>
    </row>
    <row r="1487" spans="1:4" x14ac:dyDescent="0.2">
      <c r="A1487" s="5">
        <v>1426</v>
      </c>
      <c r="B1487" s="138">
        <f>'Expenditures 15-22'!K246</f>
        <v>1772</v>
      </c>
      <c r="C1487" s="2" t="s">
        <v>594</v>
      </c>
      <c r="D1487" s="2" t="str">
        <f t="shared" si="22"/>
        <v>Error?</v>
      </c>
    </row>
    <row r="1488" spans="1:4" x14ac:dyDescent="0.2">
      <c r="A1488" s="5">
        <v>1427</v>
      </c>
      <c r="B1488" s="138">
        <f>'Expenditures 15-22'!K257</f>
        <v>6405</v>
      </c>
      <c r="C1488" s="2" t="s">
        <v>594</v>
      </c>
      <c r="D1488" s="2" t="str">
        <f t="shared" si="22"/>
        <v>Error?</v>
      </c>
    </row>
    <row r="1489" spans="1:4" x14ac:dyDescent="0.2">
      <c r="A1489" s="5">
        <v>1428</v>
      </c>
      <c r="B1489" s="138">
        <f>'Expenditures 15-22'!K259</f>
        <v>31665</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31665</v>
      </c>
      <c r="C1491" s="2" t="s">
        <v>594</v>
      </c>
      <c r="D1491" s="2" t="str">
        <f t="shared" si="22"/>
        <v>Error?</v>
      </c>
    </row>
    <row r="1492" spans="1:4" x14ac:dyDescent="0.2">
      <c r="A1492" s="5">
        <v>1431</v>
      </c>
      <c r="B1492" s="138">
        <f>'Expenditures 15-22'!K263</f>
        <v>1135</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58239</v>
      </c>
      <c r="C1495" s="2" t="s">
        <v>594</v>
      </c>
      <c r="D1495" s="2" t="str">
        <f t="shared" si="22"/>
        <v>Error?</v>
      </c>
    </row>
    <row r="1496" spans="1:4" x14ac:dyDescent="0.2">
      <c r="A1496" s="5">
        <v>1435</v>
      </c>
      <c r="B1496" s="138">
        <f>'Expenditures 15-22'!K267</f>
        <v>5738</v>
      </c>
      <c r="C1496" s="2" t="s">
        <v>594</v>
      </c>
      <c r="D1496" s="2" t="str">
        <f t="shared" si="22"/>
        <v>Error?</v>
      </c>
    </row>
    <row r="1497" spans="1:4" x14ac:dyDescent="0.2">
      <c r="A1497" s="5">
        <v>1436</v>
      </c>
      <c r="B1497" s="138">
        <f>'Expenditures 15-22'!K268</f>
        <v>31143</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96255</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153737</v>
      </c>
      <c r="C1510" s="2" t="s">
        <v>594</v>
      </c>
      <c r="D1510" s="2" t="str">
        <f t="shared" si="22"/>
        <v>Error?</v>
      </c>
    </row>
    <row r="1511" spans="1:4" x14ac:dyDescent="0.2">
      <c r="A1511" s="5">
        <v>1450</v>
      </c>
      <c r="B1511" s="138">
        <f>'Expenditures 15-22'!K280</f>
        <v>9905</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288238</v>
      </c>
      <c r="C1517" s="2" t="s">
        <v>594</v>
      </c>
      <c r="D1517" s="2" t="str">
        <f t="shared" si="22"/>
        <v>Error?</v>
      </c>
    </row>
    <row r="1518" spans="1:4" x14ac:dyDescent="0.2">
      <c r="A1518" s="5">
        <v>1457</v>
      </c>
      <c r="B1518" s="138">
        <f>'Expenditures 15-22'!K296</f>
        <v>131961</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5613169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7153553</v>
      </c>
      <c r="C1630" s="2" t="s">
        <v>594</v>
      </c>
      <c r="D1630" s="2" t="str">
        <f t="shared" si="24"/>
        <v>Error?</v>
      </c>
    </row>
    <row r="1631" spans="1:4" x14ac:dyDescent="0.2">
      <c r="A1631" s="5">
        <v>1570</v>
      </c>
      <c r="B1631" s="138">
        <f>'Acct Summary 7-8'!D79</f>
        <v>398877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529285</v>
      </c>
      <c r="C1644" s="2" t="s">
        <v>594</v>
      </c>
      <c r="D1644" s="2" t="str">
        <f t="shared" si="24"/>
        <v>Error?</v>
      </c>
    </row>
    <row r="1645" spans="1:4" x14ac:dyDescent="0.2">
      <c r="A1645" s="5">
        <v>1584</v>
      </c>
      <c r="B1645" s="138">
        <f>'Acct Summary 7-8'!E79</f>
        <v>376262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710847</v>
      </c>
      <c r="C1658" s="2" t="s">
        <v>594</v>
      </c>
      <c r="D1658" s="2" t="str">
        <f t="shared" si="24"/>
        <v>Error?</v>
      </c>
    </row>
    <row r="1659" spans="1:4" x14ac:dyDescent="0.2">
      <c r="A1659" s="5">
        <v>1598</v>
      </c>
      <c r="B1659" s="138">
        <f>'Acct Summary 7-8'!F79</f>
        <v>12959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73505</v>
      </c>
      <c r="C1672" s="2" t="s">
        <v>594</v>
      </c>
      <c r="D1672" s="2" t="str">
        <f t="shared" si="25"/>
        <v>Error?</v>
      </c>
    </row>
    <row r="1673" spans="1:4" x14ac:dyDescent="0.2">
      <c r="A1673" s="5">
        <v>1612</v>
      </c>
      <c r="B1673" s="138">
        <f>'Acct Summary 7-8'!G79</f>
        <v>729241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861202</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2051293</v>
      </c>
      <c r="C1744" s="2" t="s">
        <v>594</v>
      </c>
      <c r="D1744" s="2" t="str">
        <f t="shared" si="26"/>
        <v>Error?</v>
      </c>
    </row>
    <row r="1745" spans="1:5" x14ac:dyDescent="0.2">
      <c r="A1745" s="5">
        <v>1684</v>
      </c>
      <c r="B1745" s="138">
        <f>'Tax Sched 23'!B5</f>
        <v>360780</v>
      </c>
      <c r="C1745" s="2" t="s">
        <v>594</v>
      </c>
      <c r="D1745" s="2" t="str">
        <f t="shared" si="26"/>
        <v>Error?</v>
      </c>
    </row>
    <row r="1746" spans="1:5" x14ac:dyDescent="0.2">
      <c r="A1746" s="5">
        <v>1685</v>
      </c>
      <c r="B1746" s="138">
        <f>'Tax Sched 23'!B6</f>
        <v>2175492</v>
      </c>
      <c r="C1746" s="2" t="s">
        <v>594</v>
      </c>
      <c r="D1746" s="2" t="str">
        <f t="shared" si="26"/>
        <v>Error?</v>
      </c>
    </row>
    <row r="1747" spans="1:5" x14ac:dyDescent="0.2">
      <c r="A1747" s="5">
        <v>1686</v>
      </c>
      <c r="B1747" s="138">
        <f>'Tax Sched 23'!B7</f>
        <v>123697</v>
      </c>
      <c r="C1747" s="2" t="s">
        <v>594</v>
      </c>
      <c r="D1747" s="2" t="str">
        <f t="shared" si="26"/>
        <v>Error?</v>
      </c>
    </row>
    <row r="1748" spans="1:5" x14ac:dyDescent="0.2">
      <c r="A1748" s="5">
        <v>1687</v>
      </c>
      <c r="B1748" s="138">
        <f>'Tax Sched 23'!B8</f>
        <v>170285</v>
      </c>
      <c r="C1748" s="2" t="s">
        <v>594</v>
      </c>
      <c r="D1748" s="2" t="str">
        <f t="shared" si="26"/>
        <v>Error?</v>
      </c>
    </row>
    <row r="1749" spans="1:5" x14ac:dyDescent="0.2">
      <c r="A1749" s="5">
        <v>1688</v>
      </c>
      <c r="B1749" s="138">
        <f>'Tax Sched 23'!B10</f>
        <v>51539</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259808</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20615</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5496865</v>
      </c>
      <c r="C1759" s="2" t="s">
        <v>594</v>
      </c>
      <c r="D1759" s="2" t="str">
        <f t="shared" si="26"/>
        <v>Error?</v>
      </c>
    </row>
    <row r="1760" spans="1:5" x14ac:dyDescent="0.2">
      <c r="A1760" s="5">
        <v>1699</v>
      </c>
      <c r="B1760" s="138">
        <f>'Tax Sched 23'!D4</f>
        <v>1523057</v>
      </c>
      <c r="C1760" s="2" t="s">
        <v>594</v>
      </c>
      <c r="D1760" s="2" t="str">
        <f t="shared" si="26"/>
        <v>Error?</v>
      </c>
    </row>
    <row r="1761" spans="1:5" x14ac:dyDescent="0.2">
      <c r="A1761" s="5">
        <v>1700</v>
      </c>
      <c r="B1761" s="138">
        <f>'Tax Sched 23'!D5</f>
        <v>267874</v>
      </c>
      <c r="C1761" s="2" t="s">
        <v>594</v>
      </c>
      <c r="D1761" s="2" t="str">
        <f t="shared" si="26"/>
        <v>Error?</v>
      </c>
    </row>
    <row r="1762" spans="1:5" s="8" customFormat="1" x14ac:dyDescent="0.2">
      <c r="A1762" s="5">
        <v>1701</v>
      </c>
      <c r="B1762" s="138">
        <f>'Tax Sched 23'!D6</f>
        <v>1617500</v>
      </c>
      <c r="C1762" s="2" t="s">
        <v>594</v>
      </c>
      <c r="D1762" s="2" t="str">
        <f t="shared" si="26"/>
        <v>Error?</v>
      </c>
      <c r="E1762" s="9"/>
    </row>
    <row r="1763" spans="1:5" x14ac:dyDescent="0.2">
      <c r="A1763" s="5">
        <v>1702</v>
      </c>
      <c r="B1763" s="138">
        <f>'Tax Sched 23'!D7</f>
        <v>91844</v>
      </c>
      <c r="C1763" s="2" t="s">
        <v>594</v>
      </c>
      <c r="D1763" s="2" t="str">
        <f t="shared" si="26"/>
        <v>Error?</v>
      </c>
    </row>
    <row r="1764" spans="1:5" x14ac:dyDescent="0.2">
      <c r="A1764" s="5">
        <v>1703</v>
      </c>
      <c r="B1764" s="138">
        <f>'Tax Sched 23'!D8</f>
        <v>127814</v>
      </c>
      <c r="C1764" s="2" t="s">
        <v>594</v>
      </c>
      <c r="D1764" s="2" t="str">
        <f t="shared" si="26"/>
        <v>Error?</v>
      </c>
    </row>
    <row r="1765" spans="1:5" x14ac:dyDescent="0.2">
      <c r="A1765" s="5">
        <v>1704</v>
      </c>
      <c r="B1765" s="138">
        <f>'Tax Sched 23'!D10</f>
        <v>38267</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198304</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15306</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4094492</v>
      </c>
      <c r="C1775" s="2" t="s">
        <v>594</v>
      </c>
      <c r="D1775" s="2" t="str">
        <f t="shared" si="26"/>
        <v>Error?</v>
      </c>
    </row>
    <row r="1776" spans="1:5" x14ac:dyDescent="0.2">
      <c r="A1776" s="5">
        <v>1715</v>
      </c>
      <c r="B1776" s="138">
        <f>'Tax Sched 23'!C4</f>
        <v>528236</v>
      </c>
      <c r="D1776" s="2" t="str">
        <f t="shared" si="26"/>
        <v>Error?</v>
      </c>
    </row>
    <row r="1777" spans="1:4" x14ac:dyDescent="0.2">
      <c r="A1777" s="5">
        <v>1716</v>
      </c>
      <c r="B1777" s="138">
        <f>'Tax Sched 23'!C5</f>
        <v>92906</v>
      </c>
      <c r="D1777" s="2" t="str">
        <f t="shared" si="26"/>
        <v>Error?</v>
      </c>
    </row>
    <row r="1778" spans="1:4" x14ac:dyDescent="0.2">
      <c r="A1778" s="5">
        <v>1717</v>
      </c>
      <c r="B1778" s="138">
        <f>'Tax Sched 23'!C6</f>
        <v>557992</v>
      </c>
      <c r="D1778" s="2" t="str">
        <f t="shared" si="26"/>
        <v>Error?</v>
      </c>
    </row>
    <row r="1779" spans="1:4" x14ac:dyDescent="0.2">
      <c r="A1779" s="5">
        <v>1718</v>
      </c>
      <c r="B1779" s="138">
        <f>'Tax Sched 23'!C7</f>
        <v>31853</v>
      </c>
      <c r="D1779" s="2" t="str">
        <f t="shared" si="26"/>
        <v>Error?</v>
      </c>
    </row>
    <row r="1780" spans="1:4" x14ac:dyDescent="0.2">
      <c r="A1780" s="5">
        <v>1719</v>
      </c>
      <c r="B1780" s="138">
        <f>'Tax Sched 23'!C8</f>
        <v>42471</v>
      </c>
      <c r="D1780" s="2" t="str">
        <f t="shared" si="26"/>
        <v>Error?</v>
      </c>
    </row>
    <row r="1781" spans="1:4" x14ac:dyDescent="0.2">
      <c r="A1781" s="5">
        <v>1720</v>
      </c>
      <c r="B1781" s="138">
        <f>'Tax Sched 23'!C10</f>
        <v>13272</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61504</v>
      </c>
      <c r="D1784" s="2" t="str">
        <f t="shared" si="26"/>
        <v>Error?</v>
      </c>
    </row>
    <row r="1785" spans="1:4" x14ac:dyDescent="0.2">
      <c r="A1785" s="5">
        <v>1724</v>
      </c>
      <c r="B1785" s="138">
        <f>'Tax Sched 23'!C12</f>
        <v>0</v>
      </c>
      <c r="D1785" s="2" t="str">
        <f t="shared" si="26"/>
        <v>Error?</v>
      </c>
    </row>
    <row r="1786" spans="1:4" x14ac:dyDescent="0.2">
      <c r="A1786" s="5">
        <v>1725</v>
      </c>
      <c r="B1786" s="138">
        <f>'Tax Sched 23'!C14</f>
        <v>5309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1402373</v>
      </c>
      <c r="C1791" s="2" t="s">
        <v>594</v>
      </c>
      <c r="D1791" s="2" t="str">
        <f t="shared" ref="D1791:D1854" si="27">IF(ISBLANK(B1791),"OK",IF(A1791-B1791=0,"OK","Error?"))</f>
        <v>Error?</v>
      </c>
    </row>
    <row r="1792" spans="1:4" x14ac:dyDescent="0.2">
      <c r="A1792" s="5">
        <v>1731</v>
      </c>
      <c r="B1792" s="138">
        <f>'Tax Sched 23'!F4</f>
        <v>1690232</v>
      </c>
      <c r="C1792" s="2" t="s">
        <v>594</v>
      </c>
      <c r="D1792" s="2" t="str">
        <f t="shared" si="27"/>
        <v>Error?</v>
      </c>
    </row>
    <row r="1793" spans="1:4" x14ac:dyDescent="0.2">
      <c r="A1793" s="5">
        <v>1732</v>
      </c>
      <c r="B1793" s="138">
        <f>'Tax Sched 23'!F5</f>
        <v>297277</v>
      </c>
      <c r="C1793" s="2" t="s">
        <v>594</v>
      </c>
      <c r="D1793" s="2" t="str">
        <f t="shared" si="27"/>
        <v>Error?</v>
      </c>
    </row>
    <row r="1794" spans="1:4" x14ac:dyDescent="0.2">
      <c r="A1794" s="5">
        <v>1733</v>
      </c>
      <c r="B1794" s="138">
        <f>'Tax Sched 23'!F6</f>
        <v>1785446</v>
      </c>
      <c r="C1794" s="2" t="s">
        <v>594</v>
      </c>
      <c r="D1794" s="2" t="str">
        <f t="shared" si="27"/>
        <v>Error?</v>
      </c>
    </row>
    <row r="1795" spans="1:4" x14ac:dyDescent="0.2">
      <c r="A1795" s="5">
        <v>1734</v>
      </c>
      <c r="B1795" s="138">
        <f>'Tax Sched 23'!F7</f>
        <v>101924</v>
      </c>
      <c r="C1795" s="2" t="s">
        <v>594</v>
      </c>
      <c r="D1795" s="2" t="str">
        <f t="shared" si="27"/>
        <v>Error?</v>
      </c>
    </row>
    <row r="1796" spans="1:4" x14ac:dyDescent="0.2">
      <c r="A1796" s="5">
        <v>1735</v>
      </c>
      <c r="B1796" s="138">
        <f>'Tax Sched 23'!F8</f>
        <v>135898</v>
      </c>
      <c r="C1796" s="2" t="s">
        <v>594</v>
      </c>
      <c r="D1796" s="2" t="str">
        <f t="shared" si="27"/>
        <v>Error?</v>
      </c>
    </row>
    <row r="1797" spans="1:4" x14ac:dyDescent="0.2">
      <c r="A1797" s="5">
        <v>1736</v>
      </c>
      <c r="B1797" s="138">
        <f>'Tax Sched 23'!F10</f>
        <v>42468</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196797</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16987</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4487269</v>
      </c>
      <c r="C1807" s="2" t="s">
        <v>594</v>
      </c>
      <c r="D1807" s="2" t="str">
        <f t="shared" si="27"/>
        <v>Error?</v>
      </c>
    </row>
    <row r="1808" spans="1:4" x14ac:dyDescent="0.2">
      <c r="A1808" s="5">
        <v>1747</v>
      </c>
      <c r="B1808" s="138">
        <f>'Tax Sched 23'!E4</f>
        <v>2218468</v>
      </c>
      <c r="D1808" s="2" t="str">
        <f t="shared" si="27"/>
        <v>Error?</v>
      </c>
    </row>
    <row r="1809" spans="1:4" x14ac:dyDescent="0.2">
      <c r="A1809" s="5">
        <v>1748</v>
      </c>
      <c r="B1809" s="138">
        <f>'Tax Sched 23'!E5</f>
        <v>390183</v>
      </c>
      <c r="D1809" s="2" t="str">
        <f t="shared" si="27"/>
        <v>Error?</v>
      </c>
    </row>
    <row r="1810" spans="1:4" x14ac:dyDescent="0.2">
      <c r="A1810" s="5">
        <v>1749</v>
      </c>
      <c r="B1810" s="138">
        <f>'Tax Sched 23'!E6</f>
        <v>2343438</v>
      </c>
      <c r="D1810" s="2" t="str">
        <f t="shared" si="27"/>
        <v>Error?</v>
      </c>
    </row>
    <row r="1811" spans="1:4" x14ac:dyDescent="0.2">
      <c r="A1811" s="5">
        <v>1750</v>
      </c>
      <c r="B1811" s="138">
        <f>'Tax Sched 23'!E7</f>
        <v>133777</v>
      </c>
      <c r="D1811" s="2" t="str">
        <f t="shared" si="27"/>
        <v>Error?</v>
      </c>
    </row>
    <row r="1812" spans="1:4" x14ac:dyDescent="0.2">
      <c r="A1812" s="5">
        <v>1751</v>
      </c>
      <c r="B1812" s="138">
        <f>'Tax Sched 23'!E8</f>
        <v>178369</v>
      </c>
      <c r="D1812" s="2" t="str">
        <f t="shared" si="27"/>
        <v>Error?</v>
      </c>
    </row>
    <row r="1813" spans="1:4" x14ac:dyDescent="0.2">
      <c r="A1813" s="5">
        <v>1752</v>
      </c>
      <c r="B1813" s="138">
        <f>'Tax Sched 23'!E10</f>
        <v>55740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258301</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22296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5889642</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34460000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20615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20615</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20615</v>
      </c>
      <c r="D1980" s="2" t="str">
        <f t="shared" si="29"/>
        <v>Error?</v>
      </c>
    </row>
    <row r="1981" spans="1:5" x14ac:dyDescent="0.2">
      <c r="A1981" s="10">
        <v>1920</v>
      </c>
      <c r="D1981" s="2" t="str">
        <f t="shared" si="29"/>
        <v>OK</v>
      </c>
      <c r="E1981" s="2" t="s">
        <v>137</v>
      </c>
    </row>
    <row r="1982" spans="1:5" x14ac:dyDescent="0.2">
      <c r="A1982" s="5">
        <v>1921</v>
      </c>
      <c r="B1982" s="138">
        <f>'Rest Tax Levies-Tort Im 25'!H23</f>
        <v>20615</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1086741</v>
      </c>
      <c r="D2008" s="2" t="str">
        <f t="shared" si="30"/>
        <v>Error?</v>
      </c>
    </row>
    <row r="2009" spans="1:4" x14ac:dyDescent="0.2">
      <c r="A2009" s="5">
        <v>1948</v>
      </c>
      <c r="B2009" s="138">
        <f>'Cap Outlay Deprec 26'!C8</f>
        <v>31187212</v>
      </c>
      <c r="D2009" s="2" t="str">
        <f t="shared" si="30"/>
        <v>Error?</v>
      </c>
    </row>
    <row r="2010" spans="1:4" x14ac:dyDescent="0.2">
      <c r="A2010" s="5">
        <v>1949</v>
      </c>
      <c r="B2010" s="138">
        <f>'Cap Outlay Deprec 26'!C10</f>
        <v>1040481</v>
      </c>
      <c r="D2010" s="2" t="str">
        <f t="shared" si="30"/>
        <v>Error?</v>
      </c>
    </row>
    <row r="2011" spans="1:4" x14ac:dyDescent="0.2">
      <c r="A2011" s="5">
        <v>1950</v>
      </c>
      <c r="B2011" s="138">
        <f>'Cap Outlay Deprec 26'!C12</f>
        <v>912716</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34227150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118446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118446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1086741</v>
      </c>
      <c r="C2026" s="2" t="s">
        <v>594</v>
      </c>
      <c r="D2026" s="2" t="str">
        <f t="shared" si="30"/>
        <v>Error?</v>
      </c>
    </row>
    <row r="2027" spans="1:4" x14ac:dyDescent="0.2">
      <c r="A2027" s="5">
        <v>1966</v>
      </c>
      <c r="B2027" s="138">
        <f>'Cap Outlay Deprec 26'!F8</f>
        <v>31187212</v>
      </c>
      <c r="C2027" s="2" t="s">
        <v>594</v>
      </c>
      <c r="D2027" s="2" t="str">
        <f t="shared" si="30"/>
        <v>Error?</v>
      </c>
    </row>
    <row r="2028" spans="1:4" x14ac:dyDescent="0.2">
      <c r="A2028" s="5">
        <v>1967</v>
      </c>
      <c r="B2028" s="138">
        <f>'Cap Outlay Deprec 26'!F10</f>
        <v>1040481</v>
      </c>
      <c r="C2028" s="2" t="s">
        <v>594</v>
      </c>
      <c r="D2028" s="2" t="str">
        <f t="shared" si="30"/>
        <v>Error?</v>
      </c>
    </row>
    <row r="2029" spans="1:4" x14ac:dyDescent="0.2">
      <c r="A2029" s="5">
        <v>1968</v>
      </c>
      <c r="B2029" s="138">
        <f>'Cap Outlay Deprec 26'!F12</f>
        <v>1031162</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34345596</v>
      </c>
      <c r="C2031" s="2" t="s">
        <v>594</v>
      </c>
      <c r="D2031" s="2" t="str">
        <f t="shared" si="30"/>
        <v>Error?</v>
      </c>
    </row>
    <row r="2032" spans="1:4" x14ac:dyDescent="0.2">
      <c r="A2032" s="10">
        <v>1971</v>
      </c>
      <c r="D2032" s="2" t="str">
        <f t="shared" si="30"/>
        <v>OK</v>
      </c>
    </row>
    <row r="2033" spans="1:4" x14ac:dyDescent="0.2">
      <c r="A2033" s="5">
        <v>1972</v>
      </c>
      <c r="B2033" s="138">
        <f>'Cap Outlay Deprec 26'!H8</f>
        <v>4157294</v>
      </c>
      <c r="D2033" s="2" t="str">
        <f t="shared" si="30"/>
        <v>Error?</v>
      </c>
    </row>
    <row r="2034" spans="1:4" x14ac:dyDescent="0.2">
      <c r="A2034" s="5">
        <v>1973</v>
      </c>
      <c r="B2034" s="138">
        <f>'Cap Outlay Deprec 26'!H10</f>
        <v>414936</v>
      </c>
      <c r="D2034" s="2" t="str">
        <f t="shared" si="30"/>
        <v>Error?</v>
      </c>
    </row>
    <row r="2035" spans="1:4" x14ac:dyDescent="0.2">
      <c r="A2035" s="5">
        <v>1974</v>
      </c>
      <c r="B2035" s="138">
        <f>'Cap Outlay Deprec 26'!H12</f>
        <v>486511</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5058741</v>
      </c>
      <c r="C2037" s="2" t="s">
        <v>594</v>
      </c>
      <c r="D2037" s="2" t="str">
        <f t="shared" si="30"/>
        <v>Error?</v>
      </c>
    </row>
    <row r="2038" spans="1:4" x14ac:dyDescent="0.2">
      <c r="A2038" s="10">
        <v>1977</v>
      </c>
      <c r="D2038" s="2" t="str">
        <f t="shared" si="30"/>
        <v>OK</v>
      </c>
    </row>
    <row r="2039" spans="1:4" x14ac:dyDescent="0.2">
      <c r="A2039" s="5">
        <v>1978</v>
      </c>
      <c r="B2039" s="138">
        <f>'Cap Outlay Deprec 26'!I8</f>
        <v>623745</v>
      </c>
      <c r="D2039" s="2" t="str">
        <f t="shared" si="30"/>
        <v>Error?</v>
      </c>
    </row>
    <row r="2040" spans="1:4" x14ac:dyDescent="0.2">
      <c r="A2040" s="5">
        <v>1979</v>
      </c>
      <c r="B2040" s="138">
        <f>'Cap Outlay Deprec 26'!I10</f>
        <v>52024</v>
      </c>
      <c r="D2040" s="2" t="str">
        <f t="shared" si="30"/>
        <v>Error?</v>
      </c>
    </row>
    <row r="2041" spans="1:4" x14ac:dyDescent="0.2">
      <c r="A2041" s="5">
        <v>1980</v>
      </c>
      <c r="B2041" s="138">
        <f>'Cap Outlay Deprec 26'!I12</f>
        <v>103116</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778885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4781039</v>
      </c>
      <c r="C2051" s="2" t="s">
        <v>594</v>
      </c>
      <c r="D2051" s="2" t="str">
        <f t="shared" si="31"/>
        <v>Error?</v>
      </c>
    </row>
    <row r="2052" spans="1:4" x14ac:dyDescent="0.2">
      <c r="A2052" s="5">
        <v>1991</v>
      </c>
      <c r="B2052" s="138">
        <f>'Cap Outlay Deprec 26'!K10</f>
        <v>466960</v>
      </c>
      <c r="C2052" s="2" t="s">
        <v>594</v>
      </c>
      <c r="D2052" s="2" t="str">
        <f t="shared" si="31"/>
        <v>Error?</v>
      </c>
    </row>
    <row r="2053" spans="1:4" x14ac:dyDescent="0.2">
      <c r="A2053" s="5">
        <v>1992</v>
      </c>
      <c r="B2053" s="138">
        <f>'Cap Outlay Deprec 26'!K12</f>
        <v>589627</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5837626</v>
      </c>
      <c r="C2055" s="2" t="s">
        <v>594</v>
      </c>
      <c r="D2055" s="2" t="str">
        <f t="shared" si="31"/>
        <v>Error?</v>
      </c>
    </row>
    <row r="2056" spans="1:4" x14ac:dyDescent="0.2">
      <c r="A2056" s="5">
        <v>1995</v>
      </c>
      <c r="B2056" s="138">
        <f>'Cap Outlay Deprec 26'!L5</f>
        <v>1086741</v>
      </c>
      <c r="C2056" s="2" t="s">
        <v>594</v>
      </c>
      <c r="D2056" s="2" t="str">
        <f t="shared" si="31"/>
        <v>Error?</v>
      </c>
    </row>
    <row r="2057" spans="1:4" x14ac:dyDescent="0.2">
      <c r="A2057" s="5">
        <v>1996</v>
      </c>
      <c r="B2057" s="138">
        <f>'Cap Outlay Deprec 26'!L8</f>
        <v>26406173</v>
      </c>
      <c r="C2057" s="2" t="s">
        <v>594</v>
      </c>
      <c r="D2057" s="2" t="str">
        <f t="shared" si="31"/>
        <v>Error?</v>
      </c>
    </row>
    <row r="2058" spans="1:4" x14ac:dyDescent="0.2">
      <c r="A2058" s="5">
        <v>1997</v>
      </c>
      <c r="B2058" s="138">
        <f>'Cap Outlay Deprec 26'!L10</f>
        <v>573521</v>
      </c>
      <c r="C2058" s="2" t="s">
        <v>594</v>
      </c>
      <c r="D2058" s="2" t="str">
        <f t="shared" si="31"/>
        <v>Error?</v>
      </c>
    </row>
    <row r="2059" spans="1:4" x14ac:dyDescent="0.2">
      <c r="A2059" s="5">
        <v>1998</v>
      </c>
      <c r="B2059" s="138">
        <f>'Cap Outlay Deprec 26'!L12</f>
        <v>441535</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28507970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458243</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425283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3046045</v>
      </c>
      <c r="C2551" s="2" t="s">
        <v>594</v>
      </c>
      <c r="D2551" s="2" t="str">
        <f t="shared" si="38"/>
        <v>Error?</v>
      </c>
    </row>
    <row r="2552" spans="1:4" x14ac:dyDescent="0.2">
      <c r="A2552" s="10">
        <v>2491</v>
      </c>
      <c r="D2552" s="2" t="str">
        <f t="shared" si="38"/>
        <v>OK</v>
      </c>
    </row>
    <row r="2553" spans="1:4" x14ac:dyDescent="0.2">
      <c r="A2553" s="5">
        <v>2492</v>
      </c>
      <c r="B2553" s="138">
        <f>'Acct Summary 7-8'!C6</f>
        <v>5301826</v>
      </c>
      <c r="C2553" s="2" t="s">
        <v>594</v>
      </c>
      <c r="D2553" s="2" t="str">
        <f t="shared" si="38"/>
        <v>Error?</v>
      </c>
    </row>
    <row r="2554" spans="1:4" x14ac:dyDescent="0.2">
      <c r="A2554" s="5">
        <v>2493</v>
      </c>
      <c r="B2554" s="138">
        <f>'Acct Summary 7-8'!C7</f>
        <v>1160057</v>
      </c>
      <c r="C2554" s="2" t="s">
        <v>594</v>
      </c>
      <c r="D2554" s="2" t="str">
        <f t="shared" si="38"/>
        <v>Error?</v>
      </c>
    </row>
    <row r="2555" spans="1:4" x14ac:dyDescent="0.2">
      <c r="A2555" s="5">
        <v>2494</v>
      </c>
      <c r="B2555" s="138">
        <f>'Acct Summary 7-8'!C8</f>
        <v>9507928</v>
      </c>
      <c r="C2555" s="2" t="s">
        <v>594</v>
      </c>
      <c r="D2555" s="2" t="str">
        <f t="shared" si="38"/>
        <v>Error?</v>
      </c>
    </row>
    <row r="2556" spans="1:4" x14ac:dyDescent="0.2">
      <c r="A2556" s="5">
        <v>2495</v>
      </c>
      <c r="B2556" s="138">
        <f>'Acct Summary 7-8'!C12</f>
        <v>5002379</v>
      </c>
      <c r="C2556" s="2" t="s">
        <v>594</v>
      </c>
      <c r="D2556" s="2" t="str">
        <f t="shared" si="38"/>
        <v>Error?</v>
      </c>
    </row>
    <row r="2557" spans="1:4" x14ac:dyDescent="0.2">
      <c r="A2557" s="5">
        <v>2496</v>
      </c>
      <c r="B2557" s="138">
        <f>'Acct Summary 7-8'!C13</f>
        <v>2412966</v>
      </c>
      <c r="C2557" s="2" t="s">
        <v>594</v>
      </c>
      <c r="D2557" s="2" t="str">
        <f t="shared" si="38"/>
        <v>Error?</v>
      </c>
    </row>
    <row r="2558" spans="1:4" x14ac:dyDescent="0.2">
      <c r="A2558" s="5">
        <v>2497</v>
      </c>
      <c r="B2558" s="138">
        <f>'Acct Summary 7-8'!C14</f>
        <v>93956</v>
      </c>
      <c r="C2558" s="2" t="s">
        <v>594</v>
      </c>
      <c r="D2558" s="2" t="str">
        <f t="shared" si="38"/>
        <v>Error?</v>
      </c>
    </row>
    <row r="2559" spans="1:4" x14ac:dyDescent="0.2">
      <c r="A2559" s="5">
        <v>2498</v>
      </c>
      <c r="B2559" s="138">
        <f>'Acct Summary 7-8'!C15</f>
        <v>458243</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7967544</v>
      </c>
      <c r="C2561" s="2" t="s">
        <v>594</v>
      </c>
      <c r="D2561" s="2" t="str">
        <f t="shared" si="39"/>
        <v>Error?</v>
      </c>
    </row>
    <row r="2562" spans="1:4" x14ac:dyDescent="0.2">
      <c r="A2562" s="5">
        <v>2501</v>
      </c>
      <c r="B2562" s="138">
        <f>'Acct Summary 7-8'!C20</f>
        <v>1540384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371673</v>
      </c>
      <c r="C2564" s="2" t="s">
        <v>594</v>
      </c>
      <c r="D2564" s="2" t="str">
        <f t="shared" si="39"/>
        <v>Error?</v>
      </c>
    </row>
    <row r="2565" spans="1:4" x14ac:dyDescent="0.2">
      <c r="A2565" s="10">
        <v>2504</v>
      </c>
      <c r="D2565" s="2" t="str">
        <f t="shared" si="39"/>
        <v>OK</v>
      </c>
    </row>
    <row r="2566" spans="1:4" x14ac:dyDescent="0.2">
      <c r="A2566" s="5">
        <v>2505</v>
      </c>
      <c r="B2566" s="138">
        <f>'Acct Summary 7-8'!D6</f>
        <v>160000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531673</v>
      </c>
      <c r="C2568" s="2" t="s">
        <v>594</v>
      </c>
      <c r="D2568" s="2" t="str">
        <f t="shared" si="39"/>
        <v>Error?</v>
      </c>
    </row>
    <row r="2569" spans="1:4" x14ac:dyDescent="0.2">
      <c r="A2569" s="5">
        <v>2508</v>
      </c>
      <c r="B2569" s="138">
        <f>'Acct Summary 7-8'!D13</f>
        <v>401265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401265</v>
      </c>
      <c r="C2573" s="2" t="s">
        <v>594</v>
      </c>
      <c r="D2573" s="2" t="str">
        <f t="shared" si="39"/>
        <v>Error?</v>
      </c>
    </row>
    <row r="2574" spans="1:4" x14ac:dyDescent="0.2">
      <c r="A2574" s="5">
        <v>2513</v>
      </c>
      <c r="B2574" s="138">
        <f>'Acct Summary 7-8'!D20</f>
        <v>130408</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132410</v>
      </c>
      <c r="C2591" s="2" t="s">
        <v>594</v>
      </c>
      <c r="D2591" s="2" t="str">
        <f t="shared" si="39"/>
        <v>Error?</v>
      </c>
    </row>
    <row r="2592" spans="1:4" x14ac:dyDescent="0.2">
      <c r="A2592" s="10">
        <v>2531</v>
      </c>
      <c r="D2592" s="2" t="str">
        <f t="shared" si="39"/>
        <v>OK</v>
      </c>
    </row>
    <row r="2593" spans="1:4" x14ac:dyDescent="0.2">
      <c r="A2593" s="5">
        <v>2532</v>
      </c>
      <c r="B2593" s="138">
        <f>'Acct Summary 7-8'!F6</f>
        <v>413933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546343</v>
      </c>
      <c r="C2595" s="2" t="s">
        <v>594</v>
      </c>
      <c r="D2595" s="2" t="str">
        <f t="shared" si="39"/>
        <v>Error?</v>
      </c>
    </row>
    <row r="2596" spans="1:4" x14ac:dyDescent="0.2">
      <c r="A2596" s="5">
        <v>2535</v>
      </c>
      <c r="B2596" s="138">
        <f>'Acct Summary 7-8'!F13</f>
        <v>485797</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485797</v>
      </c>
      <c r="C2600" s="2" t="s">
        <v>594</v>
      </c>
      <c r="D2600" s="2" t="str">
        <f t="shared" si="39"/>
        <v>Error?</v>
      </c>
    </row>
    <row r="2601" spans="1:4" x14ac:dyDescent="0.2">
      <c r="A2601" s="5">
        <v>2540</v>
      </c>
      <c r="B2601" s="138">
        <f>'Acct Summary 7-8'!F20</f>
        <v>60546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420199</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420199</v>
      </c>
      <c r="C2606" s="2" t="s">
        <v>594</v>
      </c>
      <c r="D2606" s="2" t="str">
        <f t="shared" si="39"/>
        <v>Error?</v>
      </c>
    </row>
    <row r="2607" spans="1:4" x14ac:dyDescent="0.2">
      <c r="A2607" s="5">
        <v>2546</v>
      </c>
      <c r="B2607" s="138">
        <f>'Acct Summary 7-8'!G12</f>
        <v>124596</v>
      </c>
      <c r="C2607" s="2" t="s">
        <v>594</v>
      </c>
      <c r="D2607" s="2" t="str">
        <f t="shared" si="39"/>
        <v>Error?</v>
      </c>
    </row>
    <row r="2608" spans="1:4" x14ac:dyDescent="0.2">
      <c r="A2608" s="5">
        <v>2547</v>
      </c>
      <c r="B2608" s="138">
        <f>'Acct Summary 7-8'!G13</f>
        <v>153737</v>
      </c>
      <c r="C2608" s="2" t="s">
        <v>594</v>
      </c>
      <c r="D2608" s="2" t="str">
        <f t="shared" si="39"/>
        <v>Error?</v>
      </c>
    </row>
    <row r="2609" spans="1:4" x14ac:dyDescent="0.2">
      <c r="A2609" s="5">
        <v>2548</v>
      </c>
      <c r="B2609" s="138">
        <f>'Acct Summary 7-8'!G14</f>
        <v>9905</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288238</v>
      </c>
      <c r="C2612" s="2" t="s">
        <v>594</v>
      </c>
      <c r="D2612" s="2" t="str">
        <f t="shared" si="39"/>
        <v>Error?</v>
      </c>
    </row>
    <row r="2613" spans="1:4" x14ac:dyDescent="0.2">
      <c r="A2613" s="5">
        <v>2552</v>
      </c>
      <c r="B2613" s="138">
        <f>'Acct Summary 7-8'!G20</f>
        <v>131961</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2177723</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2662726</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2328141</v>
      </c>
      <c r="C2634" s="2" t="s">
        <v>594</v>
      </c>
      <c r="D2634" s="2" t="str">
        <f t="shared" si="40"/>
        <v>Error?</v>
      </c>
    </row>
    <row r="2635" spans="1:4" x14ac:dyDescent="0.2">
      <c r="A2635" s="5">
        <v>2574</v>
      </c>
      <c r="B2635" s="138">
        <f>'Acct Summary 7-8'!E17</f>
        <v>2328141</v>
      </c>
      <c r="C2635" s="2" t="s">
        <v>594</v>
      </c>
      <c r="D2635" s="2" t="str">
        <f t="shared" si="40"/>
        <v>Error?</v>
      </c>
    </row>
    <row r="2636" spans="1:4" x14ac:dyDescent="0.2">
      <c r="A2636" s="5">
        <v>2575</v>
      </c>
      <c r="B2636" s="138">
        <f>'Acct Summary 7-8'!E20</f>
        <v>334585</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1087</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1087</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493910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804697</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102090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804697</v>
      </c>
      <c r="D2912" s="2" t="str">
        <f t="shared" si="44"/>
        <v>Error?</v>
      </c>
    </row>
    <row r="2913" spans="1:4" x14ac:dyDescent="0.2">
      <c r="A2913" s="5">
        <v>2852</v>
      </c>
      <c r="B2913" s="138">
        <f>'Assets-Liab 5-6'!I41</f>
        <v>804697</v>
      </c>
      <c r="C2913" s="2" t="s">
        <v>594</v>
      </c>
      <c r="D2913" s="2" t="str">
        <f t="shared" si="44"/>
        <v>Error?</v>
      </c>
    </row>
    <row r="2914" spans="1:4" x14ac:dyDescent="0.2">
      <c r="A2914" s="5">
        <v>2853</v>
      </c>
      <c r="B2914" s="138">
        <f>'Assets-Liab 5-6'!L33</f>
        <v>102090</v>
      </c>
      <c r="D2914" s="2" t="str">
        <f t="shared" si="44"/>
        <v>Error?</v>
      </c>
    </row>
    <row r="2915" spans="1:4" x14ac:dyDescent="0.2">
      <c r="A2915" s="10">
        <v>2854</v>
      </c>
      <c r="D2915" s="2" t="str">
        <f t="shared" si="44"/>
        <v>OK</v>
      </c>
    </row>
    <row r="2916" spans="1:4" x14ac:dyDescent="0.2">
      <c r="A2916" s="5">
        <v>2855</v>
      </c>
      <c r="B2916" s="138">
        <f>'Assets-Liab 5-6'!L34</f>
        <v>102090</v>
      </c>
      <c r="C2916" s="2" t="s">
        <v>594</v>
      </c>
      <c r="D2916" s="2" t="str">
        <f t="shared" si="44"/>
        <v>Error?</v>
      </c>
    </row>
    <row r="2917" spans="1:4" x14ac:dyDescent="0.2">
      <c r="A2917" s="5">
        <v>2856</v>
      </c>
      <c r="B2917" s="138">
        <f>'Assets-Liab 5-6'!L41</f>
        <v>102090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56968</v>
      </c>
      <c r="C3225" s="2" t="s">
        <v>594</v>
      </c>
      <c r="D3225" s="2" t="str">
        <f t="shared" si="49"/>
        <v>Error?</v>
      </c>
    </row>
    <row r="3226" spans="1:4" x14ac:dyDescent="0.2">
      <c r="A3226" s="5">
        <v>3165</v>
      </c>
      <c r="B3226" s="138">
        <f>'Acct Summary 7-8'!I8</f>
        <v>56968</v>
      </c>
      <c r="C3226" s="2" t="s">
        <v>594</v>
      </c>
      <c r="D3226" s="2" t="str">
        <f t="shared" si="49"/>
        <v>Error?</v>
      </c>
    </row>
    <row r="3227" spans="1:4" x14ac:dyDescent="0.2">
      <c r="A3227" s="5">
        <v>3166</v>
      </c>
      <c r="B3227" s="138">
        <f>'Acct Summary 7-8'!I20</f>
        <v>56968</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1540384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130408</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60546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131961</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334585</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56968</v>
      </c>
      <c r="C3320" s="2" t="s">
        <v>594</v>
      </c>
      <c r="D3320" s="2" t="str">
        <f t="shared" si="50"/>
        <v>Error?</v>
      </c>
    </row>
    <row r="3321" spans="1:4" x14ac:dyDescent="0.2">
      <c r="A3321" s="5">
        <v>3260</v>
      </c>
      <c r="B3321" s="138">
        <f>'Acct Summary 7-8'!I79</f>
        <v>747729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804697</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966268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220958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2307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9122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2597</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9246</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1201252</v>
      </c>
      <c r="C3380" s="2" t="s">
        <v>594</v>
      </c>
      <c r="D3380" s="2" t="str">
        <f t="shared" si="51"/>
        <v>Error?</v>
      </c>
    </row>
    <row r="3381" spans="1:4" x14ac:dyDescent="0.2">
      <c r="A3381" s="5">
        <v>3320</v>
      </c>
      <c r="B3381" s="138">
        <f>'Expenditures 15-22'!K19</f>
        <v>9246</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61330</v>
      </c>
      <c r="D3387" s="2" t="str">
        <f t="shared" si="51"/>
        <v>Error?</v>
      </c>
    </row>
    <row r="3388" spans="1:4" x14ac:dyDescent="0.2">
      <c r="A3388" s="5">
        <v>3327</v>
      </c>
      <c r="B3388" s="138">
        <f>'Expenditures 15-22'!D217</f>
        <v>54651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61330</v>
      </c>
      <c r="C3390" s="2" t="s">
        <v>594</v>
      </c>
      <c r="D3390" s="2" t="str">
        <f t="shared" si="51"/>
        <v>Error?</v>
      </c>
    </row>
    <row r="3391" spans="1:4" x14ac:dyDescent="0.2">
      <c r="A3391" s="5">
        <v>3330</v>
      </c>
      <c r="B3391" s="138">
        <f>'Expenditures 15-22'!K217</f>
        <v>54651</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4672960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529285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710847</v>
      </c>
      <c r="D3417" s="2" t="str">
        <f t="shared" si="52"/>
        <v>Error?</v>
      </c>
    </row>
    <row r="3418" spans="1:4" x14ac:dyDescent="0.2">
      <c r="A3418" s="10">
        <v>3357</v>
      </c>
      <c r="D3418" s="2" t="str">
        <f t="shared" si="52"/>
        <v>OK</v>
      </c>
    </row>
    <row r="3419" spans="1:4" x14ac:dyDescent="0.2">
      <c r="A3419" s="5">
        <v>3358</v>
      </c>
      <c r="B3419" s="138">
        <f>'Assets-Liab 5-6'!F4</f>
        <v>73505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454433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310787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102090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231897</v>
      </c>
      <c r="C3446" s="2" t="s">
        <v>594</v>
      </c>
      <c r="D3446" s="2" t="str">
        <f t="shared" si="52"/>
        <v>Error?</v>
      </c>
    </row>
    <row r="3447" spans="1:4" x14ac:dyDescent="0.2">
      <c r="A3447" s="5">
        <v>3386</v>
      </c>
      <c r="B3447" s="138">
        <f>'Tax Sched 23'!D16</f>
        <v>176259</v>
      </c>
      <c r="C3447" s="2" t="s">
        <v>594</v>
      </c>
      <c r="D3447" s="2" t="str">
        <f t="shared" si="52"/>
        <v>Error?</v>
      </c>
    </row>
    <row r="3448" spans="1:4" x14ac:dyDescent="0.2">
      <c r="A3448" s="5">
        <v>3387</v>
      </c>
      <c r="B3448" s="138">
        <f>'Tax Sched 23'!C16</f>
        <v>55638</v>
      </c>
      <c r="D3448" s="2" t="str">
        <f t="shared" si="52"/>
        <v>Error?</v>
      </c>
    </row>
    <row r="3449" spans="1:4" x14ac:dyDescent="0.2">
      <c r="A3449" s="5">
        <v>3388</v>
      </c>
      <c r="B3449" s="138">
        <f>'Tax Sched 23'!F16</f>
        <v>178026</v>
      </c>
      <c r="C3449" s="2" t="s">
        <v>594</v>
      </c>
      <c r="D3449" s="2" t="str">
        <f t="shared" si="52"/>
        <v>Error?</v>
      </c>
    </row>
    <row r="3450" spans="1:4" x14ac:dyDescent="0.2">
      <c r="A3450" s="5">
        <v>3389</v>
      </c>
      <c r="B3450" s="138">
        <f>'Tax Sched 23'!E16</f>
        <v>233664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67064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203385</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270449</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270449</v>
      </c>
      <c r="D3567" s="2" t="str">
        <f t="shared" si="54"/>
        <v>Error?</v>
      </c>
    </row>
    <row r="3568" spans="1:4" x14ac:dyDescent="0.2">
      <c r="A3568" s="5">
        <v>3507</v>
      </c>
      <c r="B3568" s="138">
        <f>'Assets-Liab 5-6'!K41</f>
        <v>270449</v>
      </c>
      <c r="C3568" s="2" t="s">
        <v>594</v>
      </c>
      <c r="D3568" s="2" t="str">
        <f t="shared" si="54"/>
        <v>Error?</v>
      </c>
    </row>
    <row r="3569" spans="1:4" x14ac:dyDescent="0.2">
      <c r="A3569" s="5">
        <v>3508</v>
      </c>
      <c r="B3569" s="138">
        <f>'Acct Summary 7-8'!K4</f>
        <v>3570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3570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3570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3570</v>
      </c>
      <c r="C3588" s="2" t="s">
        <v>594</v>
      </c>
      <c r="D3588" s="2" t="str">
        <f t="shared" si="55"/>
        <v>Error?</v>
      </c>
    </row>
    <row r="3589" spans="1:4" x14ac:dyDescent="0.2">
      <c r="A3589" s="5">
        <v>3528</v>
      </c>
      <c r="B3589" s="138">
        <f>'Acct Summary 7-8'!K79</f>
        <v>266879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270449</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3570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51459</v>
      </c>
      <c r="C3725" s="2" t="s">
        <v>594</v>
      </c>
      <c r="D3725" s="2" t="str">
        <f t="shared" si="57"/>
        <v>Error?</v>
      </c>
    </row>
    <row r="3726" spans="1:4" x14ac:dyDescent="0.2">
      <c r="A3726" s="5">
        <v>3665</v>
      </c>
      <c r="B3726" s="138">
        <f>'Tax Sched 23'!D13</f>
        <v>38267</v>
      </c>
      <c r="C3726" s="2" t="s">
        <v>594</v>
      </c>
      <c r="D3726" s="2" t="str">
        <f t="shared" si="57"/>
        <v>Error?</v>
      </c>
    </row>
    <row r="3727" spans="1:4" x14ac:dyDescent="0.2">
      <c r="A3727" s="5">
        <v>3666</v>
      </c>
      <c r="B3727" s="138">
        <f>'Tax Sched 23'!C13</f>
        <v>13192</v>
      </c>
      <c r="D3727" s="2" t="str">
        <f t="shared" si="57"/>
        <v>Error?</v>
      </c>
    </row>
    <row r="3728" spans="1:4" x14ac:dyDescent="0.2">
      <c r="A3728" s="5">
        <v>3667</v>
      </c>
      <c r="B3728" s="138">
        <f>'Tax Sched 23'!F13</f>
        <v>42214</v>
      </c>
      <c r="C3728" s="2" t="s">
        <v>594</v>
      </c>
      <c r="D3728" s="2" t="str">
        <f t="shared" si="57"/>
        <v>Error?</v>
      </c>
    </row>
    <row r="3729" spans="1:4" x14ac:dyDescent="0.2">
      <c r="A3729" s="5">
        <v>3668</v>
      </c>
      <c r="B3729" s="138">
        <f>'Tax Sched 23'!E13</f>
        <v>55406</v>
      </c>
      <c r="D3729" s="2" t="str">
        <f t="shared" si="57"/>
        <v>Error?</v>
      </c>
    </row>
    <row r="3730" spans="1:4" x14ac:dyDescent="0.2">
      <c r="A3730" s="5">
        <v>3669</v>
      </c>
      <c r="B3730" s="138">
        <f>'ICR Computation 30'!E10</f>
        <v>514740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3361861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12869789</v>
      </c>
      <c r="C4122" s="2" t="s">
        <v>594</v>
      </c>
      <c r="D4122" s="2" t="str">
        <f t="shared" si="63"/>
        <v>Error?</v>
      </c>
    </row>
    <row r="4123" spans="1:4" x14ac:dyDescent="0.2">
      <c r="A4123" s="5">
        <v>4062</v>
      </c>
      <c r="B4123" s="138">
        <f>'Acct Summary 7-8'!D10</f>
        <v>531673</v>
      </c>
      <c r="C4123" s="2" t="s">
        <v>594</v>
      </c>
      <c r="D4123" s="2" t="str">
        <f t="shared" si="63"/>
        <v>Error?</v>
      </c>
    </row>
    <row r="4124" spans="1:4" x14ac:dyDescent="0.2">
      <c r="A4124" s="5">
        <v>4063</v>
      </c>
      <c r="B4124" s="138">
        <f>'Acct Summary 7-8'!E10</f>
        <v>2662726</v>
      </c>
      <c r="C4124" s="2" t="s">
        <v>594</v>
      </c>
      <c r="D4124" s="2" t="str">
        <f t="shared" si="63"/>
        <v>Error?</v>
      </c>
    </row>
    <row r="4125" spans="1:4" x14ac:dyDescent="0.2">
      <c r="A4125" s="5">
        <v>4064</v>
      </c>
      <c r="B4125" s="138">
        <f>'Acct Summary 7-8'!F10</f>
        <v>546343</v>
      </c>
      <c r="C4125" s="2" t="s">
        <v>594</v>
      </c>
      <c r="D4125" s="2" t="str">
        <f t="shared" si="63"/>
        <v>Error?</v>
      </c>
    </row>
    <row r="4126" spans="1:4" x14ac:dyDescent="0.2">
      <c r="A4126" s="5">
        <v>4065</v>
      </c>
      <c r="B4126" s="138">
        <f>'Acct Summary 7-8'!G10</f>
        <v>420199</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56968</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3570</v>
      </c>
      <c r="C4130" s="2" t="s">
        <v>594</v>
      </c>
      <c r="D4130" s="2" t="str">
        <f t="shared" si="63"/>
        <v>Error?</v>
      </c>
    </row>
    <row r="4131" spans="1:4" x14ac:dyDescent="0.2">
      <c r="A4131" s="5">
        <v>4070</v>
      </c>
      <c r="B4131" s="138">
        <f>'Acct Summary 7-8'!C18</f>
        <v>3361861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11329405</v>
      </c>
      <c r="C4136" s="2" t="s">
        <v>594</v>
      </c>
      <c r="D4136" s="2" t="str">
        <f t="shared" si="63"/>
        <v>Error?</v>
      </c>
    </row>
    <row r="4137" spans="1:4" x14ac:dyDescent="0.2">
      <c r="A4137" s="5">
        <v>4076</v>
      </c>
      <c r="B4137" s="138">
        <f>'Acct Summary 7-8'!D19</f>
        <v>401265</v>
      </c>
      <c r="C4137" s="2" t="s">
        <v>594</v>
      </c>
      <c r="D4137" s="2" t="str">
        <f t="shared" si="63"/>
        <v>Error?</v>
      </c>
    </row>
    <row r="4138" spans="1:4" x14ac:dyDescent="0.2">
      <c r="A4138" s="5">
        <v>4077</v>
      </c>
      <c r="B4138" s="138">
        <f>'Acct Summary 7-8'!E19</f>
        <v>2328141</v>
      </c>
      <c r="C4138" s="2" t="s">
        <v>594</v>
      </c>
      <c r="D4138" s="2" t="str">
        <f t="shared" si="63"/>
        <v>Error?</v>
      </c>
    </row>
    <row r="4139" spans="1:4" x14ac:dyDescent="0.2">
      <c r="A4139" s="5">
        <v>4078</v>
      </c>
      <c r="B4139" s="138">
        <f>'Acct Summary 7-8'!F19</f>
        <v>485797</v>
      </c>
      <c r="C4139" s="2" t="s">
        <v>594</v>
      </c>
      <c r="D4139" s="2" t="str">
        <f t="shared" si="63"/>
        <v>Error?</v>
      </c>
    </row>
    <row r="4140" spans="1:4" x14ac:dyDescent="0.2">
      <c r="A4140" s="5">
        <v>4079</v>
      </c>
      <c r="B4140" s="138">
        <f>'Acct Summary 7-8'!G19</f>
        <v>288238</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34460000</v>
      </c>
      <c r="C4171" s="2" t="s">
        <v>594</v>
      </c>
      <c r="D4171" s="2" t="str">
        <f t="shared" si="64"/>
        <v>Error?</v>
      </c>
    </row>
    <row r="4172" spans="1:4" x14ac:dyDescent="0.2">
      <c r="A4172" s="5">
        <v>4111</v>
      </c>
      <c r="B4172" s="138">
        <f>'Short-Term Long-Term Debt 24'!J49</f>
        <v>33749153</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1990</v>
      </c>
      <c r="C4265" s="2" t="s">
        <v>594</v>
      </c>
      <c r="D4265" s="2" t="str">
        <f t="shared" si="65"/>
        <v>Error?</v>
      </c>
      <c r="E4265" s="128"/>
    </row>
    <row r="4266" spans="1:5" x14ac:dyDescent="0.2">
      <c r="A4266" s="12">
        <v>4205</v>
      </c>
      <c r="B4266" s="138">
        <f>('FP Info 3'!F10)*100000</f>
        <v>350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2460</v>
      </c>
      <c r="C4268" s="2" t="s">
        <v>594</v>
      </c>
      <c r="D4268" s="2" t="str">
        <f t="shared" si="65"/>
        <v>Error?</v>
      </c>
    </row>
    <row r="4269" spans="1:5" x14ac:dyDescent="0.2">
      <c r="A4269" s="12">
        <v>4208</v>
      </c>
      <c r="B4269" s="138">
        <f>'FP Info 3'!J16</f>
        <v>8561040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43453</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19707</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75748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41973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485003</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485003</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21066</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90652814</v>
      </c>
      <c r="D4995" s="2" t="str">
        <f t="shared" si="77"/>
        <v>Error?</v>
      </c>
    </row>
    <row r="4996" spans="1:4" x14ac:dyDescent="0.2">
      <c r="A4996" s="12">
        <v>4935</v>
      </c>
      <c r="B4996" s="138">
        <f>'FP Info 3'!H31</f>
        <v>6255044.1660000002</v>
      </c>
      <c r="D4996" s="2" t="str">
        <f t="shared" si="77"/>
        <v>Error?</v>
      </c>
    </row>
    <row r="4997" spans="1:4" x14ac:dyDescent="0.2">
      <c r="A4997" s="12">
        <v>4936</v>
      </c>
      <c r="B4997" s="138">
        <f>'FP Info 3'!H37</f>
        <v>34460000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51459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2051293</v>
      </c>
      <c r="D5061" s="2" t="str">
        <f t="shared" si="78"/>
        <v>Error?</v>
      </c>
    </row>
    <row r="5062" spans="1:4" x14ac:dyDescent="0.2">
      <c r="A5062" s="10">
        <v>5001</v>
      </c>
      <c r="D5062" s="2" t="str">
        <f t="shared" si="78"/>
        <v>OK</v>
      </c>
    </row>
    <row r="5063" spans="1:4" x14ac:dyDescent="0.2">
      <c r="A5063" s="5">
        <v>5002</v>
      </c>
      <c r="B5063" s="138">
        <f>'Revenues 9-14'!C7</f>
        <v>20615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2123367</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98282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98282</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1267</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1267</v>
      </c>
      <c r="C5087" s="2" t="s">
        <v>594</v>
      </c>
      <c r="D5087" s="2" t="str">
        <f t="shared" si="78"/>
        <v>Error?</v>
      </c>
    </row>
    <row r="5088" spans="1:4" x14ac:dyDescent="0.2">
      <c r="A5088" s="5">
        <v>5027</v>
      </c>
      <c r="B5088" s="138">
        <f>'Revenues 9-14'!C65</f>
        <v>51482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51482</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4075</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3542</v>
      </c>
      <c r="D5094" s="2" t="str">
        <f t="shared" si="78"/>
        <v>Error?</v>
      </c>
    </row>
    <row r="5095" spans="1:4" x14ac:dyDescent="0.2">
      <c r="A5095" s="5">
        <v>5034</v>
      </c>
      <c r="B5095" s="138">
        <f>'Revenues 9-14'!C74</f>
        <v>0</v>
      </c>
      <c r="D5095" s="2" t="str">
        <f t="shared" si="78"/>
        <v>Error?</v>
      </c>
    </row>
    <row r="5096" spans="1:4" x14ac:dyDescent="0.2">
      <c r="A5096" s="5">
        <v>5035</v>
      </c>
      <c r="B5096" s="138">
        <f>'Revenues 9-14'!C75</f>
        <v>76622</v>
      </c>
      <c r="C5096" s="2" t="s">
        <v>594</v>
      </c>
      <c r="D5096" s="2" t="str">
        <f t="shared" si="78"/>
        <v>Error?</v>
      </c>
    </row>
    <row r="5097" spans="1:4" x14ac:dyDescent="0.2">
      <c r="A5097" s="5">
        <v>5036</v>
      </c>
      <c r="B5097" s="138">
        <f>'Revenues 9-14'!C77</f>
        <v>7133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7133</v>
      </c>
      <c r="C5102" s="2" t="s">
        <v>594</v>
      </c>
      <c r="D5102" s="2" t="str">
        <f t="shared" si="78"/>
        <v>Error?</v>
      </c>
    </row>
    <row r="5103" spans="1:4" x14ac:dyDescent="0.2">
      <c r="A5103" s="5">
        <v>5042</v>
      </c>
      <c r="B5103" s="138">
        <f>'Revenues 9-14'!C84</f>
        <v>27482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27482</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90689</v>
      </c>
      <c r="D5118" s="2" t="str">
        <f t="shared" si="78"/>
        <v>Error?</v>
      </c>
    </row>
    <row r="5119" spans="1:4" x14ac:dyDescent="0.2">
      <c r="A5119" s="5">
        <v>5058</v>
      </c>
      <c r="B5119" s="138">
        <f>'Revenues 9-14'!C107</f>
        <v>42629</v>
      </c>
      <c r="D5119" s="2" t="str">
        <f t="shared" ref="D5119:D5182" si="79">IF(ISBLANK(B5119),"OK",IF(A5119-B5119=0,"OK","Error?"))</f>
        <v>Error?</v>
      </c>
    </row>
    <row r="5120" spans="1:4" x14ac:dyDescent="0.2">
      <c r="A5120" s="5">
        <v>5059</v>
      </c>
      <c r="B5120" s="138">
        <f>'Revenues 9-14'!C108</f>
        <v>660410</v>
      </c>
      <c r="C5120" s="2" t="s">
        <v>594</v>
      </c>
      <c r="D5120" s="2" t="str">
        <f t="shared" si="79"/>
        <v>Error?</v>
      </c>
    </row>
    <row r="5121" spans="1:4" x14ac:dyDescent="0.2">
      <c r="A5121" s="5">
        <v>5060</v>
      </c>
      <c r="B5121" s="138">
        <f>'Revenues 9-14'!C109</f>
        <v>3046045</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4808796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4808796</v>
      </c>
      <c r="C5132" s="2" t="s">
        <v>594</v>
      </c>
      <c r="D5132" s="2" t="str">
        <f t="shared" si="79"/>
        <v>Error?</v>
      </c>
    </row>
    <row r="5133" spans="1:4" x14ac:dyDescent="0.2">
      <c r="A5133" s="5">
        <v>5072</v>
      </c>
      <c r="B5133" s="138">
        <f>'Revenues 9-14'!C124</f>
        <v>4668</v>
      </c>
      <c r="D5133" s="2" t="str">
        <f t="shared" si="79"/>
        <v>Error?</v>
      </c>
    </row>
    <row r="5134" spans="1:4" x14ac:dyDescent="0.2">
      <c r="A5134" s="5">
        <v>5073</v>
      </c>
      <c r="B5134" s="138">
        <f>'Revenues 9-14'!C125</f>
        <v>69458</v>
      </c>
      <c r="D5134" s="2" t="str">
        <f t="shared" si="79"/>
        <v>Error?</v>
      </c>
    </row>
    <row r="5135" spans="1:4" x14ac:dyDescent="0.2">
      <c r="A5135" s="5">
        <v>5074</v>
      </c>
      <c r="B5135" s="138">
        <f>'Revenues 9-14'!C126</f>
        <v>104638</v>
      </c>
      <c r="D5135" s="2" t="str">
        <f t="shared" si="79"/>
        <v>Error?</v>
      </c>
    </row>
    <row r="5136" spans="1:4" x14ac:dyDescent="0.2">
      <c r="A5136" s="10">
        <v>5075</v>
      </c>
      <c r="D5136" s="2" t="str">
        <f t="shared" si="79"/>
        <v>OK</v>
      </c>
    </row>
    <row r="5137" spans="1:4" x14ac:dyDescent="0.2">
      <c r="A5137" s="5">
        <v>5076</v>
      </c>
      <c r="B5137" s="138">
        <f>'Revenues 9-14'!C127</f>
        <v>50463</v>
      </c>
      <c r="D5137" s="2" t="str">
        <f t="shared" si="79"/>
        <v>Error?</v>
      </c>
    </row>
    <row r="5138" spans="1:4" x14ac:dyDescent="0.2">
      <c r="A5138" s="10">
        <v>5077</v>
      </c>
      <c r="D5138" s="2" t="str">
        <f t="shared" si="79"/>
        <v>OK</v>
      </c>
    </row>
    <row r="5139" spans="1:4" x14ac:dyDescent="0.2">
      <c r="A5139" s="5">
        <v>5078</v>
      </c>
      <c r="B5139" s="138">
        <f>'Revenues 9-14'!C128</f>
        <v>2697</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6671</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238595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1037</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1037</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6108</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226224</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493030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5301826</v>
      </c>
      <c r="C5223" s="2" t="s">
        <v>594</v>
      </c>
      <c r="D5223" s="2" t="str">
        <f t="shared" si="80"/>
        <v>Error?</v>
      </c>
    </row>
    <row r="5224" spans="1:4" x14ac:dyDescent="0.2">
      <c r="A5224" s="5">
        <v>5163</v>
      </c>
      <c r="B5224" s="138">
        <f>'Revenues 9-14'!C176</f>
        <v>37388</v>
      </c>
      <c r="D5224" s="2" t="str">
        <f t="shared" si="80"/>
        <v>Error?</v>
      </c>
    </row>
    <row r="5225" spans="1:4" x14ac:dyDescent="0.2">
      <c r="A5225" s="5">
        <v>5164</v>
      </c>
      <c r="B5225" s="138">
        <f>'Revenues 9-14'!C178</f>
        <v>37388</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336137</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99082</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478672</v>
      </c>
      <c r="C5246" s="2" t="s">
        <v>594</v>
      </c>
      <c r="D5246" s="2" t="str">
        <f t="shared" si="80"/>
        <v>Error?</v>
      </c>
    </row>
    <row r="5247" spans="1:4" x14ac:dyDescent="0.2">
      <c r="A5247" s="5">
        <v>5186</v>
      </c>
      <c r="B5247" s="138">
        <f>'Revenues 9-14'!C203</f>
        <v>276533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276533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1935</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220506</v>
      </c>
      <c r="D5278" s="2" t="str">
        <f t="shared" si="81"/>
        <v>Error?</v>
      </c>
    </row>
    <row r="5279" spans="1:4" x14ac:dyDescent="0.2">
      <c r="A5279" s="5">
        <v>5218</v>
      </c>
      <c r="B5279" s="138">
        <f>'Revenues 9-14'!C221</f>
        <v>7595</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230036</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1122669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1160057</v>
      </c>
      <c r="C5326" s="2" t="s">
        <v>594</v>
      </c>
      <c r="D5326" s="2" t="str">
        <f t="shared" si="82"/>
        <v>Error?</v>
      </c>
    </row>
    <row r="5327" spans="1:4" x14ac:dyDescent="0.2">
      <c r="A5327" s="5">
        <v>5266</v>
      </c>
      <c r="B5327" s="138">
        <f>'Revenues 9-14'!C275</f>
        <v>9507928</v>
      </c>
      <c r="C5327" s="2" t="s">
        <v>594</v>
      </c>
      <c r="D5327" s="2" t="str">
        <f t="shared" si="82"/>
        <v>Error?</v>
      </c>
    </row>
    <row r="5328" spans="1:4" x14ac:dyDescent="0.2">
      <c r="A5328" s="5">
        <v>5267</v>
      </c>
      <c r="B5328" s="138">
        <f>'Revenues 9-14'!D5</f>
        <v>360780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360780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1234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1234</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9659</v>
      </c>
      <c r="D5354" s="2" t="str">
        <f t="shared" si="82"/>
        <v>Error?</v>
      </c>
    </row>
    <row r="5355" spans="1:4" x14ac:dyDescent="0.2">
      <c r="A5355" s="5">
        <v>5294</v>
      </c>
      <c r="B5355" s="138">
        <f>'Revenues 9-14'!D108</f>
        <v>9659</v>
      </c>
      <c r="C5355" s="2" t="s">
        <v>594</v>
      </c>
      <c r="D5355" s="2" t="str">
        <f t="shared" si="82"/>
        <v>Error?</v>
      </c>
    </row>
    <row r="5356" spans="1:4" x14ac:dyDescent="0.2">
      <c r="A5356" s="5">
        <v>5295</v>
      </c>
      <c r="B5356" s="138">
        <f>'Revenues 9-14'!D109</f>
        <v>371673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160000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160000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160000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531673</v>
      </c>
      <c r="C5508" s="2" t="s">
        <v>594</v>
      </c>
      <c r="D5508" s="2" t="str">
        <f t="shared" si="85"/>
        <v>Error?</v>
      </c>
    </row>
    <row r="5509" spans="1:4" x14ac:dyDescent="0.2">
      <c r="A5509" s="5">
        <v>5448</v>
      </c>
      <c r="B5509" s="138">
        <f>'Revenues 9-14'!E5</f>
        <v>2175492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2175492</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2231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2231</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2177723</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2662726</v>
      </c>
      <c r="C5552" s="2" t="s">
        <v>594</v>
      </c>
      <c r="D5552" s="2" t="str">
        <f t="shared" si="85"/>
        <v>Error?</v>
      </c>
    </row>
    <row r="5553" spans="1:4" x14ac:dyDescent="0.2">
      <c r="A5553" s="5">
        <v>5492</v>
      </c>
      <c r="B5553" s="138">
        <f>'Revenues 9-14'!F5</f>
        <v>123697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123697</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113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113</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8600</v>
      </c>
      <c r="D5586" s="2" t="str">
        <f t="shared" si="86"/>
        <v>Error?</v>
      </c>
    </row>
    <row r="5587" spans="1:4" x14ac:dyDescent="0.2">
      <c r="A5587" s="5">
        <v>5526</v>
      </c>
      <c r="B5587" s="138">
        <f>'Revenues 9-14'!F108</f>
        <v>8600</v>
      </c>
      <c r="C5587" s="2" t="s">
        <v>594</v>
      </c>
      <c r="D5587" s="2" t="str">
        <f t="shared" si="86"/>
        <v>Error?</v>
      </c>
    </row>
    <row r="5588" spans="1:4" x14ac:dyDescent="0.2">
      <c r="A5588" s="5">
        <v>5527</v>
      </c>
      <c r="B5588" s="138">
        <f>'Revenues 9-14'!F109</f>
        <v>132410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26000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26000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213881</v>
      </c>
      <c r="D5615" s="2" t="str">
        <f t="shared" si="86"/>
        <v>Error?</v>
      </c>
    </row>
    <row r="5616" spans="1:4" x14ac:dyDescent="0.2">
      <c r="A5616" s="10">
        <v>5555</v>
      </c>
      <c r="D5616" s="2" t="str">
        <f t="shared" si="86"/>
        <v>OK</v>
      </c>
    </row>
    <row r="5617" spans="1:4" x14ac:dyDescent="0.2">
      <c r="A5617" s="5">
        <v>5556</v>
      </c>
      <c r="B5617" s="138">
        <f>'Revenues 9-14'!F152</f>
        <v>174052</v>
      </c>
      <c r="D5617" s="2" t="str">
        <f t="shared" si="86"/>
        <v>Error?</v>
      </c>
    </row>
    <row r="5618" spans="1:4" x14ac:dyDescent="0.2">
      <c r="A5618" s="5">
        <v>5557</v>
      </c>
      <c r="B5618" s="138">
        <f>'Revenues 9-14'!F154</f>
        <v>387933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387933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413933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546343</v>
      </c>
      <c r="C5720" s="2" t="s">
        <v>594</v>
      </c>
      <c r="D5720" s="2" t="str">
        <f t="shared" si="88"/>
        <v>Error?</v>
      </c>
    </row>
    <row r="5721" spans="1:4" x14ac:dyDescent="0.2">
      <c r="A5721" s="5">
        <v>5660</v>
      </c>
      <c r="B5721" s="138">
        <f>'Revenues 9-14'!G5</f>
        <v>170285</v>
      </c>
      <c r="D5721" s="2" t="str">
        <f t="shared" si="88"/>
        <v>Error?</v>
      </c>
    </row>
    <row r="5722" spans="1:4" x14ac:dyDescent="0.2">
      <c r="A5722" s="5">
        <v>5661</v>
      </c>
      <c r="B5722" s="138">
        <f>'Revenues 9-14'!G7</f>
        <v>0</v>
      </c>
      <c r="D5722" s="2" t="str">
        <f t="shared" si="88"/>
        <v>Error?</v>
      </c>
    </row>
    <row r="5723" spans="1:4" x14ac:dyDescent="0.2">
      <c r="A5723" s="5">
        <v>5662</v>
      </c>
      <c r="B5723" s="138">
        <f>'Revenues 9-14'!G8</f>
        <v>231897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402182</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10000</v>
      </c>
      <c r="C5730" s="2" t="s">
        <v>594</v>
      </c>
      <c r="D5730" s="2" t="str">
        <f t="shared" si="88"/>
        <v>Error?</v>
      </c>
    </row>
    <row r="5731" spans="1:4" x14ac:dyDescent="0.2">
      <c r="A5731" s="5">
        <v>5670</v>
      </c>
      <c r="B5731" s="138">
        <f>'Revenues 9-14'!G65</f>
        <v>8017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8017</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420199</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51539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51539</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5429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5429</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56968</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3570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3570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3570</v>
      </c>
      <c r="C6023" s="2" t="s">
        <v>594</v>
      </c>
      <c r="D6023" s="2" t="str">
        <f t="shared" si="93"/>
        <v>Error?</v>
      </c>
    </row>
    <row r="6024" spans="1:5" x14ac:dyDescent="0.2">
      <c r="A6024" s="5">
        <v>5963</v>
      </c>
      <c r="B6024" s="138">
        <f>'Revenues 9-14'!G109</f>
        <v>420199</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56968</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3570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69005</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43453</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967.72</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601422</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601422</v>
      </c>
      <c r="D6215" s="2" t="str">
        <f t="shared" si="96"/>
        <v>Error?</v>
      </c>
      <c r="E6215" s="2" t="s">
        <v>199</v>
      </c>
    </row>
    <row r="6216" spans="1:5" x14ac:dyDescent="0.2">
      <c r="A6216">
        <v>6155</v>
      </c>
      <c r="B6216" s="138">
        <f>'Assets-Liab 5-6'!J41</f>
        <v>601422</v>
      </c>
      <c r="D6216" s="2" t="str">
        <f t="shared" si="96"/>
        <v>Error?</v>
      </c>
      <c r="E6216" s="2" t="s">
        <v>199</v>
      </c>
    </row>
    <row r="6217" spans="1:5" x14ac:dyDescent="0.2">
      <c r="A6217">
        <v>6156</v>
      </c>
      <c r="B6217" s="138">
        <f>'Assets-Liab 5-6'!J4</f>
        <v>398037</v>
      </c>
      <c r="D6217" s="2" t="str">
        <f t="shared" si="96"/>
        <v>Error?</v>
      </c>
      <c r="E6217" s="2" t="s">
        <v>199</v>
      </c>
    </row>
    <row r="6218" spans="1:5" x14ac:dyDescent="0.2">
      <c r="A6218">
        <v>6157</v>
      </c>
      <c r="B6218" s="138">
        <f>'Assets-Liab 5-6'!J5</f>
        <v>203385</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268427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268427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268427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141898</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141898</v>
      </c>
      <c r="D6229" s="2" t="str">
        <f t="shared" si="96"/>
        <v>Error?</v>
      </c>
      <c r="E6229" s="2" t="s">
        <v>199</v>
      </c>
    </row>
    <row r="6230" spans="1:5" x14ac:dyDescent="0.2">
      <c r="A6230">
        <v>6169</v>
      </c>
      <c r="B6230" s="138">
        <f>'Acct Summary 7-8'!J20</f>
        <v>126529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126529</v>
      </c>
      <c r="D6263" s="2" t="str">
        <f t="shared" si="96"/>
        <v>Error?</v>
      </c>
      <c r="E6263" s="2" t="s">
        <v>199</v>
      </c>
    </row>
    <row r="6264" spans="1:5" x14ac:dyDescent="0.2">
      <c r="A6264">
        <v>6203</v>
      </c>
      <c r="B6264" s="138">
        <f>'Acct Summary 7-8'!J79</f>
        <v>474893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601422</v>
      </c>
      <c r="D6266" s="2" t="str">
        <f t="shared" si="96"/>
        <v>Error?</v>
      </c>
      <c r="E6266" s="2" t="s">
        <v>199</v>
      </c>
    </row>
    <row r="6267" spans="1:5" x14ac:dyDescent="0.2">
      <c r="A6267">
        <v>6206</v>
      </c>
      <c r="B6267" s="138">
        <f>'Acct Summary 7-8'!C82</f>
        <v>1540384</v>
      </c>
      <c r="D6267" s="2" t="str">
        <f t="shared" si="96"/>
        <v>Error?</v>
      </c>
      <c r="E6267" s="2" t="s">
        <v>199</v>
      </c>
    </row>
    <row r="6268" spans="1:5" x14ac:dyDescent="0.2">
      <c r="A6268">
        <v>6207</v>
      </c>
      <c r="B6268" s="138">
        <f>'Acct Summary 7-8'!D82</f>
        <v>130408</v>
      </c>
      <c r="D6268" s="2" t="str">
        <f t="shared" si="96"/>
        <v>Error?</v>
      </c>
      <c r="E6268" s="2" t="s">
        <v>199</v>
      </c>
    </row>
    <row r="6269" spans="1:5" x14ac:dyDescent="0.2">
      <c r="A6269">
        <v>6208</v>
      </c>
      <c r="B6269" s="138">
        <f>'Acct Summary 7-8'!E82</f>
        <v>334585</v>
      </c>
      <c r="D6269" s="2" t="str">
        <f t="shared" si="96"/>
        <v>Error?</v>
      </c>
      <c r="E6269" s="2" t="s">
        <v>199</v>
      </c>
    </row>
    <row r="6270" spans="1:5" x14ac:dyDescent="0.2">
      <c r="A6270">
        <v>6209</v>
      </c>
      <c r="B6270" s="138">
        <f>'Acct Summary 7-8'!F82</f>
        <v>60546</v>
      </c>
      <c r="D6270" s="2" t="str">
        <f t="shared" si="96"/>
        <v>Error?</v>
      </c>
      <c r="E6270" s="2" t="s">
        <v>199</v>
      </c>
    </row>
    <row r="6271" spans="1:5" x14ac:dyDescent="0.2">
      <c r="A6271">
        <v>6210</v>
      </c>
      <c r="B6271" s="138">
        <f>'Acct Summary 7-8'!G82</f>
        <v>131961</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56968</v>
      </c>
      <c r="D6273" s="2" t="str">
        <f t="shared" si="97"/>
        <v>Error?</v>
      </c>
      <c r="E6273" s="2" t="s">
        <v>199</v>
      </c>
    </row>
    <row r="6274" spans="1:5" x14ac:dyDescent="0.2">
      <c r="A6274">
        <v>6213</v>
      </c>
      <c r="B6274" s="138">
        <f>'Acct Summary 7-8'!J82</f>
        <v>126529</v>
      </c>
      <c r="D6274" s="2" t="str">
        <f t="shared" si="97"/>
        <v>Error?</v>
      </c>
      <c r="E6274" s="2" t="s">
        <v>199</v>
      </c>
    </row>
    <row r="6275" spans="1:5" x14ac:dyDescent="0.2">
      <c r="A6275">
        <v>6214</v>
      </c>
      <c r="B6275" s="138">
        <f>'Acct Summary 7-8'!K82</f>
        <v>3570</v>
      </c>
      <c r="D6275" s="2" t="str">
        <f t="shared" si="97"/>
        <v>Error?</v>
      </c>
      <c r="E6275" s="2" t="s">
        <v>199</v>
      </c>
    </row>
    <row r="6276" spans="1:5" x14ac:dyDescent="0.2">
      <c r="A6276">
        <v>6215</v>
      </c>
      <c r="B6276" s="138">
        <f>'Acct Summary 7-8'!C83</f>
        <v>0.21533131857693652</v>
      </c>
      <c r="D6276" s="2" t="str">
        <f t="shared" si="97"/>
        <v>Error?</v>
      </c>
      <c r="E6276" s="2" t="s">
        <v>199</v>
      </c>
    </row>
    <row r="6277" spans="1:5" x14ac:dyDescent="0.2">
      <c r="A6277">
        <v>6216</v>
      </c>
      <c r="B6277" s="138">
        <f>'Acct Summary 7-8'!D83</f>
        <v>0.2463852177938162</v>
      </c>
      <c r="D6277" s="2" t="str">
        <f t="shared" si="97"/>
        <v>Error?</v>
      </c>
      <c r="E6277" s="2" t="s">
        <v>199</v>
      </c>
    </row>
    <row r="6278" spans="1:5" x14ac:dyDescent="0.2">
      <c r="A6278">
        <v>6217</v>
      </c>
      <c r="B6278" s="138">
        <f>'Acct Summary 7-8'!E83</f>
        <v>0.47068497159022971</v>
      </c>
      <c r="D6278" s="2" t="str">
        <f t="shared" si="97"/>
        <v>Error?</v>
      </c>
      <c r="E6278" s="2" t="s">
        <v>199</v>
      </c>
    </row>
    <row r="6279" spans="1:5" x14ac:dyDescent="0.2">
      <c r="A6279">
        <v>6218</v>
      </c>
      <c r="B6279" s="138">
        <f>'Acct Summary 7-8'!F83</f>
        <v>0.82369906809060611</v>
      </c>
      <c r="D6279" s="2" t="str">
        <f t="shared" si="97"/>
        <v>Error?</v>
      </c>
      <c r="E6279" s="2" t="s">
        <v>199</v>
      </c>
    </row>
    <row r="6280" spans="1:5" x14ac:dyDescent="0.2">
      <c r="A6280">
        <v>6219</v>
      </c>
      <c r="B6280" s="138">
        <f>'Acct Summary 7-8'!G83</f>
        <v>0.15322885919911938</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7.0794348680310731E-2</v>
      </c>
      <c r="D6282" s="2" t="str">
        <f t="shared" si="97"/>
        <v>Error?</v>
      </c>
      <c r="E6282" s="2" t="s">
        <v>199</v>
      </c>
    </row>
    <row r="6283" spans="1:5" x14ac:dyDescent="0.2">
      <c r="A6283">
        <v>6222</v>
      </c>
      <c r="B6283" s="138">
        <f>'Acct Summary 7-8'!J83</f>
        <v>0.21038305881726974</v>
      </c>
      <c r="D6283" s="2" t="str">
        <f t="shared" si="97"/>
        <v>Error?</v>
      </c>
      <c r="E6283" s="2" t="s">
        <v>199</v>
      </c>
    </row>
    <row r="6284" spans="1:5" x14ac:dyDescent="0.2">
      <c r="A6284">
        <v>6223</v>
      </c>
      <c r="B6284" s="138">
        <f>'Acct Summary 7-8'!K83</f>
        <v>1.3200270661011872E-2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259808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259808</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4514</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4514</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527092</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4105</v>
      </c>
      <c r="D6350" s="2" t="str">
        <f t="shared" si="98"/>
        <v>Error?</v>
      </c>
      <c r="E6350" s="2" t="s">
        <v>199</v>
      </c>
    </row>
    <row r="6351" spans="1:5" x14ac:dyDescent="0.2">
      <c r="A6351">
        <v>6290</v>
      </c>
      <c r="B6351" s="138">
        <f>'Revenues 9-14'!J108</f>
        <v>4105</v>
      </c>
      <c r="D6351" s="2" t="str">
        <f t="shared" si="98"/>
        <v>Error?</v>
      </c>
      <c r="E6351" s="2" t="s">
        <v>199</v>
      </c>
    </row>
    <row r="6352" spans="1:5" x14ac:dyDescent="0.2">
      <c r="A6352">
        <v>6291</v>
      </c>
      <c r="B6352" s="138">
        <f>'Revenues 9-14'!J109</f>
        <v>268427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120337</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485003</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485003</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150152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458243</v>
      </c>
      <c r="D6983" s="2" t="str">
        <f t="shared" si="108"/>
        <v>Error?</v>
      </c>
    </row>
    <row r="6984" spans="1:4" x14ac:dyDescent="0.2">
      <c r="A6984">
        <v>6923</v>
      </c>
      <c r="B6984" s="138">
        <f>'Expenditures 15-22'!K86</f>
        <v>458243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458243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141898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268427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8615</v>
      </c>
      <c r="D7073" s="2" t="str">
        <f t="shared" si="109"/>
        <v>Error?</v>
      </c>
    </row>
    <row r="7074" spans="1:4" x14ac:dyDescent="0.2">
      <c r="A7074">
        <v>7013</v>
      </c>
      <c r="B7074" s="138">
        <f>'Expenditures 15-22'!K216</f>
        <v>8615</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1266</v>
      </c>
      <c r="D7093" s="2" t="str">
        <f t="shared" si="109"/>
        <v>Error?</v>
      </c>
    </row>
    <row r="7094" spans="1:4" x14ac:dyDescent="0.2">
      <c r="A7094">
        <v>7033</v>
      </c>
      <c r="B7094" s="138">
        <f>'Expenditures 15-22'!K254</f>
        <v>1266</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105075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105075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8791</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8791</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21902</v>
      </c>
      <c r="D7172" s="2" t="str">
        <f t="shared" si="111"/>
        <v>Error?</v>
      </c>
    </row>
    <row r="7173" spans="1:4" x14ac:dyDescent="0.2">
      <c r="A7173">
        <v>7112</v>
      </c>
      <c r="B7173" s="138">
        <f>'Expenditures 15-22'!D325</f>
        <v>5630</v>
      </c>
      <c r="D7173" s="2" t="str">
        <f t="shared" si="111"/>
        <v>Error?</v>
      </c>
    </row>
    <row r="7174" spans="1:4" x14ac:dyDescent="0.2">
      <c r="A7174">
        <v>7113</v>
      </c>
      <c r="B7174" s="138">
        <f>'Expenditures 15-22'!E325</f>
        <v>500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28032</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21902</v>
      </c>
      <c r="D7199" s="2" t="str">
        <f t="shared" si="111"/>
        <v>Error?</v>
      </c>
    </row>
    <row r="7200" spans="1:4" x14ac:dyDescent="0.2">
      <c r="A7200">
        <v>7139</v>
      </c>
      <c r="B7200" s="138">
        <f>'Expenditures 15-22'!D330</f>
        <v>5630</v>
      </c>
      <c r="D7200" s="2" t="str">
        <f t="shared" si="111"/>
        <v>Error?</v>
      </c>
    </row>
    <row r="7201" spans="1:4" x14ac:dyDescent="0.2">
      <c r="A7201">
        <v>7140</v>
      </c>
      <c r="B7201" s="138">
        <f>'Expenditures 15-22'!E330</f>
        <v>114366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141898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21902</v>
      </c>
      <c r="D7216" s="2" t="str">
        <f t="shared" si="111"/>
        <v>Error?</v>
      </c>
    </row>
    <row r="7217" spans="1:4" x14ac:dyDescent="0.2">
      <c r="A7217">
        <v>7156</v>
      </c>
      <c r="B7217" s="138">
        <f>'Expenditures 15-22'!D342</f>
        <v>5630</v>
      </c>
      <c r="D7217" s="2" t="str">
        <f t="shared" si="111"/>
        <v>Error?</v>
      </c>
    </row>
    <row r="7218" spans="1:4" x14ac:dyDescent="0.2">
      <c r="A7218">
        <v>7157</v>
      </c>
      <c r="B7218" s="138">
        <f>'Expenditures 15-22'!E342</f>
        <v>114366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141898</v>
      </c>
      <c r="D7224" s="2" t="str">
        <f t="shared" si="111"/>
        <v>Error?</v>
      </c>
    </row>
    <row r="7225" spans="1:4" x14ac:dyDescent="0.2">
      <c r="A7225">
        <v>7164</v>
      </c>
      <c r="B7225" s="138">
        <f>'Expenditures 15-22'!K343</f>
        <v>126529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23389</v>
      </c>
      <c r="D7246" s="2" t="str">
        <f t="shared" si="112"/>
        <v>Error?</v>
      </c>
    </row>
    <row r="7247" spans="1:4" x14ac:dyDescent="0.2">
      <c r="A7247">
        <f t="shared" si="113"/>
        <v>7186</v>
      </c>
      <c r="B7247" s="138">
        <f>'Expenditures 15-22'!E7</f>
        <v>463</v>
      </c>
      <c r="D7247" s="2" t="str">
        <f t="shared" si="112"/>
        <v>Error?</v>
      </c>
    </row>
    <row r="7248" spans="1:4" x14ac:dyDescent="0.2">
      <c r="A7248">
        <f t="shared" si="113"/>
        <v>7187</v>
      </c>
      <c r="B7248" s="138">
        <f>'Expenditures 15-22'!F7</f>
        <v>6</v>
      </c>
      <c r="D7248" s="2" t="str">
        <f t="shared" si="112"/>
        <v>Error?</v>
      </c>
    </row>
    <row r="7249" spans="1:4" x14ac:dyDescent="0.2">
      <c r="A7249">
        <f t="shared" si="113"/>
        <v>7188</v>
      </c>
      <c r="B7249" s="138">
        <f>'Expenditures 15-22'!G7</f>
        <v>5957</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778885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485003</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1</v>
      </c>
      <c r="D7797" s="2" t="str">
        <f t="shared" si="127"/>
        <v>Error?</v>
      </c>
      <c r="E7797" s="4" t="s">
        <v>2017</v>
      </c>
    </row>
    <row r="7798" spans="1:5" x14ac:dyDescent="0.2">
      <c r="A7798">
        <v>7737</v>
      </c>
      <c r="B7798" s="138">
        <f>'Contracts Paid in CY 29'!F141</f>
        <v>0</v>
      </c>
      <c r="D7798" s="2" t="str">
        <f t="shared" si="127"/>
        <v>Error?</v>
      </c>
      <c r="E7798" s="4" t="s">
        <v>2017</v>
      </c>
    </row>
    <row r="7799" spans="1:5" x14ac:dyDescent="0.2">
      <c r="A7799">
        <v>7738</v>
      </c>
      <c r="B7799" s="138">
        <f>'Contracts Paid in CY 29'!G141</f>
        <v>0</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0"/>
  <sheetViews>
    <sheetView showGridLines="0" showZeros="0" topLeftCell="A28" zoomScale="110" zoomScaleNormal="110" workbookViewId="0">
      <selection activeCell="A3" sqref="A3:L3"/>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2" t="s">
        <v>1253</v>
      </c>
      <c r="B2" s="2422"/>
      <c r="C2" s="2422"/>
      <c r="D2" s="2422"/>
      <c r="E2" s="2422"/>
      <c r="F2" s="2422"/>
      <c r="G2" s="2422"/>
      <c r="H2" s="2422"/>
      <c r="I2" s="2422"/>
      <c r="J2" s="2422"/>
      <c r="K2" s="2422"/>
      <c r="L2" s="2422"/>
    </row>
    <row r="3" spans="1:29" ht="13.5" customHeight="1" x14ac:dyDescent="0.2">
      <c r="A3" s="2408" t="s">
        <v>1252</v>
      </c>
      <c r="B3" s="2408"/>
      <c r="C3" s="2408"/>
      <c r="D3" s="2408"/>
      <c r="E3" s="2408"/>
      <c r="F3" s="2408"/>
      <c r="G3" s="2408"/>
      <c r="H3" s="2408"/>
      <c r="I3" s="2408"/>
      <c r="J3" s="2408"/>
      <c r="K3" s="2408"/>
      <c r="L3" s="2408"/>
    </row>
    <row r="4" spans="1:29" ht="13.5" customHeight="1" x14ac:dyDescent="0.2">
      <c r="A4" s="2422" t="s">
        <v>1799</v>
      </c>
      <c r="B4" s="2439"/>
      <c r="C4" s="2439"/>
      <c r="D4" s="2439"/>
      <c r="E4" s="2439"/>
      <c r="F4" s="2439"/>
      <c r="G4" s="2439"/>
      <c r="H4" s="2439"/>
      <c r="I4" s="2439"/>
      <c r="J4" s="2439"/>
      <c r="K4" s="2439"/>
      <c r="L4" s="243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2" t="str">
        <f>COVER!A17</f>
        <v>Belle Valley SD 119</v>
      </c>
      <c r="B7" s="2403"/>
      <c r="C7" s="2403"/>
      <c r="D7" s="2440"/>
      <c r="E7" s="2441">
        <f>COVER!A13</f>
        <v>50082119002</v>
      </c>
      <c r="F7" s="2442"/>
      <c r="G7" s="2409" t="str">
        <f>COVER!T23</f>
        <v>066-005060</v>
      </c>
      <c r="H7" s="2410"/>
      <c r="I7" s="2410"/>
      <c r="J7" s="2410"/>
      <c r="K7" s="2410"/>
      <c r="L7" s="241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2"/>
      <c r="B9" s="2413"/>
      <c r="C9" s="2413"/>
      <c r="D9" s="2413"/>
      <c r="E9" s="2413"/>
      <c r="F9" s="2414"/>
      <c r="G9" s="2415" t="str">
        <f>COVER!T13</f>
        <v>DENNIS ROSE &amp; ASSOCIATES, P.C.</v>
      </c>
      <c r="H9" s="2416"/>
      <c r="I9" s="2416"/>
      <c r="J9" s="2416"/>
      <c r="K9" s="2416"/>
      <c r="L9" s="2417"/>
    </row>
    <row r="10" spans="1:29" ht="13.5" customHeight="1" x14ac:dyDescent="0.2">
      <c r="A10" s="2399">
        <f>COVER!A38</f>
        <v>0</v>
      </c>
      <c r="B10" s="2400"/>
      <c r="C10" s="2400"/>
      <c r="D10" s="2400"/>
      <c r="E10" s="2400"/>
      <c r="F10" s="2401"/>
      <c r="G10" s="2415" t="str">
        <f>COVER!T17</f>
        <v xml:space="preserve">1904 STATE STREET </v>
      </c>
      <c r="H10" s="2428"/>
      <c r="I10" s="2428"/>
      <c r="J10" s="2428"/>
      <c r="K10" s="2428"/>
      <c r="L10" s="2429"/>
    </row>
    <row r="11" spans="1:29" ht="13.5" customHeight="1" x14ac:dyDescent="0.2">
      <c r="A11" s="1185" t="s">
        <v>1599</v>
      </c>
      <c r="B11" s="1186"/>
      <c r="C11" s="1187"/>
      <c r="D11" s="1192"/>
      <c r="E11" s="1187"/>
      <c r="F11" s="1191"/>
      <c r="G11" s="2415" t="str">
        <f>COVER!T19</f>
        <v>ALTON</v>
      </c>
      <c r="H11" s="2428"/>
      <c r="I11" s="2428"/>
      <c r="J11" s="2428"/>
      <c r="K11" s="2428"/>
      <c r="L11" s="2429"/>
    </row>
    <row r="12" spans="1:29" ht="13.5" customHeight="1" x14ac:dyDescent="0.2">
      <c r="A12" s="2433" t="s">
        <v>1598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1600</v>
      </c>
      <c r="H13" s="2424"/>
      <c r="I13" s="2436" t="str">
        <f>COVER!T25</f>
        <v>DROSECPA@DRA-CPA.COM</v>
      </c>
      <c r="J13" s="2437"/>
      <c r="K13" s="2437"/>
      <c r="L13" s="2438"/>
    </row>
    <row r="14" spans="1:29" ht="13.5" customHeight="1" x14ac:dyDescent="0.2">
      <c r="A14" s="2415" t="str">
        <f>COVER!A19</f>
        <v>2465 AMANN DR.</v>
      </c>
      <c r="B14" s="2428"/>
      <c r="C14" s="2428"/>
      <c r="D14" s="2428"/>
      <c r="E14" s="2428"/>
      <c r="F14" s="2429"/>
      <c r="G14" s="1196" t="s">
        <v>1247</v>
      </c>
      <c r="H14" s="1194"/>
      <c r="I14" s="1194"/>
      <c r="J14" s="1194"/>
      <c r="K14" s="1194"/>
      <c r="L14" s="1195"/>
    </row>
    <row r="15" spans="1:29" ht="13.5" customHeight="1" x14ac:dyDescent="0.2">
      <c r="A15" s="2415" t="str">
        <f>COVER!A21</f>
        <v>BELLEVILLE</v>
      </c>
      <c r="B15" s="2428"/>
      <c r="C15" s="2428"/>
      <c r="D15" s="2428"/>
      <c r="E15" s="2428"/>
      <c r="F15" s="2429"/>
      <c r="G15" s="2425" t="str">
        <f>COVER!T15</f>
        <v>DENNIS ROSE</v>
      </c>
      <c r="H15" s="2426"/>
      <c r="I15" s="2426"/>
      <c r="J15" s="2426"/>
      <c r="K15" s="2426"/>
      <c r="L15" s="2427"/>
    </row>
    <row r="16" spans="1:29" ht="12.2" customHeight="1" x14ac:dyDescent="0.2">
      <c r="A16" s="2405">
        <f>COVER!A25</f>
        <v>62220</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6" t="s">
        <v>1246</v>
      </c>
      <c r="H17" s="1194"/>
      <c r="I17" s="1194"/>
      <c r="J17" s="1194"/>
      <c r="K17" s="1198" t="s">
        <v>1245</v>
      </c>
      <c r="L17" s="1191"/>
      <c r="M17" s="1184"/>
    </row>
    <row r="18" spans="1:13" ht="12.2" customHeight="1" x14ac:dyDescent="0.2">
      <c r="A18" s="2399"/>
      <c r="B18" s="2400"/>
      <c r="C18" s="2400"/>
      <c r="D18" s="2400"/>
      <c r="E18" s="2400"/>
      <c r="F18" s="2401"/>
      <c r="G18" s="2402" t="str">
        <f>COVER!T21</f>
        <v>618-465-4999</v>
      </c>
      <c r="H18" s="2403"/>
      <c r="I18" s="2403"/>
      <c r="J18" s="2403"/>
      <c r="K18" s="2402" t="str">
        <f>COVER!X21</f>
        <v>618-465-5050</v>
      </c>
      <c r="L18" s="240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rintOptions horizontalCentered="1"/>
  <pageMargins left="0.75" right="0.75" top="1" bottom="0.5" header="0.5" footer="0.5"/>
  <pageSetup scale="85" firstPageNumber="35" fitToHeight="0" orientation="portrait" r:id="rId1"/>
  <headerFooter>
    <oddHeader xml:space="preserve">&amp;C
</oddHeader>
    <oddFooter>&amp;C&amp;"Times New Roman,Regular"See Independent Auditor's Reports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
  <sheetViews>
    <sheetView showGridLines="0" zoomScale="125" zoomScaleNormal="125" workbookViewId="0">
      <selection activeCell="E31" sqref="E3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Belle Valley SD 119</v>
      </c>
      <c r="B1" s="2439"/>
      <c r="C1" s="2439"/>
      <c r="D1" s="2439"/>
    </row>
    <row r="2" spans="1:11" s="1215" customFormat="1" ht="12.75" x14ac:dyDescent="0.2">
      <c r="A2" s="2444">
        <f>'Single Audit Cover'!E7</f>
        <v>50082119002</v>
      </c>
      <c r="B2" s="2445"/>
      <c r="C2" s="2445"/>
      <c r="D2" s="2445"/>
    </row>
    <row r="3" spans="1:11" s="1215" customFormat="1" ht="12.75" x14ac:dyDescent="0.2">
      <c r="A3" s="2443" t="s">
        <v>1593</v>
      </c>
      <c r="B3" s="2439"/>
      <c r="C3" s="2439"/>
      <c r="D3" s="243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rintOptions horizontalCentered="1"/>
  <pageMargins left="0.75" right="0.75" top="1" bottom="0.5" header="0.5" footer="0.5"/>
  <pageSetup scale="64" firstPageNumber="36" fitToHeight="0" orientation="portrait" r:id="rId5"/>
  <headerFooter>
    <oddFooter>&amp;C&amp;"Times New Roman,Regular"See Independent Auditor's Reports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13" zoomScale="110" zoomScaleNormal="110" zoomScaleSheetLayoutView="100" workbookViewId="0">
      <selection activeCell="A24" sqref="A24:B24"/>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Belle Valley SD 119</v>
      </c>
      <c r="B1" s="2447"/>
      <c r="C1" s="2447"/>
      <c r="D1" s="2447"/>
      <c r="E1" s="2447"/>
    </row>
    <row r="2" spans="1:5" x14ac:dyDescent="0.2">
      <c r="A2" s="2448">
        <f>'Single Audit Cover'!E7</f>
        <v>50082119002</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1645060</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43453</v>
      </c>
    </row>
    <row r="15" spans="1:5" x14ac:dyDescent="0.2">
      <c r="A15" s="1261"/>
      <c r="B15" s="1262"/>
      <c r="C15" s="1262"/>
    </row>
    <row r="16" spans="1:5" x14ac:dyDescent="0.2">
      <c r="A16" s="1261" t="s">
        <v>1953</v>
      </c>
      <c r="B16" s="1262"/>
      <c r="C16" s="1262"/>
    </row>
    <row r="17" spans="1:4" x14ac:dyDescent="0.2">
      <c r="A17" s="1261" t="s">
        <v>1601</v>
      </c>
      <c r="B17" s="1262" t="s">
        <v>1298</v>
      </c>
      <c r="C17" s="1262"/>
      <c r="D17" s="1264">
        <f>-SUM('Revenues 9-14'!C271:D271,'Revenues 9-14'!F271:G271)</f>
        <v>-75748</v>
      </c>
    </row>
    <row r="19" spans="1:4" ht="13.5" thickBot="1" x14ac:dyDescent="0.25">
      <c r="A19" s="1265" t="s">
        <v>1297</v>
      </c>
      <c r="D19" s="1266">
        <f>SUM(D10:D17)</f>
        <v>1612765</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t="s">
        <v>2166</v>
      </c>
      <c r="B24" s="2449"/>
      <c r="D24" s="1268">
        <v>-485003</v>
      </c>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1127762</v>
      </c>
    </row>
    <row r="33" spans="1:4" x14ac:dyDescent="0.2">
      <c r="D33" s="1269"/>
    </row>
    <row r="34" spans="1:4" x14ac:dyDescent="0.2">
      <c r="A34" s="317" t="s">
        <v>1294</v>
      </c>
    </row>
    <row r="35" spans="1:4" x14ac:dyDescent="0.2">
      <c r="A35" s="317" t="s">
        <v>1293</v>
      </c>
      <c r="B35" s="1258" t="s">
        <v>1292</v>
      </c>
      <c r="D35" s="1270">
        <v>1084309</v>
      </c>
    </row>
    <row r="37" spans="1:4" x14ac:dyDescent="0.2">
      <c r="A37" s="1260" t="s">
        <v>1291</v>
      </c>
    </row>
    <row r="39" spans="1:4" ht="13.35" customHeight="1" x14ac:dyDescent="0.2">
      <c r="A39" s="1267" t="s">
        <v>1290</v>
      </c>
    </row>
    <row r="40" spans="1:4" x14ac:dyDescent="0.2">
      <c r="A40" s="2446" t="s">
        <v>2101</v>
      </c>
      <c r="B40" s="2446"/>
      <c r="D40" s="1268">
        <v>43453</v>
      </c>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1127762</v>
      </c>
    </row>
    <row r="49" spans="2:4" x14ac:dyDescent="0.2">
      <c r="B49" s="1272" t="s">
        <v>1288</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rintOptions horizontalCentered="1"/>
  <pageMargins left="0.75" right="0.75" top="1" bottom="0.5" header="0.5" footer="0.5"/>
  <pageSetup scale="95" firstPageNumber="72" orientation="portrait" useFirstPageNumber="1" r:id="rId1"/>
  <headerFooter>
    <oddHeader xml:space="preserve">&amp;C
</oddHeader>
    <oddFooter>&amp;C&amp;"Times New Roman,Regular"See Independent Auditor's Reports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showGridLines="0" topLeftCell="A10" zoomScale="120" zoomScaleNormal="120" workbookViewId="0">
      <selection activeCell="B17" sqref="B17"/>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Belle Valley SD 119</v>
      </c>
      <c r="B1" s="2452"/>
      <c r="C1" s="2452"/>
      <c r="D1" s="2452"/>
      <c r="E1" s="2452"/>
      <c r="F1" s="2452"/>
    </row>
    <row r="2" spans="1:7" ht="13.5" customHeight="1" x14ac:dyDescent="0.2">
      <c r="A2" s="2453">
        <f>'Single Audit Cover'!E7</f>
        <v>50082119002</v>
      </c>
      <c r="B2" s="2453"/>
      <c r="C2" s="2453"/>
      <c r="D2" s="2453"/>
      <c r="E2" s="2453"/>
      <c r="F2" s="2453"/>
      <c r="G2" s="1275"/>
    </row>
    <row r="3" spans="1:7" ht="15.75" customHeight="1" x14ac:dyDescent="0.2">
      <c r="A3" s="2454" t="s">
        <v>1333</v>
      </c>
      <c r="B3" s="2454"/>
      <c r="C3" s="2454"/>
      <c r="D3" s="2454"/>
      <c r="E3" s="2454"/>
      <c r="F3" s="2454"/>
    </row>
    <row r="4" spans="1:7" ht="13.5" customHeight="1" x14ac:dyDescent="0.2">
      <c r="A4" s="2455" t="str">
        <f>'Single Audit Cover'!A4</f>
        <v>Year Ending June 30, 2018</v>
      </c>
      <c r="B4" s="2455"/>
      <c r="C4" s="2455"/>
      <c r="D4" s="2455"/>
      <c r="E4" s="2455"/>
      <c r="F4" s="2455"/>
    </row>
    <row r="5" spans="1:7" ht="8.25" customHeight="1" x14ac:dyDescent="0.2">
      <c r="C5" s="317"/>
      <c r="D5" s="317"/>
    </row>
    <row r="6" spans="1:7" ht="13.5" customHeight="1" x14ac:dyDescent="0.2">
      <c r="A6" s="1276" t="s">
        <v>1831</v>
      </c>
      <c r="C6" s="317"/>
      <c r="D6" s="317"/>
    </row>
    <row r="7" spans="1:7" ht="60.95" customHeight="1" x14ac:dyDescent="0.2">
      <c r="A7" s="2451" t="s">
        <v>2102</v>
      </c>
      <c r="B7" s="2451"/>
      <c r="C7" s="2451"/>
      <c r="D7" s="2451"/>
      <c r="E7" s="2451"/>
      <c r="F7" s="2451"/>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2074</v>
      </c>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1" t="s">
        <v>2103</v>
      </c>
      <c r="B13" s="2451"/>
      <c r="C13" s="2451"/>
      <c r="D13" s="2451"/>
      <c r="E13" s="2451"/>
      <c r="F13" s="2451"/>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t="s">
        <v>2092</v>
      </c>
      <c r="C17" s="1285"/>
      <c r="D17" s="2456"/>
      <c r="E17" s="2456"/>
      <c r="F17" s="2456"/>
    </row>
    <row r="18" spans="1:6" ht="20.65" customHeight="1" x14ac:dyDescent="0.2">
      <c r="A18" s="1283"/>
      <c r="B18" s="1284"/>
      <c r="C18" s="1285"/>
      <c r="D18" s="2456"/>
      <c r="E18" s="2456"/>
      <c r="F18" s="2456"/>
    </row>
    <row r="19" spans="1:6" ht="20.65" customHeight="1" x14ac:dyDescent="0.2">
      <c r="A19" s="1283"/>
      <c r="B19" s="1284"/>
      <c r="C19" s="1285"/>
      <c r="D19" s="2456"/>
      <c r="E19" s="2456"/>
      <c r="F19" s="2456"/>
    </row>
    <row r="20" spans="1:6" ht="20.65" customHeight="1" x14ac:dyDescent="0.2">
      <c r="A20" s="1283"/>
      <c r="B20" s="1284"/>
      <c r="C20" s="1285"/>
      <c r="D20" s="2456"/>
      <c r="E20" s="2456"/>
      <c r="F20" s="2456"/>
    </row>
    <row r="21" spans="1:6" ht="20.65" customHeight="1" x14ac:dyDescent="0.2">
      <c r="A21" s="1283"/>
      <c r="B21" s="1284"/>
      <c r="C21" s="1285"/>
      <c r="D21" s="2456"/>
      <c r="E21" s="2456"/>
      <c r="F21" s="2456"/>
    </row>
    <row r="22" spans="1:6" ht="20.65" customHeight="1" x14ac:dyDescent="0.2">
      <c r="A22" s="1283"/>
      <c r="B22" s="1284"/>
      <c r="C22" s="1285"/>
      <c r="D22" s="2456"/>
      <c r="E22" s="2456"/>
      <c r="F22" s="2456"/>
    </row>
    <row r="23" spans="1:6" ht="20.65" customHeight="1" x14ac:dyDescent="0.2">
      <c r="A23" s="1283"/>
      <c r="B23" s="1284"/>
      <c r="C23" s="1285"/>
      <c r="D23" s="2456"/>
      <c r="E23" s="2456"/>
      <c r="F23" s="2456"/>
    </row>
    <row r="24" spans="1:6" ht="20.65" customHeight="1" x14ac:dyDescent="0.2">
      <c r="A24" s="1283"/>
      <c r="B24" s="1284"/>
      <c r="C24" s="1285"/>
      <c r="D24" s="2456"/>
      <c r="E24" s="2456"/>
      <c r="F24" s="2456"/>
    </row>
    <row r="25" spans="1:6" ht="20.65" customHeight="1" x14ac:dyDescent="0.2">
      <c r="A25" s="1283"/>
      <c r="B25" s="1284"/>
      <c r="C25" s="1285"/>
      <c r="D25" s="2456"/>
      <c r="E25" s="2456"/>
      <c r="F25" s="2456"/>
    </row>
    <row r="26" spans="1:6" ht="20.65" customHeight="1" x14ac:dyDescent="0.2">
      <c r="A26" s="1283"/>
      <c r="B26" s="1284"/>
      <c r="C26" s="1285"/>
      <c r="D26" s="2456"/>
      <c r="E26" s="2456"/>
      <c r="F26" s="2456"/>
    </row>
    <row r="27" spans="1:6" ht="20.65" customHeight="1" x14ac:dyDescent="0.2">
      <c r="A27" s="1283"/>
      <c r="B27" s="1284"/>
      <c r="C27" s="1285"/>
      <c r="D27" s="2456"/>
      <c r="E27" s="2456"/>
      <c r="F27" s="2456"/>
    </row>
    <row r="28" spans="1:6" ht="20.65" customHeight="1" x14ac:dyDescent="0.2">
      <c r="A28" s="1283"/>
      <c r="B28" s="1284"/>
      <c r="C28" s="1285"/>
      <c r="D28" s="2456"/>
      <c r="E28" s="2456"/>
      <c r="F28" s="2456"/>
    </row>
    <row r="29" spans="1:6" ht="20.65" customHeight="1" x14ac:dyDescent="0.2">
      <c r="A29" s="1283"/>
      <c r="B29" s="1284"/>
      <c r="C29" s="1285"/>
      <c r="D29" s="2456"/>
      <c r="E29" s="2456"/>
      <c r="F29" s="2456"/>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0" t="s">
        <v>2104</v>
      </c>
      <c r="B32" s="2460"/>
      <c r="C32" s="2460"/>
      <c r="D32" s="2460"/>
      <c r="E32" s="2460"/>
      <c r="F32" s="2460"/>
    </row>
    <row r="33" spans="1:6" ht="13.5" customHeight="1" x14ac:dyDescent="0.2">
      <c r="A33" s="328" t="s">
        <v>1509</v>
      </c>
      <c r="B33" s="328"/>
      <c r="C33" s="1288">
        <v>23116</v>
      </c>
      <c r="D33" s="1928"/>
      <c r="E33" s="1286"/>
    </row>
    <row r="34" spans="1:6" ht="13.5" customHeight="1" x14ac:dyDescent="0.2">
      <c r="A34" s="328" t="s">
        <v>1946</v>
      </c>
      <c r="B34" s="328"/>
      <c r="C34" s="1289">
        <v>20337</v>
      </c>
      <c r="D34" s="1928" t="s">
        <v>1671</v>
      </c>
      <c r="E34" s="2461">
        <f>+C33+C34</f>
        <v>43453</v>
      </c>
      <c r="F34" s="2462"/>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t="s">
        <v>101</v>
      </c>
      <c r="D38" s="1928"/>
      <c r="E38" s="1286"/>
    </row>
    <row r="39" spans="1:6" ht="14.25" customHeight="1" x14ac:dyDescent="0.2">
      <c r="A39" s="328"/>
      <c r="B39" s="328" t="s">
        <v>1511</v>
      </c>
      <c r="C39" s="1292" t="s">
        <v>101</v>
      </c>
      <c r="D39" s="1928"/>
      <c r="E39" s="1286"/>
    </row>
    <row r="40" spans="1:6" ht="14.25" customHeight="1" x14ac:dyDescent="0.2">
      <c r="A40" s="328"/>
      <c r="B40" s="328" t="s">
        <v>1512</v>
      </c>
      <c r="C40" s="1292" t="s">
        <v>101</v>
      </c>
      <c r="D40" s="1928"/>
      <c r="E40" s="1286"/>
    </row>
    <row r="41" spans="1:6" ht="14.25" customHeight="1" x14ac:dyDescent="0.2">
      <c r="A41" s="328"/>
      <c r="B41" s="328" t="s">
        <v>1513</v>
      </c>
      <c r="C41" s="1292" t="s">
        <v>101</v>
      </c>
      <c r="D41" s="1928"/>
      <c r="E41" s="1286"/>
    </row>
    <row r="42" spans="1:6" ht="14.25" customHeight="1" x14ac:dyDescent="0.2">
      <c r="A42" s="328" t="s">
        <v>1514</v>
      </c>
      <c r="B42" s="328"/>
      <c r="C42" s="1926" t="s">
        <v>101</v>
      </c>
      <c r="D42" s="1928"/>
      <c r="E42" s="1286"/>
    </row>
    <row r="43" spans="1:6" ht="14.25" customHeight="1" x14ac:dyDescent="0.2">
      <c r="A43" s="328" t="s">
        <v>1515</v>
      </c>
      <c r="B43" s="328"/>
      <c r="C43" s="1293" t="s">
        <v>101</v>
      </c>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3" t="s">
        <v>1672</v>
      </c>
      <c r="C49" s="2463"/>
      <c r="D49" s="2463"/>
      <c r="E49" s="1399"/>
    </row>
    <row r="50" spans="1:5" s="1300" customFormat="1" ht="3.75" customHeight="1" x14ac:dyDescent="0.2">
      <c r="A50" s="1299"/>
      <c r="B50" s="1870"/>
      <c r="C50" s="1870"/>
      <c r="D50" s="1870"/>
      <c r="E50" s="1399"/>
    </row>
    <row r="51" spans="1:5" s="1300" customFormat="1" ht="20.25" customHeight="1" x14ac:dyDescent="0.2">
      <c r="A51" s="1301">
        <v>6</v>
      </c>
      <c r="B51" s="2459" t="s">
        <v>1632</v>
      </c>
      <c r="C51" s="2459"/>
      <c r="D51" s="2459"/>
    </row>
    <row r="52" spans="1:5" ht="14.25" customHeight="1" x14ac:dyDescent="0.2">
      <c r="A52" s="1301"/>
      <c r="B52" s="2459"/>
      <c r="C52" s="2459"/>
      <c r="D52" s="245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rintOptions horizontalCentered="1"/>
  <pageMargins left="0.75" right="0.75" top="1" bottom="0.5" header="0.5" footer="0.5"/>
  <pageSetup scale="79" firstPageNumber="39" orientation="portrait" r:id="rId1"/>
  <headerFooter>
    <oddHeader xml:space="preserve">&amp;C
</oddHeader>
    <oddFooter>&amp;C&amp;"Times New Roman,Regular"See Independent Auditor's Reports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4" zoomScaleNormal="100" workbookViewId="0">
      <selection activeCell="I13" sqref="I13:I14"/>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Belle Valley SD 119</v>
      </c>
      <c r="C1" s="2464"/>
      <c r="D1" s="2464"/>
      <c r="E1" s="2464"/>
      <c r="F1" s="2464"/>
      <c r="G1" s="2464"/>
      <c r="H1" s="2464"/>
      <c r="I1" s="2464"/>
      <c r="J1" s="2464"/>
      <c r="K1" s="2464"/>
      <c r="L1" s="2464"/>
      <c r="M1" s="2464"/>
    </row>
    <row r="2" spans="2:14" ht="15" x14ac:dyDescent="0.2">
      <c r="B2" s="2453">
        <f>'Single Audit Cover'!E7</f>
        <v>50082119002</v>
      </c>
      <c r="C2" s="2453"/>
      <c r="D2" s="2453"/>
      <c r="E2" s="2453"/>
      <c r="F2" s="2453"/>
      <c r="G2" s="2453"/>
      <c r="H2" s="2453"/>
      <c r="I2" s="2453"/>
      <c r="J2" s="2453"/>
      <c r="K2" s="2453"/>
      <c r="L2" s="2453"/>
      <c r="M2" s="2453"/>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2107</v>
      </c>
      <c r="C11" s="1338"/>
      <c r="D11" s="1339"/>
      <c r="E11" s="1340"/>
      <c r="F11" s="1340"/>
      <c r="G11" s="1340"/>
      <c r="H11" s="1340"/>
      <c r="I11" s="1340"/>
      <c r="J11" s="1340"/>
      <c r="K11" s="1340"/>
      <c r="L11" s="1340"/>
      <c r="M11" s="1340"/>
    </row>
    <row r="12" spans="2:14" ht="20.100000000000001" customHeight="1" x14ac:dyDescent="0.2">
      <c r="B12" s="1337" t="s">
        <v>2108</v>
      </c>
      <c r="C12" s="1341"/>
      <c r="D12" s="1342"/>
      <c r="E12" s="1343"/>
      <c r="F12" s="1343"/>
      <c r="G12" s="1343"/>
      <c r="H12" s="1343"/>
      <c r="I12" s="1343"/>
      <c r="J12" s="1343"/>
      <c r="K12" s="1343"/>
      <c r="L12" s="1340"/>
      <c r="M12" s="1343"/>
    </row>
    <row r="13" spans="2:14" ht="20.100000000000001" customHeight="1" x14ac:dyDescent="0.2">
      <c r="B13" s="1337" t="s">
        <v>2152</v>
      </c>
      <c r="C13" s="1341" t="s">
        <v>2109</v>
      </c>
      <c r="D13" s="1342" t="s">
        <v>2110</v>
      </c>
      <c r="E13" s="1343">
        <v>182725</v>
      </c>
      <c r="F13" s="1343">
        <v>124960</v>
      </c>
      <c r="G13" s="1343">
        <v>292960</v>
      </c>
      <c r="H13" s="1343"/>
      <c r="I13" s="1343">
        <v>14725</v>
      </c>
      <c r="J13" s="1343"/>
      <c r="K13" s="1343"/>
      <c r="L13" s="1340">
        <f t="shared" ref="L13:L23" si="0">+G13+I13+K13</f>
        <v>307685</v>
      </c>
      <c r="M13" s="1343">
        <v>307685</v>
      </c>
    </row>
    <row r="14" spans="2:14" ht="20.100000000000001" customHeight="1" x14ac:dyDescent="0.2">
      <c r="B14" s="1337" t="s">
        <v>2152</v>
      </c>
      <c r="C14" s="1341" t="s">
        <v>2109</v>
      </c>
      <c r="D14" s="1342" t="s">
        <v>2111</v>
      </c>
      <c r="E14" s="1343"/>
      <c r="F14" s="1343">
        <v>151573</v>
      </c>
      <c r="G14" s="1343"/>
      <c r="H14" s="1343"/>
      <c r="I14" s="1343">
        <v>305903</v>
      </c>
      <c r="J14" s="1343"/>
      <c r="K14" s="1343">
        <v>11597</v>
      </c>
      <c r="L14" s="1340">
        <f t="shared" si="0"/>
        <v>317500</v>
      </c>
      <c r="M14" s="1343">
        <v>317500</v>
      </c>
    </row>
    <row r="15" spans="2:14" ht="20.100000000000001" customHeight="1" x14ac:dyDescent="0.2">
      <c r="B15" s="1337" t="s">
        <v>2112</v>
      </c>
      <c r="C15" s="1341" t="s">
        <v>2113</v>
      </c>
      <c r="D15" s="1342" t="s">
        <v>2114</v>
      </c>
      <c r="E15" s="1343">
        <v>25116</v>
      </c>
      <c r="F15" s="1343">
        <v>4898</v>
      </c>
      <c r="G15" s="1343">
        <v>30014</v>
      </c>
      <c r="H15" s="1343"/>
      <c r="I15" s="1343"/>
      <c r="J15" s="1343"/>
      <c r="K15" s="1343"/>
      <c r="L15" s="1340">
        <f t="shared" si="0"/>
        <v>30014</v>
      </c>
      <c r="M15" s="1343">
        <v>30197</v>
      </c>
    </row>
    <row r="16" spans="2:14" ht="20.100000000000001" customHeight="1" x14ac:dyDescent="0.2">
      <c r="B16" s="1337" t="s">
        <v>2112</v>
      </c>
      <c r="C16" s="1341" t="s">
        <v>2113</v>
      </c>
      <c r="D16" s="1342" t="s">
        <v>2115</v>
      </c>
      <c r="E16" s="1343"/>
      <c r="F16" s="1343">
        <v>37075</v>
      </c>
      <c r="G16" s="1343"/>
      <c r="H16" s="1343"/>
      <c r="I16" s="1343">
        <v>40858</v>
      </c>
      <c r="J16" s="1343"/>
      <c r="K16" s="1343">
        <v>1589</v>
      </c>
      <c r="L16" s="1340">
        <f t="shared" si="0"/>
        <v>42447</v>
      </c>
      <c r="M16" s="1343">
        <v>42447</v>
      </c>
    </row>
    <row r="17" spans="2:14" ht="20.100000000000001" customHeight="1" x14ac:dyDescent="0.2">
      <c r="B17" s="1337" t="s">
        <v>2116</v>
      </c>
      <c r="C17" s="1341" t="s">
        <v>2117</v>
      </c>
      <c r="D17" s="1342" t="s">
        <v>2118</v>
      </c>
      <c r="E17" s="1343"/>
      <c r="F17" s="1343">
        <v>7595</v>
      </c>
      <c r="G17" s="1343"/>
      <c r="H17" s="1343"/>
      <c r="I17" s="1343">
        <v>7595</v>
      </c>
      <c r="J17" s="1343"/>
      <c r="K17" s="1343"/>
      <c r="L17" s="1340">
        <f t="shared" si="0"/>
        <v>7595</v>
      </c>
      <c r="M17" s="1343">
        <v>0</v>
      </c>
    </row>
    <row r="18" spans="2:14" ht="20.100000000000001" customHeight="1" x14ac:dyDescent="0.2">
      <c r="B18" s="1337" t="s">
        <v>2156</v>
      </c>
      <c r="C18" s="1341"/>
      <c r="D18" s="1342"/>
      <c r="E18" s="1343">
        <f>SUM(E12:E17)</f>
        <v>207841</v>
      </c>
      <c r="F18" s="1343">
        <f>SUM(F12:F17)</f>
        <v>326101</v>
      </c>
      <c r="G18" s="1343">
        <f>SUM(G12:G17)</f>
        <v>322974</v>
      </c>
      <c r="H18" s="1343"/>
      <c r="I18" s="1343">
        <f>SUM(I12:I17)</f>
        <v>369081</v>
      </c>
      <c r="J18" s="1343"/>
      <c r="K18" s="1343">
        <f>SUM(K12:K17)</f>
        <v>13186</v>
      </c>
      <c r="L18" s="1340">
        <f>SUM(L12:L17)</f>
        <v>705241</v>
      </c>
      <c r="M18" s="1343"/>
    </row>
    <row r="19" spans="2:14" ht="20.100000000000001" customHeight="1" x14ac:dyDescent="0.2">
      <c r="B19" s="1337"/>
      <c r="C19" s="1341"/>
      <c r="D19" s="1342"/>
      <c r="E19" s="1343"/>
      <c r="F19" s="1343"/>
      <c r="G19" s="1343"/>
      <c r="H19" s="1343"/>
      <c r="I19" s="1343"/>
      <c r="J19" s="1343"/>
      <c r="K19" s="1343"/>
      <c r="L19" s="1340"/>
      <c r="M19" s="1343"/>
    </row>
    <row r="20" spans="2:14" ht="20.100000000000001" customHeight="1" x14ac:dyDescent="0.2">
      <c r="B20" s="1337" t="s">
        <v>2151</v>
      </c>
      <c r="C20" s="1341"/>
      <c r="D20" s="1342"/>
      <c r="E20" s="1343"/>
      <c r="F20" s="1343"/>
      <c r="G20" s="1343"/>
      <c r="H20" s="1343"/>
      <c r="I20" s="1343"/>
      <c r="J20" s="1343"/>
      <c r="K20" s="1343"/>
      <c r="L20" s="1340"/>
      <c r="M20" s="1343"/>
    </row>
    <row r="21" spans="2:14" ht="20.100000000000001" customHeight="1" x14ac:dyDescent="0.2">
      <c r="B21" s="1337" t="s">
        <v>2119</v>
      </c>
      <c r="C21" s="1341">
        <v>84.027000000000001</v>
      </c>
      <c r="D21" s="1342" t="s">
        <v>2120</v>
      </c>
      <c r="E21" s="1343">
        <v>201476</v>
      </c>
      <c r="F21" s="1343">
        <v>8442</v>
      </c>
      <c r="G21" s="1343">
        <v>208854</v>
      </c>
      <c r="H21" s="1343"/>
      <c r="I21" s="1343">
        <v>1064</v>
      </c>
      <c r="J21" s="1343"/>
      <c r="K21" s="1343"/>
      <c r="L21" s="1340">
        <f t="shared" si="0"/>
        <v>209918</v>
      </c>
      <c r="M21" s="1343">
        <v>209918</v>
      </c>
    </row>
    <row r="22" spans="2:14" ht="20.100000000000001" customHeight="1" x14ac:dyDescent="0.2">
      <c r="B22" s="1337" t="s">
        <v>2119</v>
      </c>
      <c r="C22" s="1341">
        <v>84.027000000000001</v>
      </c>
      <c r="D22" s="1342" t="s">
        <v>2121</v>
      </c>
      <c r="E22" s="1343"/>
      <c r="F22" s="1343">
        <v>212064</v>
      </c>
      <c r="G22" s="1343"/>
      <c r="H22" s="1343"/>
      <c r="I22" s="1343">
        <v>214245</v>
      </c>
      <c r="J22" s="1343"/>
      <c r="K22" s="1343"/>
      <c r="L22" s="1340">
        <f t="shared" si="0"/>
        <v>214245</v>
      </c>
      <c r="M22" s="1343">
        <v>218428</v>
      </c>
    </row>
    <row r="23" spans="2:14" ht="20.100000000000001" customHeight="1" x14ac:dyDescent="0.2">
      <c r="B23" s="1337" t="s">
        <v>2122</v>
      </c>
      <c r="C23" s="1341">
        <v>84.027000000000001</v>
      </c>
      <c r="D23" s="1342" t="s">
        <v>2123</v>
      </c>
      <c r="E23" s="1343"/>
      <c r="F23" s="1343">
        <v>1935</v>
      </c>
      <c r="G23" s="1343"/>
      <c r="H23" s="1343"/>
      <c r="I23" s="1343">
        <v>1935</v>
      </c>
      <c r="J23" s="1343"/>
      <c r="K23" s="1343"/>
      <c r="L23" s="1340">
        <f t="shared" si="0"/>
        <v>1935</v>
      </c>
      <c r="M23" s="1343">
        <v>1935</v>
      </c>
    </row>
    <row r="24" spans="2:14" ht="20.100000000000001" customHeight="1" x14ac:dyDescent="0.2">
      <c r="B24" s="1337" t="s">
        <v>2157</v>
      </c>
      <c r="C24" s="1341"/>
      <c r="D24" s="1342"/>
      <c r="E24" s="1343">
        <f>SUM(E20:E23)</f>
        <v>201476</v>
      </c>
      <c r="F24" s="1343">
        <f>SUM(F20:F23)</f>
        <v>222441</v>
      </c>
      <c r="G24" s="1343">
        <f>SUM(G20:G23)</f>
        <v>208854</v>
      </c>
      <c r="H24" s="1343"/>
      <c r="I24" s="1343">
        <f>SUM(I20:I23)</f>
        <v>217244</v>
      </c>
      <c r="J24" s="1343"/>
      <c r="K24" s="1343"/>
      <c r="L24" s="1340">
        <f>SUM(L20:L23)</f>
        <v>426098</v>
      </c>
      <c r="M24" s="1343"/>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1" bottom="0.5" header="0.5" footer="0.5"/>
  <pageSetup scale="70" firstPageNumber="38" orientation="landscape" r:id="rId1"/>
  <headerFooter>
    <oddFooter>&amp;C&amp;"Times New Roman,Regular"See Independent Auditor's Reports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2" colorId="8" zoomScale="110" zoomScaleNormal="110" workbookViewId="0">
      <selection activeCell="N87" sqref="N8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2076</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2019</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rintOptions horizontalCentered="1"/>
  <pageMargins left="0.75" right="0.75" top="0.75" bottom="0.5" header="0.5" footer="0.5"/>
  <pageSetup scale="48" firstPageNumber="2" orientation="portrait" r:id="rId1"/>
  <headerFooter>
    <oddHeader>&amp;C&amp;"Times New Roman,Regular"BELLE VALLEY SCHOOL DISTRICT NO. 119</oddHeader>
    <oddFooter>&amp;C&amp;"Times New Roman,Regular"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4" zoomScaleNormal="100" workbookViewId="0">
      <selection activeCell="I15" sqref="I15"/>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Belle Valley SD 119</v>
      </c>
      <c r="C1" s="2464"/>
      <c r="D1" s="2464"/>
      <c r="E1" s="2464"/>
      <c r="F1" s="2464"/>
      <c r="G1" s="2464"/>
      <c r="H1" s="2464"/>
      <c r="I1" s="2464"/>
      <c r="J1" s="2464"/>
      <c r="K1" s="2464"/>
      <c r="L1" s="2464"/>
      <c r="M1" s="2464"/>
    </row>
    <row r="2" spans="2:14" ht="15" x14ac:dyDescent="0.2">
      <c r="B2" s="2453">
        <f>'Single Audit Cover'!E7</f>
        <v>50082119002</v>
      </c>
      <c r="C2" s="2453"/>
      <c r="D2" s="2453"/>
      <c r="E2" s="2453"/>
      <c r="F2" s="2453"/>
      <c r="G2" s="2453"/>
      <c r="H2" s="2453"/>
      <c r="I2" s="2453"/>
      <c r="J2" s="2453"/>
      <c r="K2" s="2453"/>
      <c r="L2" s="2453"/>
      <c r="M2" s="2453"/>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2124</v>
      </c>
      <c r="C11" s="1338"/>
      <c r="D11" s="1339"/>
      <c r="E11" s="1340"/>
      <c r="F11" s="1340"/>
      <c r="G11" s="1340"/>
      <c r="H11" s="1340"/>
      <c r="I11" s="1340"/>
      <c r="J11" s="1340"/>
      <c r="K11" s="1340"/>
      <c r="L11" s="1340"/>
      <c r="M11" s="1340"/>
    </row>
    <row r="12" spans="2:14" ht="20.100000000000001" customHeight="1" x14ac:dyDescent="0.2">
      <c r="B12" s="1337" t="s">
        <v>2107</v>
      </c>
      <c r="C12" s="1341"/>
      <c r="D12" s="1342"/>
      <c r="E12" s="1343"/>
      <c r="F12" s="1343"/>
      <c r="G12" s="1343"/>
      <c r="H12" s="1343"/>
      <c r="I12" s="1343"/>
      <c r="J12" s="1343"/>
      <c r="K12" s="1343"/>
      <c r="L12" s="1340"/>
      <c r="M12" s="1343"/>
    </row>
    <row r="13" spans="2:14" ht="20.100000000000001" customHeight="1" x14ac:dyDescent="0.2">
      <c r="B13" s="1337" t="s">
        <v>2125</v>
      </c>
      <c r="C13" s="1341">
        <v>84.040999999999997</v>
      </c>
      <c r="D13" s="1342" t="s">
        <v>2126</v>
      </c>
      <c r="E13" s="1343">
        <v>30566</v>
      </c>
      <c r="F13" s="1343">
        <v>7388</v>
      </c>
      <c r="G13" s="1343">
        <v>30566</v>
      </c>
      <c r="H13" s="1343"/>
      <c r="I13" s="1343">
        <v>7388</v>
      </c>
      <c r="J13" s="1343"/>
      <c r="K13" s="1343"/>
      <c r="L13" s="1340">
        <f t="shared" ref="L13:L22" si="0">+G13+I13+K13</f>
        <v>37954</v>
      </c>
      <c r="M13" s="1343"/>
    </row>
    <row r="14" spans="2:14" ht="20.100000000000001" customHeight="1" x14ac:dyDescent="0.2">
      <c r="B14" s="1337" t="s">
        <v>2125</v>
      </c>
      <c r="C14" s="1341">
        <v>84.040999999999997</v>
      </c>
      <c r="D14" s="1342" t="s">
        <v>2127</v>
      </c>
      <c r="E14" s="1343"/>
      <c r="F14" s="1343">
        <v>30000</v>
      </c>
      <c r="G14" s="1343"/>
      <c r="H14" s="1343"/>
      <c r="I14" s="1343">
        <v>30000</v>
      </c>
      <c r="J14" s="1343"/>
      <c r="K14" s="1343"/>
      <c r="L14" s="1340">
        <f t="shared" si="0"/>
        <v>30000</v>
      </c>
      <c r="M14" s="1343"/>
    </row>
    <row r="15" spans="2:14" ht="20.100000000000001" customHeight="1" x14ac:dyDescent="0.2">
      <c r="B15" s="1337"/>
      <c r="C15" s="1341"/>
      <c r="D15" s="1342"/>
      <c r="E15" s="1343"/>
      <c r="F15" s="1343"/>
      <c r="G15" s="1343"/>
      <c r="H15" s="1343"/>
      <c r="I15" s="1343"/>
      <c r="J15" s="1343"/>
      <c r="K15" s="1343"/>
      <c r="L15" s="1340"/>
      <c r="M15" s="1343"/>
    </row>
    <row r="16" spans="2:14" ht="20.100000000000001" customHeight="1" x14ac:dyDescent="0.2">
      <c r="B16" s="1337" t="s">
        <v>2128</v>
      </c>
      <c r="C16" s="1341"/>
      <c r="D16" s="1342"/>
      <c r="E16" s="1343">
        <f>' SEFA'!E13+' SEFA'!E14+' SEFA'!E15+' SEFA'!E16+' SEFA'!E17+' SEFA'!E21+' SEFA'!E22+' SEFA'!E23+' SEFA (2)'!E13+' SEFA (2)'!E14</f>
        <v>439883</v>
      </c>
      <c r="F16" s="1343">
        <f>SUM(' SEFA'!F13+' SEFA'!F14+' SEFA'!F15+' SEFA'!F16+' SEFA'!F17+' SEFA'!F21+' SEFA'!F22+' SEFA'!F23+' SEFA (2)'!F13+' SEFA (2)'!F14)</f>
        <v>585930</v>
      </c>
      <c r="G16" s="1343">
        <f>SUM(' SEFA'!G13+' SEFA'!G14+' SEFA'!G15+' SEFA'!G16+' SEFA'!G17+' SEFA'!G21+' SEFA (2)'!G13+' SEFA (2)'!G14)</f>
        <v>562394</v>
      </c>
      <c r="H16" s="1343"/>
      <c r="I16" s="1343">
        <f>SUM(' SEFA'!I13+' SEFA'!I14+' SEFA'!I15+' SEFA'!I16+' SEFA'!I17+' SEFA'!I21+' SEFA'!I22+' SEFA'!I23+' SEFA (2)'!I13+' SEFA (2)'!I14)</f>
        <v>623713</v>
      </c>
      <c r="J16" s="1343"/>
      <c r="K16" s="1343">
        <f>SUM(' SEFA'!K13+' SEFA'!K14+' SEFA'!K15+' SEFA'!K16+' SEFA'!K17+' SEFA (2)'!K13)</f>
        <v>13186</v>
      </c>
      <c r="L16" s="1340">
        <f t="shared" si="0"/>
        <v>1199293</v>
      </c>
      <c r="M16" s="1343"/>
    </row>
    <row r="17" spans="2:14" ht="20.100000000000001" customHeight="1" x14ac:dyDescent="0.2">
      <c r="B17" s="1337"/>
      <c r="C17" s="1341"/>
      <c r="D17" s="1342"/>
      <c r="E17" s="1343"/>
      <c r="F17" s="1343"/>
      <c r="G17" s="1343"/>
      <c r="H17" s="1343"/>
      <c r="I17" s="1343"/>
      <c r="J17" s="1343"/>
      <c r="K17" s="1343"/>
      <c r="L17" s="1340"/>
      <c r="M17" s="1343"/>
    </row>
    <row r="18" spans="2:14" ht="20.100000000000001" customHeight="1" x14ac:dyDescent="0.2">
      <c r="B18" s="1337"/>
      <c r="C18" s="1341"/>
      <c r="D18" s="1342"/>
      <c r="E18" s="1343"/>
      <c r="F18" s="1343"/>
      <c r="G18" s="1343"/>
      <c r="H18" s="1343"/>
      <c r="I18" s="1343"/>
      <c r="J18" s="1343"/>
      <c r="K18" s="1343"/>
      <c r="L18" s="1340"/>
      <c r="M18" s="1343"/>
    </row>
    <row r="19" spans="2:14" ht="20.100000000000001" customHeight="1" x14ac:dyDescent="0.2">
      <c r="B19" s="1337"/>
      <c r="C19" s="1341"/>
      <c r="D19" s="1342"/>
      <c r="E19" s="1343"/>
      <c r="F19" s="1343"/>
      <c r="G19" s="1343"/>
      <c r="H19" s="1343"/>
      <c r="I19" s="1343"/>
      <c r="J19" s="1343"/>
      <c r="K19" s="1343"/>
      <c r="L19" s="1340"/>
      <c r="M19" s="1343"/>
    </row>
    <row r="20" spans="2:14" ht="20.100000000000001" customHeight="1" x14ac:dyDescent="0.2">
      <c r="B20" s="1337" t="s">
        <v>2129</v>
      </c>
      <c r="C20" s="1341"/>
      <c r="D20" s="1342"/>
      <c r="E20" s="1343"/>
      <c r="F20" s="1343"/>
      <c r="G20" s="1343"/>
      <c r="H20" s="1343"/>
      <c r="I20" s="1343"/>
      <c r="J20" s="1343"/>
      <c r="K20" s="1343"/>
      <c r="L20" s="1340"/>
      <c r="M20" s="1343"/>
    </row>
    <row r="21" spans="2:14" ht="20.100000000000001" customHeight="1" x14ac:dyDescent="0.2">
      <c r="B21" s="1337" t="s">
        <v>2130</v>
      </c>
      <c r="C21" s="1341"/>
      <c r="D21" s="1342"/>
      <c r="E21" s="1343"/>
      <c r="F21" s="1343"/>
      <c r="G21" s="1343"/>
      <c r="H21" s="1343"/>
      <c r="I21" s="1343"/>
      <c r="J21" s="1343"/>
      <c r="K21" s="1343"/>
      <c r="L21" s="1340"/>
      <c r="M21" s="1343"/>
    </row>
    <row r="22" spans="2:14" ht="20.100000000000001" customHeight="1" x14ac:dyDescent="0.2">
      <c r="B22" s="1337" t="s">
        <v>2131</v>
      </c>
      <c r="C22" s="1341">
        <v>93.778000000000006</v>
      </c>
      <c r="D22" s="1342">
        <v>2018</v>
      </c>
      <c r="E22" s="1343"/>
      <c r="F22" s="1343">
        <v>19707</v>
      </c>
      <c r="G22" s="1343"/>
      <c r="H22" s="1343"/>
      <c r="I22" s="1343">
        <v>19707</v>
      </c>
      <c r="J22" s="1343"/>
      <c r="K22" s="1343"/>
      <c r="L22" s="1340">
        <f t="shared" si="0"/>
        <v>19707</v>
      </c>
      <c r="M22" s="1343"/>
    </row>
    <row r="23" spans="2:14" ht="20.100000000000001" customHeight="1" x14ac:dyDescent="0.2">
      <c r="B23" s="1337"/>
      <c r="C23" s="1341"/>
      <c r="D23" s="1342"/>
      <c r="E23" s="1343"/>
      <c r="F23" s="1343"/>
      <c r="G23" s="1343"/>
      <c r="H23" s="1343"/>
      <c r="I23" s="1343"/>
      <c r="J23" s="1343"/>
      <c r="K23" s="1343"/>
      <c r="L23" s="1340"/>
      <c r="M23" s="1343"/>
    </row>
    <row r="24" spans="2:14" ht="20.100000000000001" customHeight="1" x14ac:dyDescent="0.2">
      <c r="B24" s="1337"/>
      <c r="C24" s="1341"/>
      <c r="D24" s="1342"/>
      <c r="E24" s="1343"/>
      <c r="F24" s="1343"/>
      <c r="G24" s="1343"/>
      <c r="H24" s="1343"/>
      <c r="I24" s="1343"/>
      <c r="J24" s="1343"/>
      <c r="K24" s="1343"/>
      <c r="L24" s="1340"/>
      <c r="M24" s="1343"/>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1" bottom="0.5" header="0.5" footer="0.5"/>
  <pageSetup scale="70" firstPageNumber="38" orientation="landscape" r:id="rId1"/>
  <headerFooter>
    <oddFooter>&amp;C&amp;"Times New Roman,Regular"See Independent Auditor's Reports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1" sqref="B11"/>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Belle Valley SD 119</v>
      </c>
      <c r="C1" s="2464"/>
      <c r="D1" s="2464"/>
      <c r="E1" s="2464"/>
      <c r="F1" s="2464"/>
      <c r="G1" s="2464"/>
      <c r="H1" s="2464"/>
      <c r="I1" s="2464"/>
      <c r="J1" s="2464"/>
      <c r="K1" s="2464"/>
      <c r="L1" s="2464"/>
      <c r="M1" s="2464"/>
    </row>
    <row r="2" spans="2:14" ht="15" x14ac:dyDescent="0.2">
      <c r="B2" s="2453">
        <f>'Single Audit Cover'!E7</f>
        <v>50082119002</v>
      </c>
      <c r="C2" s="2453"/>
      <c r="D2" s="2453"/>
      <c r="E2" s="2453"/>
      <c r="F2" s="2453"/>
      <c r="G2" s="2453"/>
      <c r="H2" s="2453"/>
      <c r="I2" s="2453"/>
      <c r="J2" s="2453"/>
      <c r="K2" s="2453"/>
      <c r="L2" s="2453"/>
      <c r="M2" s="2453"/>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2132</v>
      </c>
      <c r="C11" s="1338"/>
      <c r="D11" s="1339"/>
      <c r="E11" s="1340"/>
      <c r="F11" s="1340"/>
      <c r="G11" s="1340"/>
      <c r="H11" s="1340"/>
      <c r="I11" s="1340"/>
      <c r="J11" s="1340"/>
      <c r="K11" s="1340"/>
      <c r="L11" s="1340"/>
      <c r="M11" s="1340"/>
    </row>
    <row r="12" spans="2:14" ht="20.100000000000001" customHeight="1" x14ac:dyDescent="0.2">
      <c r="B12" s="1337" t="s">
        <v>2108</v>
      </c>
      <c r="C12" s="1341"/>
      <c r="D12" s="1342"/>
      <c r="E12" s="1343"/>
      <c r="F12" s="1343"/>
      <c r="G12" s="1343"/>
      <c r="H12" s="1343"/>
      <c r="I12" s="1343"/>
      <c r="J12" s="1343"/>
      <c r="K12" s="1343"/>
      <c r="L12" s="1340"/>
      <c r="M12" s="1343"/>
    </row>
    <row r="13" spans="2:14" ht="20.100000000000001" customHeight="1" x14ac:dyDescent="0.2">
      <c r="B13" s="1337" t="s">
        <v>2153</v>
      </c>
      <c r="C13" s="1341">
        <v>10.555</v>
      </c>
      <c r="D13" s="1342" t="s">
        <v>2133</v>
      </c>
      <c r="E13" s="1343">
        <v>248213</v>
      </c>
      <c r="F13" s="1343">
        <v>61398</v>
      </c>
      <c r="G13" s="1343">
        <v>248213</v>
      </c>
      <c r="H13" s="1343"/>
      <c r="I13" s="1343">
        <v>61398</v>
      </c>
      <c r="J13" s="1343"/>
      <c r="K13" s="1343"/>
      <c r="L13" s="1340">
        <f t="shared" ref="L13:L26" si="0">+G13+I13+K13</f>
        <v>309611</v>
      </c>
      <c r="M13" s="1343"/>
    </row>
    <row r="14" spans="2:14" ht="20.100000000000001" customHeight="1" x14ac:dyDescent="0.2">
      <c r="B14" s="1337" t="s">
        <v>2153</v>
      </c>
      <c r="C14" s="1341">
        <v>10.555</v>
      </c>
      <c r="D14" s="1342" t="s">
        <v>2134</v>
      </c>
      <c r="E14" s="1343"/>
      <c r="F14" s="1343">
        <v>274740</v>
      </c>
      <c r="G14" s="1343"/>
      <c r="H14" s="1343"/>
      <c r="I14" s="1343">
        <v>274740</v>
      </c>
      <c r="J14" s="1343"/>
      <c r="K14" s="1343"/>
      <c r="L14" s="1340">
        <f t="shared" si="0"/>
        <v>274740</v>
      </c>
      <c r="M14" s="1343"/>
    </row>
    <row r="15" spans="2:14" ht="20.100000000000001" customHeight="1" x14ac:dyDescent="0.2">
      <c r="B15" s="1337" t="s">
        <v>2154</v>
      </c>
      <c r="C15" s="1341">
        <v>10.553000000000001</v>
      </c>
      <c r="D15" s="1342" t="s">
        <v>2135</v>
      </c>
      <c r="E15" s="1343">
        <v>64126</v>
      </c>
      <c r="F15" s="1343">
        <v>16349</v>
      </c>
      <c r="G15" s="1343">
        <v>64126</v>
      </c>
      <c r="H15" s="1343"/>
      <c r="I15" s="1343">
        <v>16349</v>
      </c>
      <c r="J15" s="1343"/>
      <c r="K15" s="1343"/>
      <c r="L15" s="1340">
        <f t="shared" si="0"/>
        <v>80475</v>
      </c>
      <c r="M15" s="1343"/>
    </row>
    <row r="16" spans="2:14" ht="20.100000000000001" customHeight="1" x14ac:dyDescent="0.2">
      <c r="B16" s="1337" t="s">
        <v>2154</v>
      </c>
      <c r="C16" s="1341">
        <v>10.553000000000001</v>
      </c>
      <c r="D16" s="1342" t="s">
        <v>2136</v>
      </c>
      <c r="E16" s="1343"/>
      <c r="F16" s="1343">
        <v>82733</v>
      </c>
      <c r="G16" s="1343"/>
      <c r="H16" s="1343"/>
      <c r="I16" s="1343">
        <v>82733</v>
      </c>
      <c r="J16" s="1343"/>
      <c r="K16" s="1343"/>
      <c r="L16" s="1340">
        <f t="shared" si="0"/>
        <v>82733</v>
      </c>
      <c r="M16" s="1343"/>
    </row>
    <row r="17" spans="2:14" ht="20.100000000000001" customHeight="1" x14ac:dyDescent="0.2">
      <c r="B17" s="1337" t="s">
        <v>2155</v>
      </c>
      <c r="C17" s="1341">
        <v>10.555</v>
      </c>
      <c r="D17" s="1342" t="s">
        <v>2137</v>
      </c>
      <c r="E17" s="1343"/>
      <c r="F17" s="1343">
        <v>23115</v>
      </c>
      <c r="G17" s="1343"/>
      <c r="H17" s="1343"/>
      <c r="I17" s="1343">
        <v>23115</v>
      </c>
      <c r="J17" s="1343"/>
      <c r="K17" s="1343"/>
      <c r="L17" s="1340">
        <f t="shared" si="0"/>
        <v>23115</v>
      </c>
      <c r="M17" s="1343"/>
    </row>
    <row r="18" spans="2:14" ht="20.100000000000001" customHeight="1" x14ac:dyDescent="0.2">
      <c r="B18" s="1337"/>
      <c r="C18" s="1341"/>
      <c r="D18" s="1342"/>
      <c r="E18" s="1343"/>
      <c r="F18" s="1343"/>
      <c r="G18" s="1343"/>
      <c r="H18" s="1343"/>
      <c r="I18" s="1343"/>
      <c r="J18" s="1343"/>
      <c r="K18" s="1343"/>
      <c r="L18" s="1340"/>
      <c r="M18" s="1343"/>
    </row>
    <row r="19" spans="2:14" ht="20.100000000000001" customHeight="1" x14ac:dyDescent="0.2">
      <c r="B19" s="1337"/>
      <c r="C19" s="1341"/>
      <c r="D19" s="1342"/>
      <c r="E19" s="1343"/>
      <c r="F19" s="1343"/>
      <c r="G19" s="1343"/>
      <c r="H19" s="1343"/>
      <c r="I19" s="1343"/>
      <c r="J19" s="1343"/>
      <c r="K19" s="1343"/>
      <c r="L19" s="1340"/>
      <c r="M19" s="1343"/>
    </row>
    <row r="20" spans="2:14" ht="20.100000000000001" customHeight="1" x14ac:dyDescent="0.2">
      <c r="B20" s="1337" t="s">
        <v>2138</v>
      </c>
      <c r="C20" s="1341"/>
      <c r="D20" s="1342"/>
      <c r="E20" s="1343">
        <f>SUM(E12:E18)</f>
        <v>312339</v>
      </c>
      <c r="F20" s="1343">
        <f>SUM(F12:F18)</f>
        <v>458335</v>
      </c>
      <c r="G20" s="1343">
        <f>SUM(G12:G18)</f>
        <v>312339</v>
      </c>
      <c r="H20" s="1343"/>
      <c r="I20" s="1343">
        <f>SUM(I12:I18)</f>
        <v>458335</v>
      </c>
      <c r="J20" s="1343"/>
      <c r="K20" s="1343"/>
      <c r="L20" s="1340">
        <f t="shared" si="0"/>
        <v>770674</v>
      </c>
      <c r="M20" s="1343"/>
    </row>
    <row r="21" spans="2:14" ht="20.100000000000001" customHeight="1" x14ac:dyDescent="0.2">
      <c r="B21" s="1337"/>
      <c r="C21" s="1341"/>
      <c r="D21" s="1342"/>
      <c r="E21" s="1343"/>
      <c r="F21" s="1343"/>
      <c r="G21" s="1343"/>
      <c r="H21" s="1343"/>
      <c r="I21" s="1343"/>
      <c r="J21" s="1343"/>
      <c r="K21" s="1343"/>
      <c r="L21" s="1340"/>
      <c r="M21" s="1343"/>
    </row>
    <row r="22" spans="2:14" ht="20.100000000000001" customHeight="1" x14ac:dyDescent="0.2">
      <c r="B22" s="1337" t="s">
        <v>2139</v>
      </c>
      <c r="C22" s="1341"/>
      <c r="D22" s="1342"/>
      <c r="E22" s="1343"/>
      <c r="F22" s="1343"/>
      <c r="G22" s="1343"/>
      <c r="H22" s="1343"/>
      <c r="I22" s="1343"/>
      <c r="J22" s="1343"/>
      <c r="K22" s="1343"/>
      <c r="L22" s="1340"/>
      <c r="M22" s="1343"/>
    </row>
    <row r="23" spans="2:14" ht="20.100000000000001" customHeight="1" x14ac:dyDescent="0.2">
      <c r="B23" s="1337" t="s">
        <v>2155</v>
      </c>
      <c r="C23" s="1341">
        <v>10.555</v>
      </c>
      <c r="D23" s="1342" t="s">
        <v>2137</v>
      </c>
      <c r="E23" s="1343"/>
      <c r="F23" s="1343">
        <v>20337</v>
      </c>
      <c r="G23" s="1343"/>
      <c r="H23" s="1343"/>
      <c r="I23" s="1343">
        <v>20337</v>
      </c>
      <c r="J23" s="1343"/>
      <c r="K23" s="1343"/>
      <c r="L23" s="1340">
        <f t="shared" si="0"/>
        <v>20337</v>
      </c>
      <c r="M23" s="1343"/>
    </row>
    <row r="24" spans="2:14" ht="20.100000000000001" customHeight="1" x14ac:dyDescent="0.2">
      <c r="B24" s="1337"/>
      <c r="C24" s="1341"/>
      <c r="D24" s="1342"/>
      <c r="E24" s="1343"/>
      <c r="F24" s="1343"/>
      <c r="G24" s="1343"/>
      <c r="H24" s="1343"/>
      <c r="I24" s="1343"/>
      <c r="J24" s="1343"/>
      <c r="K24" s="1343"/>
      <c r="L24" s="1340"/>
      <c r="M24" s="1343"/>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t="s">
        <v>2140</v>
      </c>
      <c r="C26" s="1341"/>
      <c r="D26" s="1342"/>
      <c r="E26" s="1343">
        <f>' SEFA (2)'!E16+' SEFA (3)'!E20</f>
        <v>752222</v>
      </c>
      <c r="F26" s="1343">
        <f>' SEFA (2)'!F16+' SEFA (2)'!F22+' SEFA (3)'!F20+' SEFA (3)'!F23</f>
        <v>1084309</v>
      </c>
      <c r="G26" s="1343">
        <f>' SEFA (2)'!G16+' SEFA (3)'!G20</f>
        <v>874733</v>
      </c>
      <c r="H26" s="1343"/>
      <c r="I26" s="1343">
        <f>' SEFA (2)'!I16+' SEFA (2)'!I22+' SEFA (3)'!I20+' SEFA (3)'!I23</f>
        <v>1122092</v>
      </c>
      <c r="J26" s="1343"/>
      <c r="K26" s="1343">
        <f>' SEFA (2)'!K16</f>
        <v>13186</v>
      </c>
      <c r="L26" s="1340">
        <f t="shared" si="0"/>
        <v>2010011</v>
      </c>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1" bottom="0.5" header="0.5" footer="0.5"/>
  <pageSetup scale="70" firstPageNumber="38" orientation="landscape" r:id="rId1"/>
  <headerFooter>
    <oddFooter>&amp;C&amp;"Times New Roman,Regular"See Independent Auditor's Reports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O12" sqref="O12"/>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Belle Valley SD 119</v>
      </c>
      <c r="C1" s="2464"/>
      <c r="D1" s="2464"/>
      <c r="E1" s="2464"/>
      <c r="F1" s="2464"/>
      <c r="G1" s="2464"/>
      <c r="H1" s="2464"/>
      <c r="I1" s="2464"/>
      <c r="J1" s="2464"/>
      <c r="K1" s="2464"/>
      <c r="L1" s="2464"/>
      <c r="M1" s="2464"/>
    </row>
    <row r="2" spans="2:14" ht="15" x14ac:dyDescent="0.2">
      <c r="B2" s="2453">
        <f>'Single Audit Cover'!E7</f>
        <v>50082119002</v>
      </c>
      <c r="C2" s="2453"/>
      <c r="D2" s="2453"/>
      <c r="E2" s="2453"/>
      <c r="F2" s="2453"/>
      <c r="G2" s="2453"/>
      <c r="H2" s="2453"/>
      <c r="I2" s="2453"/>
      <c r="J2" s="2453"/>
      <c r="K2" s="2453"/>
      <c r="L2" s="2453"/>
      <c r="M2" s="2453"/>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2141</v>
      </c>
      <c r="C11" s="1338"/>
      <c r="D11" s="1339"/>
      <c r="E11" s="1340"/>
      <c r="F11" s="1340"/>
      <c r="G11" s="1340"/>
      <c r="H11" s="1340"/>
      <c r="I11" s="1340"/>
      <c r="J11" s="1340"/>
      <c r="K11" s="1340"/>
      <c r="L11" s="1340"/>
      <c r="M11" s="1340"/>
    </row>
    <row r="12" spans="2:14" ht="20.100000000000001" customHeight="1" x14ac:dyDescent="0.2">
      <c r="B12" s="1337" t="s">
        <v>2142</v>
      </c>
      <c r="C12" s="1341"/>
      <c r="D12" s="1342"/>
      <c r="E12" s="1343">
        <f>' SEFA'!E13+' SEFA'!E14</f>
        <v>182725</v>
      </c>
      <c r="F12" s="1343">
        <f>SUM(' SEFA'!F13+' SEFA'!F14)</f>
        <v>276533</v>
      </c>
      <c r="G12" s="1343">
        <f>' SEFA'!G13+' SEFA'!G14</f>
        <v>292960</v>
      </c>
      <c r="H12" s="1343"/>
      <c r="I12" s="1343">
        <f>' SEFA'!I13+' SEFA'!I14</f>
        <v>320628</v>
      </c>
      <c r="J12" s="1343"/>
      <c r="K12" s="1343">
        <f>' SEFA'!K13+' SEFA'!K14</f>
        <v>11597</v>
      </c>
      <c r="L12" s="1340">
        <f t="shared" ref="L12:L25" si="0">+G12+I12+K12</f>
        <v>625185</v>
      </c>
      <c r="M12" s="1343"/>
    </row>
    <row r="13" spans="2:14" ht="20.100000000000001" customHeight="1" x14ac:dyDescent="0.2">
      <c r="B13" s="1337" t="s">
        <v>2143</v>
      </c>
      <c r="C13" s="1341"/>
      <c r="D13" s="1342"/>
      <c r="E13" s="1343">
        <f>' SEFA'!E15+' SEFA'!E16</f>
        <v>25116</v>
      </c>
      <c r="F13" s="1343">
        <f>' SEFA'!F15+' SEFA'!F16</f>
        <v>41973</v>
      </c>
      <c r="G13" s="1343">
        <f>' SEFA'!G15+' SEFA'!G16</f>
        <v>30014</v>
      </c>
      <c r="H13" s="1343"/>
      <c r="I13" s="1343">
        <f>' SEFA'!I15+' SEFA'!I16</f>
        <v>40858</v>
      </c>
      <c r="J13" s="1343"/>
      <c r="K13" s="1343">
        <f>' SEFA'!K15+' SEFA'!K16</f>
        <v>1589</v>
      </c>
      <c r="L13" s="1340">
        <f t="shared" si="0"/>
        <v>72461</v>
      </c>
      <c r="M13" s="1343"/>
    </row>
    <row r="14" spans="2:14" ht="20.100000000000001" customHeight="1" x14ac:dyDescent="0.2">
      <c r="B14" s="1337" t="s">
        <v>2144</v>
      </c>
      <c r="C14" s="1341"/>
      <c r="D14" s="1342"/>
      <c r="E14" s="1343">
        <f>' SEFA'!E21+' SEFA'!E22+' SEFA'!E23</f>
        <v>201476</v>
      </c>
      <c r="F14" s="1343">
        <f>' SEFA'!F21+' SEFA'!F22+' SEFA'!F23</f>
        <v>222441</v>
      </c>
      <c r="G14" s="1343">
        <f>' SEFA'!G21+' SEFA'!G22+' SEFA'!G23</f>
        <v>208854</v>
      </c>
      <c r="H14" s="1343"/>
      <c r="I14" s="1343">
        <f>' SEFA'!I21+' SEFA'!I22+' SEFA'!I23</f>
        <v>217244</v>
      </c>
      <c r="J14" s="1343"/>
      <c r="K14" s="1343"/>
      <c r="L14" s="1340">
        <f t="shared" si="0"/>
        <v>426098</v>
      </c>
      <c r="M14" s="1343"/>
    </row>
    <row r="15" spans="2:14" ht="20.100000000000001" customHeight="1" x14ac:dyDescent="0.2">
      <c r="B15" s="1337" t="s">
        <v>2145</v>
      </c>
      <c r="C15" s="1341"/>
      <c r="D15" s="1342"/>
      <c r="E15" s="1343">
        <f>' SEFA (2)'!E13+' SEFA (2)'!E14</f>
        <v>30566</v>
      </c>
      <c r="F15" s="1343">
        <f>' SEFA (2)'!F13+' SEFA (2)'!F14</f>
        <v>37388</v>
      </c>
      <c r="G15" s="1343">
        <f>' SEFA (2)'!G13</f>
        <v>30566</v>
      </c>
      <c r="H15" s="1343"/>
      <c r="I15" s="1343">
        <f>' SEFA (2)'!I13+' SEFA (2)'!I14</f>
        <v>37388</v>
      </c>
      <c r="J15" s="1343"/>
      <c r="K15" s="1343"/>
      <c r="L15" s="1340">
        <f t="shared" si="0"/>
        <v>67954</v>
      </c>
      <c r="M15" s="1343"/>
    </row>
    <row r="16" spans="2:14" ht="20.100000000000001" customHeight="1" x14ac:dyDescent="0.2">
      <c r="B16" s="1337" t="s">
        <v>2146</v>
      </c>
      <c r="C16" s="1341"/>
      <c r="D16" s="1342"/>
      <c r="E16" s="1343">
        <f>' SEFA (3)'!E13+' SEFA (3)'!E23</f>
        <v>248213</v>
      </c>
      <c r="F16" s="1343">
        <f>' SEFA (3)'!F13+' SEFA (3)'!F14+' SEFA (3)'!F17+' SEFA (3)'!F23</f>
        <v>379590</v>
      </c>
      <c r="G16" s="1343">
        <f>' SEFA (3)'!G13+' SEFA (3)'!G23</f>
        <v>248213</v>
      </c>
      <c r="H16" s="1343"/>
      <c r="I16" s="1343">
        <f>' SEFA (3)'!I13+' SEFA (3)'!I14+' SEFA (3)'!I17+' SEFA (3)'!I23</f>
        <v>379590</v>
      </c>
      <c r="J16" s="1343"/>
      <c r="K16" s="1343"/>
      <c r="L16" s="1340">
        <f t="shared" si="0"/>
        <v>627803</v>
      </c>
      <c r="M16" s="1343"/>
    </row>
    <row r="17" spans="2:14" ht="20.100000000000001" customHeight="1" x14ac:dyDescent="0.2">
      <c r="B17" s="1337" t="s">
        <v>2147</v>
      </c>
      <c r="C17" s="1341"/>
      <c r="D17" s="1342"/>
      <c r="E17" s="1343">
        <f>' SEFA (3)'!E15</f>
        <v>64126</v>
      </c>
      <c r="F17" s="1343">
        <f>' SEFA (3)'!F15+' SEFA (3)'!F16</f>
        <v>99082</v>
      </c>
      <c r="G17" s="1343">
        <f>' SEFA (3)'!G15</f>
        <v>64126</v>
      </c>
      <c r="H17" s="1343"/>
      <c r="I17" s="1343">
        <f>' SEFA (3)'!I15+' SEFA (3)'!I16</f>
        <v>99082</v>
      </c>
      <c r="J17" s="1343"/>
      <c r="K17" s="1343"/>
      <c r="L17" s="1340">
        <f t="shared" si="0"/>
        <v>163208</v>
      </c>
      <c r="M17" s="1343"/>
    </row>
    <row r="18" spans="2:14" ht="20.100000000000001" customHeight="1" x14ac:dyDescent="0.2">
      <c r="B18" s="1337" t="s">
        <v>2148</v>
      </c>
      <c r="C18" s="1341"/>
      <c r="D18" s="1342"/>
      <c r="E18" s="1343"/>
      <c r="F18" s="1343">
        <f>' SEFA (2)'!F22</f>
        <v>19707</v>
      </c>
      <c r="G18" s="1343"/>
      <c r="H18" s="1343"/>
      <c r="I18" s="1343">
        <f>' SEFA (2)'!I22</f>
        <v>19707</v>
      </c>
      <c r="J18" s="1343"/>
      <c r="K18" s="1343"/>
      <c r="L18" s="1340">
        <f t="shared" si="0"/>
        <v>19707</v>
      </c>
      <c r="M18" s="1343"/>
    </row>
    <row r="19" spans="2:14" ht="20.100000000000001" customHeight="1" x14ac:dyDescent="0.2">
      <c r="B19" s="1337" t="s">
        <v>2149</v>
      </c>
      <c r="C19" s="1341"/>
      <c r="D19" s="1342"/>
      <c r="E19" s="1343"/>
      <c r="F19" s="1343">
        <f>' SEFA'!F17</f>
        <v>7595</v>
      </c>
      <c r="G19" s="1343"/>
      <c r="H19" s="1343"/>
      <c r="I19" s="1343">
        <f>' SEFA'!I17</f>
        <v>7595</v>
      </c>
      <c r="J19" s="1343"/>
      <c r="K19" s="1343"/>
      <c r="L19" s="1340">
        <f t="shared" si="0"/>
        <v>7595</v>
      </c>
      <c r="M19" s="1343"/>
    </row>
    <row r="20" spans="2:14" ht="20.100000000000001" customHeight="1" x14ac:dyDescent="0.2">
      <c r="B20" s="1337"/>
      <c r="C20" s="1341"/>
      <c r="D20" s="1342"/>
      <c r="E20" s="1343"/>
      <c r="F20" s="1343"/>
      <c r="G20" s="1343"/>
      <c r="H20" s="1343"/>
      <c r="I20" s="1343"/>
      <c r="J20" s="1343"/>
      <c r="K20" s="1343"/>
      <c r="L20" s="1340"/>
      <c r="M20" s="1343"/>
    </row>
    <row r="21" spans="2:14" ht="20.100000000000001" customHeight="1" x14ac:dyDescent="0.2">
      <c r="B21" s="1337"/>
      <c r="C21" s="1341"/>
      <c r="D21" s="1342"/>
      <c r="E21" s="1343"/>
      <c r="F21" s="1343"/>
      <c r="G21" s="1343"/>
      <c r="H21" s="1343"/>
      <c r="I21" s="1343"/>
      <c r="J21" s="1343"/>
      <c r="K21" s="1343"/>
      <c r="L21" s="1340"/>
      <c r="M21" s="1343"/>
    </row>
    <row r="22" spans="2:14" ht="20.100000000000001" customHeight="1" x14ac:dyDescent="0.2">
      <c r="B22" s="1337" t="s">
        <v>2150</v>
      </c>
      <c r="C22" s="1341"/>
      <c r="D22" s="1342"/>
      <c r="E22" s="1343">
        <f>SUM(E12:E19)</f>
        <v>752222</v>
      </c>
      <c r="F22" s="1343">
        <f>SUM(F12:F20)</f>
        <v>1084309</v>
      </c>
      <c r="G22" s="1343">
        <f>SUM(G12:G20)</f>
        <v>874733</v>
      </c>
      <c r="H22" s="1343"/>
      <c r="I22" s="1343">
        <f>SUM(I12:I20)</f>
        <v>1122092</v>
      </c>
      <c r="J22" s="1343"/>
      <c r="K22" s="1343">
        <f>SUM(K12:K20)</f>
        <v>13186</v>
      </c>
      <c r="L22" s="1340">
        <f t="shared" si="0"/>
        <v>2010011</v>
      </c>
      <c r="M22" s="1343"/>
    </row>
    <row r="23" spans="2:14" ht="20.100000000000001" customHeight="1" x14ac:dyDescent="0.2">
      <c r="B23" s="1337"/>
      <c r="C23" s="1341"/>
      <c r="D23" s="1342"/>
      <c r="E23" s="1343"/>
      <c r="F23" s="1343"/>
      <c r="G23" s="1343"/>
      <c r="H23" s="1343"/>
      <c r="I23" s="1343"/>
      <c r="J23" s="1343"/>
      <c r="K23" s="1343"/>
      <c r="L23" s="1340"/>
      <c r="M23" s="1343"/>
    </row>
    <row r="24" spans="2:14" ht="20.100000000000001" customHeight="1" x14ac:dyDescent="0.2">
      <c r="B24" s="1337" t="s">
        <v>2158</v>
      </c>
      <c r="C24" s="1341"/>
      <c r="D24" s="1342"/>
      <c r="E24" s="1343"/>
      <c r="F24" s="1343"/>
      <c r="G24" s="1343"/>
      <c r="H24" s="1343"/>
      <c r="I24" s="1343"/>
      <c r="J24" s="1343"/>
      <c r="K24" s="1343"/>
      <c r="L24" s="1340"/>
      <c r="M24" s="1343"/>
    </row>
    <row r="25" spans="2:14" ht="20.100000000000001" customHeight="1" x14ac:dyDescent="0.2">
      <c r="B25" s="1337" t="s">
        <v>2159</v>
      </c>
      <c r="C25" s="1341"/>
      <c r="D25" s="1342"/>
      <c r="E25" s="1343">
        <f>E16+E17</f>
        <v>312339</v>
      </c>
      <c r="F25" s="1343">
        <f>F16+F17</f>
        <v>478672</v>
      </c>
      <c r="G25" s="1343">
        <f>G16+G17</f>
        <v>312339</v>
      </c>
      <c r="H25" s="1343"/>
      <c r="I25" s="1343">
        <f>I16+I17</f>
        <v>478672</v>
      </c>
      <c r="J25" s="1343"/>
      <c r="K25" s="1343"/>
      <c r="L25" s="1340">
        <f t="shared" si="0"/>
        <v>791011</v>
      </c>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1" bottom="0.5" header="0.5" footer="0.5"/>
  <pageSetup scale="70" firstPageNumber="38" orientation="landscape" r:id="rId1"/>
  <headerFooter>
    <oddFooter>&amp;C&amp;"Times New Roman,Regular"See Independent Auditor's Reports
&amp;P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7" zoomScale="110" zoomScaleNormal="110" workbookViewId="0">
      <selection activeCell="D46" sqref="D46"/>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Belle Valley SD 119</v>
      </c>
      <c r="C1" s="2472"/>
      <c r="D1" s="2472"/>
      <c r="E1" s="2472"/>
      <c r="F1" s="2472"/>
      <c r="G1" s="2472"/>
      <c r="H1" s="2472"/>
      <c r="I1" s="2472"/>
      <c r="J1" s="1422"/>
    </row>
    <row r="2" spans="2:10" s="317" customFormat="1" ht="12.75" customHeight="1" x14ac:dyDescent="0.2">
      <c r="B2" s="2473">
        <f>'Single Audit Cover'!E7</f>
        <v>50082119002</v>
      </c>
      <c r="C2" s="2474"/>
      <c r="D2" s="2474"/>
      <c r="E2" s="2474"/>
      <c r="F2" s="2474"/>
      <c r="G2" s="2474"/>
      <c r="H2" s="2474"/>
      <c r="I2" s="2474"/>
      <c r="J2" s="1422"/>
    </row>
    <row r="3" spans="2:10" s="317" customFormat="1" ht="12.75" customHeight="1" x14ac:dyDescent="0.2">
      <c r="B3" s="2475" t="s">
        <v>1347</v>
      </c>
      <c r="C3" s="2476"/>
      <c r="D3" s="2476"/>
      <c r="E3" s="2476"/>
      <c r="F3" s="2476"/>
      <c r="G3" s="2476"/>
      <c r="H3" s="2476"/>
      <c r="I3" s="2476"/>
      <c r="J3" s="1423"/>
    </row>
    <row r="4" spans="2:10" s="317" customFormat="1" ht="12.75" customHeight="1" x14ac:dyDescent="0.2">
      <c r="B4" s="2475" t="str">
        <f>'Single Audit Cover'!A4</f>
        <v>Year Ending June 30, 2018</v>
      </c>
      <c r="C4" s="2476"/>
      <c r="D4" s="2476"/>
      <c r="E4" s="2476"/>
      <c r="F4" s="2476"/>
      <c r="G4" s="2476"/>
      <c r="H4" s="2476"/>
      <c r="I4" s="2476"/>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5" t="s">
        <v>1346</v>
      </c>
      <c r="C7" s="2476"/>
      <c r="D7" s="2476"/>
      <c r="E7" s="2476"/>
      <c r="F7" s="2476"/>
      <c r="G7" s="2476"/>
      <c r="H7" s="2476"/>
      <c r="I7" s="2476"/>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7" t="s">
        <v>2105</v>
      </c>
      <c r="D11" s="2477"/>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2074</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2074</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2074</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2074</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2074</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8" t="s">
        <v>2106</v>
      </c>
      <c r="E29" s="2478"/>
      <c r="F29" s="2478"/>
      <c r="G29" s="2478"/>
      <c r="H29" s="2478"/>
      <c r="I29" s="2478"/>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2074</v>
      </c>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479" t="s">
        <v>1851</v>
      </c>
      <c r="D37" s="2480"/>
      <c r="E37" s="2480"/>
      <c r="F37" s="2481"/>
      <c r="G37" s="2479" t="s">
        <v>1674</v>
      </c>
      <c r="H37" s="2480"/>
      <c r="I37" s="2481"/>
    </row>
    <row r="38" spans="2:9" ht="16.5" customHeight="1" x14ac:dyDescent="0.2">
      <c r="B38" s="1444" t="s">
        <v>2109</v>
      </c>
      <c r="C38" s="2467" t="s">
        <v>2162</v>
      </c>
      <c r="D38" s="2468"/>
      <c r="E38" s="2468"/>
      <c r="F38" s="2469"/>
      <c r="G38" s="2482">
        <v>320628</v>
      </c>
      <c r="H38" s="2483"/>
      <c r="I38" s="2484"/>
    </row>
    <row r="39" spans="2:9" ht="16.5" customHeight="1" x14ac:dyDescent="0.2">
      <c r="B39" s="1444" t="s">
        <v>2163</v>
      </c>
      <c r="C39" s="2467" t="s">
        <v>2164</v>
      </c>
      <c r="D39" s="2468"/>
      <c r="E39" s="2468"/>
      <c r="F39" s="2469"/>
      <c r="G39" s="2470">
        <v>478672</v>
      </c>
      <c r="H39" s="2470"/>
      <c r="I39" s="2470"/>
    </row>
    <row r="40" spans="2:9" ht="16.5" customHeight="1" x14ac:dyDescent="0.2">
      <c r="B40" s="1444"/>
      <c r="C40" s="2467"/>
      <c r="D40" s="2468"/>
      <c r="E40" s="2468"/>
      <c r="F40" s="2469"/>
      <c r="G40" s="2470"/>
      <c r="H40" s="2470"/>
      <c r="I40" s="2470"/>
    </row>
    <row r="41" spans="2:9" ht="16.5" customHeight="1" x14ac:dyDescent="0.2">
      <c r="B41" s="1444"/>
      <c r="C41" s="2467"/>
      <c r="D41" s="2468"/>
      <c r="E41" s="2468"/>
      <c r="F41" s="2469"/>
      <c r="G41" s="2470"/>
      <c r="H41" s="2470"/>
      <c r="I41" s="2470"/>
    </row>
    <row r="42" spans="2:9" ht="16.5" customHeight="1" x14ac:dyDescent="0.2">
      <c r="B42" s="1444"/>
      <c r="C42" s="2467"/>
      <c r="D42" s="2468"/>
      <c r="E42" s="2468"/>
      <c r="F42" s="2469"/>
      <c r="G42" s="2470"/>
      <c r="H42" s="2470"/>
      <c r="I42" s="2470"/>
    </row>
    <row r="43" spans="2:9" ht="16.5" customHeight="1" x14ac:dyDescent="0.2">
      <c r="B43" s="1444"/>
      <c r="C43" s="2485" t="s">
        <v>1675</v>
      </c>
      <c r="D43" s="2486"/>
      <c r="E43" s="2486"/>
      <c r="F43" s="2487"/>
      <c r="G43" s="2488">
        <f>SUM(G38:I42)</f>
        <v>799300</v>
      </c>
      <c r="H43" s="2488"/>
      <c r="I43" s="2488"/>
    </row>
    <row r="44" spans="2:9" ht="12.75" customHeight="1" x14ac:dyDescent="0.2"/>
    <row r="45" spans="2:9" ht="12.75" customHeight="1" x14ac:dyDescent="0.2">
      <c r="B45" s="1435" t="s">
        <v>1949</v>
      </c>
      <c r="D45" s="2489">
        <v>1122092</v>
      </c>
      <c r="E45" s="2490"/>
    </row>
    <row r="46" spans="2:9" ht="5.25" customHeight="1" x14ac:dyDescent="0.2">
      <c r="B46" s="1445"/>
      <c r="D46" s="1446"/>
      <c r="E46" s="1447"/>
    </row>
    <row r="47" spans="2:9" ht="12.75" customHeight="1" x14ac:dyDescent="0.2">
      <c r="B47" s="1300" t="s">
        <v>1676</v>
      </c>
      <c r="C47" s="1300"/>
      <c r="D47" s="1448">
        <f>+G43/D45</f>
        <v>0.71233018326483033</v>
      </c>
      <c r="E47" s="1449"/>
      <c r="F47" s="1450"/>
      <c r="I47" s="1451"/>
    </row>
    <row r="48" spans="2:9" ht="9.9499999999999993" customHeight="1" x14ac:dyDescent="0.2"/>
    <row r="49" spans="1:9" x14ac:dyDescent="0.2">
      <c r="B49" s="1368" t="s">
        <v>1335</v>
      </c>
      <c r="C49" s="1282"/>
      <c r="D49" s="1282"/>
      <c r="E49" s="2491">
        <v>750000</v>
      </c>
      <c r="F49" s="2491"/>
      <c r="G49" s="2491"/>
      <c r="H49" s="322"/>
    </row>
    <row r="51" spans="1:9" ht="13.5" customHeight="1" x14ac:dyDescent="0.2">
      <c r="B51" s="1368" t="s">
        <v>1334</v>
      </c>
      <c r="C51" s="1282"/>
      <c r="E51" s="1438"/>
      <c r="F51" s="1300" t="s">
        <v>940</v>
      </c>
      <c r="G51" s="1438" t="s">
        <v>2074</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pageMargins left="0.75" right="0.75" top="1" bottom="0.5" header="0.5" footer="0.5"/>
  <pageSetup scale="89" firstPageNumber="40" orientation="portrait" r:id="rId1"/>
  <headerFooter>
    <oddFooter>&amp;C&amp;"Times New Roman,Regular"See Independent Auditor's Reports
&amp;P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22" zoomScale="110" zoomScaleNormal="110" workbookViewId="0">
      <selection activeCell="P20" sqref="P2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Belle Valley SD 119</v>
      </c>
      <c r="C1" s="2471"/>
      <c r="D1" s="2471"/>
      <c r="E1" s="2471"/>
      <c r="F1" s="2471"/>
      <c r="G1" s="2471"/>
      <c r="H1" s="2471"/>
      <c r="I1" s="2471"/>
      <c r="J1" s="2471"/>
      <c r="K1" s="2471"/>
      <c r="L1" s="1374"/>
      <c r="M1" s="1374"/>
    </row>
    <row r="2" spans="1:13" ht="12" customHeight="1" x14ac:dyDescent="0.2">
      <c r="B2" s="2473">
        <f>'Single Audit Cover'!E7</f>
        <v>50082119002</v>
      </c>
      <c r="C2" s="2473"/>
      <c r="D2" s="2473"/>
      <c r="E2" s="2473"/>
      <c r="F2" s="2473"/>
      <c r="G2" s="2473"/>
      <c r="H2" s="2473"/>
      <c r="I2" s="2473"/>
      <c r="J2" s="2473"/>
      <c r="K2" s="2473"/>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1950</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t="s">
        <v>2092</v>
      </c>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75" right="0.75" top="1" bottom="0.5" header="0.5" footer="0.5"/>
  <pageSetup scale="89" firstPageNumber="41" orientation="portrait" r:id="rId1"/>
  <headerFooter>
    <oddFooter>&amp;C&amp;"Times New Roman,Regular"See Independent Auditor's Reports
&amp;P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B21" sqref="B20:K2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Belle Valley SD 119</v>
      </c>
      <c r="C1" s="2498"/>
      <c r="D1" s="2498"/>
      <c r="E1" s="2498"/>
      <c r="F1" s="2498"/>
      <c r="G1" s="2498"/>
      <c r="H1" s="2498"/>
      <c r="I1" s="2498"/>
      <c r="J1" s="2498"/>
      <c r="K1" s="2498"/>
      <c r="L1" s="1465"/>
    </row>
    <row r="2" spans="1:12" ht="12.75" customHeight="1" x14ac:dyDescent="0.2">
      <c r="B2" s="2499">
        <f>'Single Audit Cover'!E7</f>
        <v>50082119002</v>
      </c>
      <c r="C2" s="2499"/>
      <c r="D2" s="2499"/>
      <c r="E2" s="2499"/>
      <c r="F2" s="2499"/>
      <c r="G2" s="2499"/>
      <c r="H2" s="2499"/>
      <c r="I2" s="2499"/>
      <c r="J2" s="2499"/>
      <c r="K2" s="2499"/>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1950</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8"/>
      <c r="G12" s="2478"/>
      <c r="H12" s="2478"/>
      <c r="I12" s="2478"/>
      <c r="J12" s="2478"/>
      <c r="K12" s="247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1"/>
      <c r="E14" s="2501"/>
      <c r="F14" s="2501"/>
      <c r="H14" s="1475" t="s">
        <v>1370</v>
      </c>
      <c r="I14" s="2502"/>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2"/>
      <c r="E16" s="2502"/>
      <c r="F16" s="2502"/>
      <c r="G16" s="2502"/>
      <c r="H16" s="2502"/>
      <c r="I16" s="2502"/>
      <c r="J16" s="2502"/>
      <c r="K16" s="2502"/>
      <c r="L16" s="322"/>
    </row>
    <row r="17" spans="2:12" ht="13.5" customHeight="1" x14ac:dyDescent="0.2">
      <c r="B17" s="1387" t="s">
        <v>1368</v>
      </c>
      <c r="C17" s="1387"/>
      <c r="D17" s="2503"/>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t="s">
        <v>2092</v>
      </c>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pageMargins left="0.75" right="0.75" top="1" bottom="0.5" header="0.5" footer="0.5"/>
  <pageSetup scale="85" firstPageNumber="42" orientation="portrait" r:id="rId1"/>
  <headerFooter>
    <oddFooter>&amp;C&amp;"Times New Roman,Regular"See Independent Auditor's Reports
&amp;P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14" sqref="C1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1" t="str">
        <f>'Single Audit Cover'!A7</f>
        <v>Belle Valley SD 119</v>
      </c>
      <c r="C1" s="2471"/>
      <c r="D1" s="2471"/>
      <c r="E1" s="1491"/>
    </row>
    <row r="2" spans="2:5" s="1282" customFormat="1" ht="12.75" customHeight="1" x14ac:dyDescent="0.2">
      <c r="B2" s="2473">
        <f>'Single Audit Cover'!E7</f>
        <v>50082119002</v>
      </c>
      <c r="C2" s="2473"/>
      <c r="D2" s="2473"/>
      <c r="E2" s="1492"/>
    </row>
    <row r="3" spans="2:5" ht="12.75" customHeight="1" x14ac:dyDescent="0.2">
      <c r="B3" s="2494" t="s">
        <v>1866</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1867</v>
      </c>
      <c r="C5" s="328"/>
      <c r="D5" s="328"/>
      <c r="E5" s="328"/>
    </row>
    <row r="6" spans="2:5" s="1282" customFormat="1" ht="13.5" customHeight="1" x14ac:dyDescent="0.2">
      <c r="B6" s="1495" t="s">
        <v>1382</v>
      </c>
      <c r="C6" s="1495" t="s">
        <v>1381</v>
      </c>
      <c r="D6" s="1495" t="s">
        <v>1868</v>
      </c>
    </row>
    <row r="7" spans="2:5" ht="13.5" customHeight="1" x14ac:dyDescent="0.2">
      <c r="B7" s="1496" t="s">
        <v>2092</v>
      </c>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1869</v>
      </c>
    </row>
    <row r="46" spans="2:5" ht="12.2" customHeight="1" x14ac:dyDescent="0.2">
      <c r="B46" s="1505" t="s">
        <v>1870</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rintOptions horizontalCentered="1"/>
  <pageMargins left="0.75" right="0.75" top="1" bottom="0.5" header="0.5" footer="0.5"/>
  <pageSetup scale="90" firstPageNumber="43" orientation="portrait" r:id="rId1"/>
  <headerFooter>
    <oddFooter>&amp;C&amp;"Times New Roman,Regular"See Independent Auditor's Reports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L31" sqref="L3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90652814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1.9900000000000001E-2</v>
      </c>
      <c r="E10" s="356" t="s">
        <v>1062</v>
      </c>
      <c r="F10" s="355">
        <v>3.5000000000000001E-3</v>
      </c>
      <c r="G10" s="356" t="s">
        <v>1062</v>
      </c>
      <c r="H10" s="355">
        <v>1.1999999999999999E-3</v>
      </c>
      <c r="I10" s="356" t="s">
        <v>1063</v>
      </c>
      <c r="J10" s="1754">
        <f>ROUND(D10+F10+H10,5)</f>
        <v>2.46E-2</v>
      </c>
      <c r="K10" s="222"/>
      <c r="L10" s="355">
        <v>5.0000000000000001E-4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10642912</v>
      </c>
      <c r="E16" s="356"/>
      <c r="F16" s="1755">
        <f>SUM('Acct Summary 7-8'!C17,'Acct Summary 7-8'!D17,'Acct Summary 7-8'!F17)</f>
        <v>8854606</v>
      </c>
      <c r="G16" s="356"/>
      <c r="H16" s="1755">
        <f>SUM(D16-F16)</f>
        <v>1788306</v>
      </c>
      <c r="I16" s="222"/>
      <c r="J16" s="1755">
        <f>SUM('Acct Summary 7-8'!C81,'Acct Summary 7-8'!D81,'Acct Summary 7-8'!F81,'Acct Summary 7-8'!I81)</f>
        <v>8561040</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2089</v>
      </c>
      <c r="C31" s="367" t="s">
        <v>607</v>
      </c>
      <c r="D31" s="237" t="s">
        <v>1132</v>
      </c>
      <c r="E31" s="222"/>
      <c r="F31" s="222"/>
      <c r="G31" s="363"/>
      <c r="H31" s="1757">
        <f>IF(B31="X",(J7*0.069),IF(B32="X",(J7*0.138),"Enter x in a.or b."))</f>
        <v>6255044.1660000002</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34460000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orizontalCentered="1"/>
  <pageMargins left="0.75" right="0.75" top="1" bottom="0.5" header="0.5" footer="0.5"/>
  <pageSetup scale="91" firstPageNumber="3" orientation="portrait" r:id="rId1"/>
  <headerFooter>
    <oddHeader>&amp;C&amp;"Times New Roman,Regular"BELLE VALLEY SCHOOL DISTRICT NO. 119</oddHeader>
    <oddFooter>&amp;C&amp;"Times New Roman,Regular"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F18" sqref="F1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Belle Valley SD 119</v>
      </c>
      <c r="E7" s="391"/>
      <c r="G7" s="252"/>
      <c r="H7" s="387"/>
      <c r="I7" s="387"/>
      <c r="J7" s="387"/>
      <c r="K7" s="387"/>
      <c r="L7" s="329"/>
      <c r="M7" s="329"/>
      <c r="N7" s="329"/>
      <c r="O7" s="329"/>
      <c r="P7" s="329"/>
    </row>
    <row r="8" spans="1:18" ht="12.75" x14ac:dyDescent="0.2">
      <c r="A8" s="329"/>
      <c r="B8" s="329"/>
      <c r="C8" s="389" t="s">
        <v>1187</v>
      </c>
      <c r="D8" s="392">
        <f>COVER!A13</f>
        <v>50082119002</v>
      </c>
      <c r="E8" s="393"/>
      <c r="G8" s="329"/>
      <c r="H8" s="329"/>
      <c r="I8" s="329"/>
      <c r="J8" s="329"/>
      <c r="K8" s="329"/>
      <c r="L8" s="329"/>
      <c r="M8" s="329"/>
      <c r="N8" s="329"/>
      <c r="O8" s="329"/>
      <c r="P8" s="329"/>
    </row>
    <row r="9" spans="1:18" ht="12.75" x14ac:dyDescent="0.2">
      <c r="A9" s="329"/>
      <c r="B9" s="329"/>
      <c r="C9" s="389" t="s">
        <v>737</v>
      </c>
      <c r="D9" s="394" t="str">
        <f>COVER!A15</f>
        <v>ST. CLAIR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8561040</v>
      </c>
      <c r="I12" s="404"/>
      <c r="J12" s="404"/>
      <c r="K12" s="405">
        <f>TRUNC((H12/H13*100000),5)/100000</f>
        <v>0.80438887400000003</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10642912</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8854606</v>
      </c>
      <c r="I17" s="404"/>
      <c r="J17" s="416"/>
      <c r="K17" s="405">
        <f>TRUNC((H17/H18*100000),5)/100000</f>
        <v>0.83197211429999995</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10642912</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8561185</v>
      </c>
      <c r="I24" s="422"/>
      <c r="J24" s="422"/>
      <c r="K24" s="423">
        <f>TRUNC(((H24/H25*100000)/100000),2)</f>
        <v>348.07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24596.127779999999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1895550.3407399999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34460000</v>
      </c>
      <c r="I32" s="420"/>
      <c r="J32" s="420"/>
      <c r="K32" s="423">
        <f>TRUNC(100-((((H32/H33*100))*100)/100),2)</f>
        <v>-450.91</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6255044.1660000002</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orizontalCentered="1"/>
  <pageMargins left="0.75" right="0.75" top="1" bottom="0.5" header="0.5" footer="0.5"/>
  <pageSetup scale="78" firstPageNumber="4" orientation="landscape" r:id="rId3"/>
  <headerFooter>
    <oddHeader>&amp;C&amp;"Times New Roman,Regular"BELLE VALLEY SCHOOL DISTRICT NO. 119</oddHeader>
    <oddFooter>&amp;C&amp;"Times New Roman,Regular"
&amp;P</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view="pageBreakPreview" colorId="8" zoomScaleNormal="110" zoomScaleSheetLayoutView="100" workbookViewId="0">
      <pane ySplit="2" topLeftCell="A6" activePane="bottomLeft" state="frozen"/>
      <selection activeCell="AF38" sqref="AF38"/>
      <selection pane="bottomLeft" activeCell="C39" sqref="C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4672960</v>
      </c>
      <c r="D4" s="466">
        <v>529285</v>
      </c>
      <c r="E4" s="466">
        <v>710847</v>
      </c>
      <c r="F4" s="466">
        <v>73505</v>
      </c>
      <c r="G4" s="466">
        <v>454433</v>
      </c>
      <c r="H4" s="466"/>
      <c r="I4" s="466">
        <v>310787</v>
      </c>
      <c r="J4" s="467">
        <v>398037</v>
      </c>
      <c r="K4" s="466">
        <v>67064</v>
      </c>
      <c r="L4" s="466">
        <v>102090</v>
      </c>
      <c r="M4" s="468"/>
      <c r="N4" s="469"/>
    </row>
    <row r="5" spans="1:14" x14ac:dyDescent="0.2">
      <c r="A5" s="463" t="s">
        <v>1049</v>
      </c>
      <c r="B5" s="470">
        <v>120</v>
      </c>
      <c r="C5" s="465">
        <v>2480738</v>
      </c>
      <c r="D5" s="466"/>
      <c r="E5" s="466"/>
      <c r="F5" s="466"/>
      <c r="G5" s="466">
        <v>406769</v>
      </c>
      <c r="H5" s="466"/>
      <c r="I5" s="466">
        <v>493910</v>
      </c>
      <c r="J5" s="467">
        <v>203385</v>
      </c>
      <c r="K5" s="471">
        <v>203385</v>
      </c>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7153698</v>
      </c>
      <c r="D13" s="1759">
        <f t="shared" ref="D13:L13" si="0">SUM(D4:D12)</f>
        <v>529285</v>
      </c>
      <c r="E13" s="1759">
        <f t="shared" si="0"/>
        <v>710847</v>
      </c>
      <c r="F13" s="1759">
        <f t="shared" si="0"/>
        <v>73505</v>
      </c>
      <c r="G13" s="1759">
        <f t="shared" si="0"/>
        <v>861202</v>
      </c>
      <c r="H13" s="1759">
        <f t="shared" si="0"/>
        <v>0</v>
      </c>
      <c r="I13" s="1759">
        <f t="shared" si="0"/>
        <v>804697</v>
      </c>
      <c r="J13" s="1759">
        <f t="shared" si="0"/>
        <v>601422</v>
      </c>
      <c r="K13" s="1759">
        <f t="shared" si="0"/>
        <v>270449</v>
      </c>
      <c r="L13" s="1759">
        <f t="shared" si="0"/>
        <v>102090</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1086741</v>
      </c>
      <c r="N16" s="484"/>
    </row>
    <row r="17" spans="1:14" s="485" customFormat="1" ht="12.75" customHeight="1" x14ac:dyDescent="0.2">
      <c r="A17" s="482" t="s">
        <v>1470</v>
      </c>
      <c r="B17" s="483">
        <v>230</v>
      </c>
      <c r="C17" s="477"/>
      <c r="D17" s="477"/>
      <c r="E17" s="477"/>
      <c r="F17" s="477"/>
      <c r="G17" s="477"/>
      <c r="H17" s="477"/>
      <c r="I17" s="477"/>
      <c r="J17" s="477"/>
      <c r="K17" s="477"/>
      <c r="L17" s="477"/>
      <c r="M17" s="467">
        <v>32227693</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1031162</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710847</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33749153</v>
      </c>
    </row>
    <row r="23" spans="1:14" ht="13.5" customHeight="1" thickBot="1" x14ac:dyDescent="0.25">
      <c r="A23" s="1758" t="s">
        <v>664</v>
      </c>
      <c r="B23" s="1763"/>
      <c r="C23" s="468"/>
      <c r="D23" s="468"/>
      <c r="E23" s="468"/>
      <c r="F23" s="468"/>
      <c r="G23" s="468"/>
      <c r="H23" s="468"/>
      <c r="I23" s="468"/>
      <c r="J23" s="468"/>
      <c r="K23" s="468"/>
      <c r="L23" s="468"/>
      <c r="M23" s="1710">
        <f>SUM(M15:M22)</f>
        <v>34345596</v>
      </c>
      <c r="N23" s="1710">
        <f>SUM(N21:N22)</f>
        <v>34460000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145</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102090</v>
      </c>
      <c r="M33" s="468"/>
      <c r="N33" s="469"/>
    </row>
    <row r="34" spans="1:14" ht="13.5" customHeight="1" thickBot="1" x14ac:dyDescent="0.25">
      <c r="A34" s="1760" t="s">
        <v>675</v>
      </c>
      <c r="B34" s="1761"/>
      <c r="C34" s="1762">
        <f>SUM(C25:C33)</f>
        <v>145</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102090</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34460000</v>
      </c>
    </row>
    <row r="37" spans="1:14" ht="13.5" thickBot="1" x14ac:dyDescent="0.25">
      <c r="A37" s="1758" t="s">
        <v>674</v>
      </c>
      <c r="B37" s="1763"/>
      <c r="C37" s="477"/>
      <c r="D37" s="477"/>
      <c r="E37" s="477"/>
      <c r="F37" s="477"/>
      <c r="G37" s="477"/>
      <c r="H37" s="477"/>
      <c r="I37" s="477"/>
      <c r="J37" s="477"/>
      <c r="K37" s="477"/>
      <c r="L37" s="480"/>
      <c r="M37" s="468"/>
      <c r="N37" s="1710">
        <f>SUM(N36:N36)</f>
        <v>34460000</v>
      </c>
    </row>
    <row r="38" spans="1:14" s="329" customFormat="1" ht="13.5" customHeight="1" thickTop="1" x14ac:dyDescent="0.2">
      <c r="A38" s="496" t="s">
        <v>440</v>
      </c>
      <c r="B38" s="483">
        <v>714</v>
      </c>
      <c r="C38" s="466"/>
      <c r="D38" s="466"/>
      <c r="E38" s="466"/>
      <c r="F38" s="466"/>
      <c r="G38" s="466">
        <v>425283</v>
      </c>
      <c r="H38" s="466"/>
      <c r="I38" s="466"/>
      <c r="J38" s="467"/>
      <c r="K38" s="466"/>
      <c r="L38" s="481"/>
      <c r="M38" s="497"/>
      <c r="N38" s="497"/>
    </row>
    <row r="39" spans="1:14" s="329" customFormat="1" ht="13.5" customHeight="1" x14ac:dyDescent="0.2">
      <c r="A39" s="496" t="s">
        <v>360</v>
      </c>
      <c r="B39" s="483">
        <v>730</v>
      </c>
      <c r="C39" s="466">
        <v>7153553</v>
      </c>
      <c r="D39" s="466">
        <v>529285</v>
      </c>
      <c r="E39" s="466">
        <v>710847</v>
      </c>
      <c r="F39" s="466">
        <v>73505</v>
      </c>
      <c r="G39" s="466">
        <v>435919</v>
      </c>
      <c r="H39" s="466"/>
      <c r="I39" s="466">
        <v>804697</v>
      </c>
      <c r="J39" s="467">
        <v>601422</v>
      </c>
      <c r="K39" s="466">
        <v>270449</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34345596</v>
      </c>
      <c r="N40" s="497"/>
    </row>
    <row r="41" spans="1:14" ht="13.5" customHeight="1" thickBot="1" x14ac:dyDescent="0.25">
      <c r="A41" s="1758" t="s">
        <v>676</v>
      </c>
      <c r="B41" s="1728"/>
      <c r="C41" s="1710">
        <f>(SUM(C34,C37,C38,C39))</f>
        <v>7153698</v>
      </c>
      <c r="D41" s="1710">
        <f t="shared" ref="D41:L41" si="2">SUM(D34,D37,D38:D39)</f>
        <v>529285</v>
      </c>
      <c r="E41" s="1710">
        <f t="shared" si="2"/>
        <v>710847</v>
      </c>
      <c r="F41" s="1710">
        <f t="shared" si="2"/>
        <v>73505</v>
      </c>
      <c r="G41" s="1710">
        <f t="shared" si="2"/>
        <v>861202</v>
      </c>
      <c r="H41" s="1710">
        <f t="shared" si="2"/>
        <v>0</v>
      </c>
      <c r="I41" s="1710">
        <f t="shared" si="2"/>
        <v>804697</v>
      </c>
      <c r="J41" s="1710">
        <f t="shared" si="2"/>
        <v>601422</v>
      </c>
      <c r="K41" s="1710">
        <f t="shared" si="2"/>
        <v>270449</v>
      </c>
      <c r="L41" s="1710">
        <f t="shared" si="2"/>
        <v>102090</v>
      </c>
      <c r="M41" s="1710">
        <f>SUM(M40)</f>
        <v>34345596</v>
      </c>
      <c r="N41" s="1710">
        <f>SUM(N37)</f>
        <v>34460000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orizontalCentered="1" gridLinesSet="0"/>
  <pageMargins left="0.75" right="0.75" top="1" bottom="0.5" header="0.5" footer="0.5"/>
  <pageSetup scale="56" firstPageNumber="13" orientation="landscape" useFirstPageNumber="1" r:id="rId1"/>
  <headerFooter>
    <oddHeader>&amp;C&amp;"Times New Roman,Regular"BELLE VALLEY SCHOOL DISTRICT NO. 119
STATEMENT OF ASSETS AND LIABILITIES ARISING FROM CASH TRANSACTIONS - CASH - REGULATORY BASIS
ALL FUNDS AND ACCOUNT GROUPS
JUNE 30, 2018</oddHeader>
    <oddFooter>&amp;C&amp;"Times New Roman,Regular"See Notes to Financial Statements and Independent Auditor's Reports
&amp;P</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80" workbookViewId="0">
      <pane ySplit="2" topLeftCell="A72" activePane="bottomLeft" state="frozenSplit"/>
      <selection activeCell="AF38" sqref="AF38"/>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3046045</v>
      </c>
      <c r="D4" s="1764">
        <f>'Revenues 9-14'!D109</f>
        <v>371673</v>
      </c>
      <c r="E4" s="1764">
        <f>'Revenues 9-14'!E109</f>
        <v>2177723</v>
      </c>
      <c r="F4" s="1764">
        <f>'Revenues 9-14'!F109</f>
        <v>132410</v>
      </c>
      <c r="G4" s="1764">
        <f>'Revenues 9-14'!G109</f>
        <v>420199</v>
      </c>
      <c r="H4" s="1764">
        <f>'Revenues 9-14'!H109</f>
        <v>0</v>
      </c>
      <c r="I4" s="1764">
        <f>'Revenues 9-14'!I109</f>
        <v>56968</v>
      </c>
      <c r="J4" s="1764">
        <f>'Revenues 9-14'!J109</f>
        <v>268427</v>
      </c>
      <c r="K4" s="1764">
        <f>'Revenues 9-14'!K109</f>
        <v>3570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5301826</v>
      </c>
      <c r="D6" s="1765">
        <f>'Revenues 9-14'!D173</f>
        <v>160000</v>
      </c>
      <c r="E6" s="1765">
        <f>'Revenues 9-14'!E173</f>
        <v>0</v>
      </c>
      <c r="F6" s="1765">
        <f>'Revenues 9-14'!F173</f>
        <v>413933</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1160057</v>
      </c>
      <c r="D7" s="1765">
        <f>'Revenues 9-14'!D274</f>
        <v>0</v>
      </c>
      <c r="E7" s="1765">
        <f>'Revenues 9-14'!E274</f>
        <v>485003</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9507928</v>
      </c>
      <c r="D8" s="1710">
        <f t="shared" ref="D8:K8" si="0">SUM(D4:D7)</f>
        <v>531673</v>
      </c>
      <c r="E8" s="1710">
        <f t="shared" si="0"/>
        <v>2662726</v>
      </c>
      <c r="F8" s="1710">
        <f t="shared" si="0"/>
        <v>546343</v>
      </c>
      <c r="G8" s="1710">
        <f t="shared" si="0"/>
        <v>420199</v>
      </c>
      <c r="H8" s="1710">
        <f t="shared" si="0"/>
        <v>0</v>
      </c>
      <c r="I8" s="1710">
        <f t="shared" si="0"/>
        <v>56968</v>
      </c>
      <c r="J8" s="1710">
        <f t="shared" si="0"/>
        <v>268427</v>
      </c>
      <c r="K8" s="1710">
        <f t="shared" si="0"/>
        <v>3570</v>
      </c>
      <c r="L8" s="347"/>
    </row>
    <row r="9" spans="1:13" ht="15.75" thickTop="1" x14ac:dyDescent="0.2">
      <c r="A9" s="514" t="s">
        <v>1752</v>
      </c>
      <c r="B9" s="515">
        <v>3998</v>
      </c>
      <c r="C9" s="481">
        <v>3361861</v>
      </c>
      <c r="D9" s="516"/>
      <c r="E9" s="481"/>
      <c r="F9" s="481"/>
      <c r="G9" s="517"/>
      <c r="H9" s="481"/>
      <c r="I9" s="509" t="s">
        <v>1231</v>
      </c>
      <c r="J9" s="478"/>
      <c r="K9" s="481"/>
      <c r="L9" s="347"/>
    </row>
    <row r="10" spans="1:13" s="519" customFormat="1" ht="13.5" thickBot="1" x14ac:dyDescent="0.25">
      <c r="A10" s="1758" t="s">
        <v>1235</v>
      </c>
      <c r="B10" s="1731"/>
      <c r="C10" s="1710">
        <f>SUM(C8:C9)</f>
        <v>12869789</v>
      </c>
      <c r="D10" s="1710">
        <f t="shared" ref="D10:K10" si="1">SUM(D8:D9)</f>
        <v>531673</v>
      </c>
      <c r="E10" s="1710">
        <f t="shared" si="1"/>
        <v>2662726</v>
      </c>
      <c r="F10" s="1710">
        <f t="shared" si="1"/>
        <v>546343</v>
      </c>
      <c r="G10" s="1710">
        <f t="shared" si="1"/>
        <v>420199</v>
      </c>
      <c r="H10" s="1710">
        <f t="shared" si="1"/>
        <v>0</v>
      </c>
      <c r="I10" s="1710">
        <f t="shared" si="1"/>
        <v>56968</v>
      </c>
      <c r="J10" s="1710">
        <f t="shared" si="1"/>
        <v>268427</v>
      </c>
      <c r="K10" s="1710">
        <f t="shared" si="1"/>
        <v>3570</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5002379</v>
      </c>
      <c r="D12" s="520" t="s">
        <v>1231</v>
      </c>
      <c r="E12" s="468" t="s">
        <v>1231</v>
      </c>
      <c r="F12" s="468" t="s">
        <v>1231</v>
      </c>
      <c r="G12" s="1764">
        <f>'Expenditures 15-22'!K229</f>
        <v>124596</v>
      </c>
      <c r="H12" s="521"/>
      <c r="I12" s="468" t="s">
        <v>1231</v>
      </c>
      <c r="J12" s="468" t="s">
        <v>1231</v>
      </c>
      <c r="K12" s="521" t="s">
        <v>1231</v>
      </c>
      <c r="L12" s="347"/>
    </row>
    <row r="13" spans="1:13" ht="15.75" customHeight="1" x14ac:dyDescent="0.2">
      <c r="A13" s="1598" t="s">
        <v>477</v>
      </c>
      <c r="B13" s="1600">
        <v>2000</v>
      </c>
      <c r="C13" s="1765">
        <f>'Expenditures 15-22'!K74</f>
        <v>2412966</v>
      </c>
      <c r="D13" s="1765">
        <f>'Expenditures 15-22'!K129</f>
        <v>401265</v>
      </c>
      <c r="E13" s="469" t="s">
        <v>1231</v>
      </c>
      <c r="F13" s="1765">
        <f>'Expenditures 15-22'!K184</f>
        <v>485797</v>
      </c>
      <c r="G13" s="1765">
        <f>'Expenditures 15-22'!K279</f>
        <v>153737</v>
      </c>
      <c r="H13" s="1765">
        <f>'Expenditures 15-22'!K303</f>
        <v>0</v>
      </c>
      <c r="I13" s="468" t="s">
        <v>1231</v>
      </c>
      <c r="J13" s="1765">
        <f>'Expenditures 15-22'!K330</f>
        <v>141898</v>
      </c>
      <c r="K13" s="1769">
        <f>'Expenditures 15-22'!K352</f>
        <v>0</v>
      </c>
      <c r="L13" s="347"/>
    </row>
    <row r="14" spans="1:13" ht="15.75" customHeight="1" x14ac:dyDescent="0.2">
      <c r="A14" s="1598" t="s">
        <v>469</v>
      </c>
      <c r="B14" s="1600">
        <v>3000</v>
      </c>
      <c r="C14" s="1765">
        <f>'Expenditures 15-22'!K75</f>
        <v>93956</v>
      </c>
      <c r="D14" s="1765">
        <f>'Expenditures 15-22'!K130</f>
        <v>0</v>
      </c>
      <c r="E14" s="520" t="s">
        <v>1231</v>
      </c>
      <c r="F14" s="1765">
        <f>'Expenditures 15-22'!K185</f>
        <v>0</v>
      </c>
      <c r="G14" s="1765">
        <f>'Expenditures 15-22'!K280</f>
        <v>9905</v>
      </c>
      <c r="H14" s="512"/>
      <c r="I14" s="468" t="s">
        <v>1231</v>
      </c>
      <c r="J14" s="468" t="s">
        <v>1231</v>
      </c>
      <c r="K14" s="512" t="s">
        <v>1231</v>
      </c>
      <c r="L14" s="347"/>
    </row>
    <row r="15" spans="1:13" ht="15.75" customHeight="1" x14ac:dyDescent="0.2">
      <c r="A15" s="1598" t="s">
        <v>109</v>
      </c>
      <c r="B15" s="1600">
        <v>4000</v>
      </c>
      <c r="C15" s="1765">
        <f>'Expenditures 15-22'!K102</f>
        <v>458243</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2328141</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7967544</v>
      </c>
      <c r="D17" s="1710">
        <f t="shared" si="2"/>
        <v>401265</v>
      </c>
      <c r="E17" s="1710">
        <f t="shared" si="2"/>
        <v>2328141</v>
      </c>
      <c r="F17" s="1710">
        <f t="shared" si="2"/>
        <v>485797</v>
      </c>
      <c r="G17" s="1710">
        <f t="shared" si="2"/>
        <v>288238</v>
      </c>
      <c r="H17" s="1710">
        <f t="shared" si="2"/>
        <v>0</v>
      </c>
      <c r="I17" s="468"/>
      <c r="J17" s="1710">
        <f>SUM(J12:J16)</f>
        <v>141898</v>
      </c>
      <c r="K17" s="1710">
        <f>SUM(K12:K16)</f>
        <v>0</v>
      </c>
      <c r="L17" s="347"/>
    </row>
    <row r="18" spans="1:12" ht="15" customHeight="1" thickTop="1" x14ac:dyDescent="0.2">
      <c r="A18" s="1766" t="s">
        <v>1753</v>
      </c>
      <c r="B18" s="1767">
        <v>4180</v>
      </c>
      <c r="C18" s="1764">
        <f t="shared" ref="C18:H18" si="3">C9</f>
        <v>3361861</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11329405</v>
      </c>
      <c r="D19" s="1710">
        <f t="shared" si="4"/>
        <v>401265</v>
      </c>
      <c r="E19" s="1710">
        <f t="shared" si="4"/>
        <v>2328141</v>
      </c>
      <c r="F19" s="1710">
        <f t="shared" si="4"/>
        <v>485797</v>
      </c>
      <c r="G19" s="1710">
        <f t="shared" si="4"/>
        <v>288238</v>
      </c>
      <c r="H19" s="1710">
        <f t="shared" si="4"/>
        <v>0</v>
      </c>
      <c r="I19" s="468"/>
      <c r="J19" s="1710">
        <f>SUM(J17:J18)</f>
        <v>141898</v>
      </c>
      <c r="K19" s="1710">
        <f>SUM(K17:K18)</f>
        <v>0</v>
      </c>
      <c r="L19" s="347"/>
    </row>
    <row r="20" spans="1:12" ht="16.5" thickTop="1" thickBot="1" x14ac:dyDescent="0.25">
      <c r="A20" s="2144" t="s">
        <v>1754</v>
      </c>
      <c r="B20" s="2145"/>
      <c r="C20" s="1768">
        <f>C8-C17</f>
        <v>1540384</v>
      </c>
      <c r="D20" s="1768">
        <f t="shared" ref="D20:K20" si="5">D8-D17</f>
        <v>130408</v>
      </c>
      <c r="E20" s="1768">
        <f t="shared" si="5"/>
        <v>334585</v>
      </c>
      <c r="F20" s="1768">
        <f t="shared" si="5"/>
        <v>60546</v>
      </c>
      <c r="G20" s="1768">
        <f t="shared" si="5"/>
        <v>131961</v>
      </c>
      <c r="H20" s="1768">
        <f t="shared" si="5"/>
        <v>0</v>
      </c>
      <c r="I20" s="1768">
        <f t="shared" si="5"/>
        <v>56968</v>
      </c>
      <c r="J20" s="1768">
        <f t="shared" si="5"/>
        <v>126529</v>
      </c>
      <c r="K20" s="1768">
        <f t="shared" si="5"/>
        <v>3570</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1894</v>
      </c>
      <c r="B30" s="527">
        <v>7160</v>
      </c>
      <c r="C30" s="477"/>
      <c r="D30" s="467"/>
      <c r="E30" s="477"/>
      <c r="F30" s="477"/>
      <c r="G30" s="477"/>
      <c r="H30" s="477"/>
      <c r="I30" s="477"/>
      <c r="J30" s="477"/>
      <c r="K30" s="477"/>
      <c r="L30" s="524"/>
    </row>
    <row r="31" spans="1:12" s="485" customFormat="1" ht="26.25" x14ac:dyDescent="0.2">
      <c r="A31" s="1511" t="s">
        <v>1898</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1897</v>
      </c>
      <c r="B52" s="483">
        <v>8160</v>
      </c>
      <c r="C52" s="477"/>
      <c r="D52" s="477"/>
      <c r="E52" s="477"/>
      <c r="F52" s="477"/>
      <c r="G52" s="477"/>
      <c r="H52" s="477"/>
      <c r="I52" s="477"/>
      <c r="J52" s="477"/>
      <c r="K52" s="1765">
        <f>D30</f>
        <v>0</v>
      </c>
      <c r="L52" s="524"/>
    </row>
    <row r="53" spans="1:12" s="485" customFormat="1" ht="26.25" x14ac:dyDescent="0.2">
      <c r="A53" s="1512" t="s">
        <v>1896</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6" t="s">
        <v>1239</v>
      </c>
      <c r="B77" s="2137"/>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0" t="s">
        <v>618</v>
      </c>
      <c r="B78" s="2141"/>
      <c r="C78" s="1724">
        <f t="shared" ref="C78:K78" si="9">C20+C77</f>
        <v>1540384</v>
      </c>
      <c r="D78" s="1724">
        <f t="shared" si="9"/>
        <v>130408</v>
      </c>
      <c r="E78" s="1724">
        <f t="shared" si="9"/>
        <v>334585</v>
      </c>
      <c r="F78" s="1724">
        <f t="shared" si="9"/>
        <v>60546</v>
      </c>
      <c r="G78" s="1724">
        <f t="shared" si="9"/>
        <v>131961</v>
      </c>
      <c r="H78" s="1724">
        <f t="shared" si="9"/>
        <v>0</v>
      </c>
      <c r="I78" s="1724">
        <f t="shared" si="9"/>
        <v>56968</v>
      </c>
      <c r="J78" s="1724">
        <f t="shared" si="9"/>
        <v>126529</v>
      </c>
      <c r="K78" s="1724">
        <f t="shared" si="9"/>
        <v>3570</v>
      </c>
      <c r="L78" s="533"/>
    </row>
    <row r="79" spans="1:12" ht="13.5" thickTop="1" x14ac:dyDescent="0.2">
      <c r="A79" s="1516" t="s">
        <v>2070</v>
      </c>
      <c r="B79" s="534"/>
      <c r="C79" s="478">
        <v>5613169</v>
      </c>
      <c r="D79" s="535">
        <v>398877</v>
      </c>
      <c r="E79" s="535">
        <v>376262</v>
      </c>
      <c r="F79" s="535">
        <v>12959</v>
      </c>
      <c r="G79" s="535">
        <v>729241</v>
      </c>
      <c r="H79" s="535"/>
      <c r="I79" s="535">
        <v>747729</v>
      </c>
      <c r="J79" s="535">
        <v>474893</v>
      </c>
      <c r="K79" s="535">
        <v>266879</v>
      </c>
      <c r="L79" s="347"/>
    </row>
    <row r="80" spans="1:12" x14ac:dyDescent="0.2">
      <c r="A80" s="2146" t="s">
        <v>1895</v>
      </c>
      <c r="B80" s="2147"/>
      <c r="C80" s="467"/>
      <c r="D80" s="467"/>
      <c r="E80" s="467"/>
      <c r="F80" s="467"/>
      <c r="G80" s="467"/>
      <c r="H80" s="467"/>
      <c r="I80" s="467"/>
      <c r="J80" s="467"/>
      <c r="K80" s="467"/>
      <c r="L80" s="347"/>
    </row>
    <row r="81" spans="1:12" ht="13.5" thickBot="1" x14ac:dyDescent="0.25">
      <c r="A81" s="2138" t="s">
        <v>2071</v>
      </c>
      <c r="B81" s="2139"/>
      <c r="C81" s="1710">
        <f>(SUM(C78:C80))</f>
        <v>7153553</v>
      </c>
      <c r="D81" s="1710">
        <f>SUM(D78:D80)</f>
        <v>529285</v>
      </c>
      <c r="E81" s="1710">
        <f t="shared" ref="E81:K81" si="10">SUM(E78:E80)</f>
        <v>710847</v>
      </c>
      <c r="F81" s="1710">
        <f t="shared" si="10"/>
        <v>73505</v>
      </c>
      <c r="G81" s="1710">
        <f t="shared" si="10"/>
        <v>861202</v>
      </c>
      <c r="H81" s="1710">
        <f t="shared" si="10"/>
        <v>0</v>
      </c>
      <c r="I81" s="1710">
        <f t="shared" si="10"/>
        <v>804697</v>
      </c>
      <c r="J81" s="1710">
        <f t="shared" si="10"/>
        <v>601422</v>
      </c>
      <c r="K81" s="1710">
        <f t="shared" si="10"/>
        <v>270449</v>
      </c>
      <c r="L81" s="347"/>
    </row>
    <row r="82" spans="1:12" ht="0.75" customHeight="1" thickTop="1" thickBot="1" x14ac:dyDescent="0.25">
      <c r="A82" s="536" t="s">
        <v>361</v>
      </c>
      <c r="B82" s="537"/>
      <c r="C82" s="538">
        <f>(C81-C79)</f>
        <v>1540384</v>
      </c>
      <c r="D82" s="538">
        <f t="shared" ref="D82:K82" si="11">(D81-D79)</f>
        <v>130408</v>
      </c>
      <c r="E82" s="538">
        <f t="shared" si="11"/>
        <v>334585</v>
      </c>
      <c r="F82" s="538">
        <f t="shared" si="11"/>
        <v>60546</v>
      </c>
      <c r="G82" s="538">
        <f t="shared" si="11"/>
        <v>131961</v>
      </c>
      <c r="H82" s="538">
        <f t="shared" si="11"/>
        <v>0</v>
      </c>
      <c r="I82" s="538">
        <f t="shared" si="11"/>
        <v>56968</v>
      </c>
      <c r="J82" s="538">
        <f t="shared" si="11"/>
        <v>126529</v>
      </c>
      <c r="K82" s="538">
        <f t="shared" si="11"/>
        <v>3570</v>
      </c>
    </row>
    <row r="83" spans="1:12" ht="14.25" hidden="1" thickTop="1" thickBot="1" x14ac:dyDescent="0.25">
      <c r="A83" s="539" t="s">
        <v>362</v>
      </c>
      <c r="B83" s="464"/>
      <c r="C83" s="540">
        <f>C82/C81</f>
        <v>0.21533131857693652</v>
      </c>
      <c r="D83" s="540">
        <f t="shared" ref="D83:K83" si="12">D82/D81</f>
        <v>0.2463852177938162</v>
      </c>
      <c r="E83" s="540">
        <f t="shared" si="12"/>
        <v>0.47068497159022971</v>
      </c>
      <c r="F83" s="540">
        <f t="shared" si="12"/>
        <v>0.82369906809060611</v>
      </c>
      <c r="G83" s="540">
        <f t="shared" si="12"/>
        <v>0.15322885919911938</v>
      </c>
      <c r="H83" s="540" t="e">
        <f t="shared" si="12"/>
        <v>#DIV/0!</v>
      </c>
      <c r="I83" s="540">
        <f t="shared" si="12"/>
        <v>7.0794348680310731E-2</v>
      </c>
      <c r="J83" s="540">
        <f t="shared" si="12"/>
        <v>0.21038305881726974</v>
      </c>
      <c r="K83" s="540">
        <f t="shared" si="12"/>
        <v>1.3200270661011872E-2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orizontalCentered="1"/>
  <pageMargins left="0.75" right="0.75" top="1.25" bottom="0.5" header="0.5" footer="0.5"/>
  <pageSetup scale="48" firstPageNumber="7" orientation="portrait" r:id="rId1"/>
  <headerFooter>
    <oddHeader>&amp;C&amp;"Times New Roman,Regular"BELLE VALLEY SCHOOL DISTRICT NO. 119
STATEMENT OF RECEIPTS, DISBURSEMENTS, OTHER SOURCES (USES), AND CHANGES IN FUND BALANCES - CASH - REGULATORY BASIS
ALL FUNDS
FOR THE YEAR ENDED JUNE 30, 2018</oddHeader>
    <oddFooter>&amp;C&amp;"Times New Roman,Regular"See Notes to Financial Statements and Independent Auditor's Reports
&amp;P</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5" zoomScaleNormal="115" zoomScaleSheetLayoutView="75" workbookViewId="0">
      <pane ySplit="2" topLeftCell="A3" activePane="bottomLeft" state="frozen"/>
      <selection activeCell="AF38" sqref="AF38"/>
      <selection pane="bottomLeft" activeCell="E5" sqref="E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1902</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2051293</v>
      </c>
      <c r="D5" s="481">
        <v>360780</v>
      </c>
      <c r="E5" s="466">
        <v>2175492</v>
      </c>
      <c r="F5" s="548">
        <v>123697</v>
      </c>
      <c r="G5" s="466">
        <v>170285</v>
      </c>
      <c r="H5" s="466"/>
      <c r="I5" s="466">
        <v>51539</v>
      </c>
      <c r="J5" s="467">
        <v>259808</v>
      </c>
      <c r="K5" s="466"/>
    </row>
    <row r="6" spans="1:12" ht="15" x14ac:dyDescent="0.2">
      <c r="A6" s="463" t="s">
        <v>1761</v>
      </c>
      <c r="B6" s="470">
        <v>1130</v>
      </c>
      <c r="C6" s="466">
        <v>51459</v>
      </c>
      <c r="D6" s="466"/>
      <c r="E6" s="475"/>
      <c r="F6" s="475"/>
      <c r="G6" s="468"/>
      <c r="H6" s="468"/>
      <c r="I6" s="468"/>
      <c r="J6" s="468"/>
      <c r="K6" s="468"/>
    </row>
    <row r="7" spans="1:12" x14ac:dyDescent="0.2">
      <c r="A7" s="463" t="s">
        <v>112</v>
      </c>
      <c r="B7" s="549">
        <v>1140</v>
      </c>
      <c r="C7" s="466">
        <v>20615</v>
      </c>
      <c r="D7" s="466"/>
      <c r="E7" s="468"/>
      <c r="F7" s="467"/>
      <c r="G7" s="467"/>
      <c r="H7" s="467"/>
      <c r="I7" s="468"/>
      <c r="J7" s="468"/>
      <c r="K7" s="468"/>
    </row>
    <row r="8" spans="1:12" x14ac:dyDescent="0.2">
      <c r="A8" s="463" t="s">
        <v>433</v>
      </c>
      <c r="B8" s="470">
        <v>1150</v>
      </c>
      <c r="C8" s="475"/>
      <c r="D8" s="475"/>
      <c r="E8" s="477"/>
      <c r="F8" s="477"/>
      <c r="G8" s="481">
        <v>231897</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2123367</v>
      </c>
      <c r="D12" s="1729">
        <f t="shared" si="0"/>
        <v>360780</v>
      </c>
      <c r="E12" s="1729">
        <f t="shared" si="0"/>
        <v>2175492</v>
      </c>
      <c r="F12" s="1729">
        <f t="shared" si="0"/>
        <v>123697</v>
      </c>
      <c r="G12" s="1729">
        <f t="shared" si="0"/>
        <v>402182</v>
      </c>
      <c r="H12" s="1729">
        <f t="shared" si="0"/>
        <v>0</v>
      </c>
      <c r="I12" s="1729">
        <f t="shared" si="0"/>
        <v>51539</v>
      </c>
      <c r="J12" s="1729">
        <f t="shared" si="0"/>
        <v>259808</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98282</v>
      </c>
      <c r="D16" s="466"/>
      <c r="E16" s="466"/>
      <c r="F16" s="466"/>
      <c r="G16" s="466">
        <v>10000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98282</v>
      </c>
      <c r="D18" s="1732">
        <f t="shared" ref="D18:K18" si="1">SUM(D14:D17)</f>
        <v>0</v>
      </c>
      <c r="E18" s="1732">
        <f t="shared" si="1"/>
        <v>0</v>
      </c>
      <c r="F18" s="1732">
        <f t="shared" si="1"/>
        <v>0</v>
      </c>
      <c r="G18" s="1732">
        <f t="shared" si="1"/>
        <v>10000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1267</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1267</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51482</v>
      </c>
      <c r="D65" s="466">
        <v>1234</v>
      </c>
      <c r="E65" s="466">
        <v>2231</v>
      </c>
      <c r="F65" s="467">
        <v>113</v>
      </c>
      <c r="G65" s="466">
        <v>8017</v>
      </c>
      <c r="H65" s="466"/>
      <c r="I65" s="466">
        <v>5429</v>
      </c>
      <c r="J65" s="467">
        <v>4514</v>
      </c>
      <c r="K65" s="466">
        <v>3570</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51482</v>
      </c>
      <c r="D67" s="1710">
        <f t="shared" ref="D67:K67" si="2">SUM(D65:D66)</f>
        <v>1234</v>
      </c>
      <c r="E67" s="1710">
        <f t="shared" si="2"/>
        <v>2231</v>
      </c>
      <c r="F67" s="1710">
        <f t="shared" si="2"/>
        <v>113</v>
      </c>
      <c r="G67" s="1710">
        <f t="shared" si="2"/>
        <v>8017</v>
      </c>
      <c r="H67" s="1710">
        <f t="shared" si="2"/>
        <v>0</v>
      </c>
      <c r="I67" s="1710">
        <f t="shared" si="2"/>
        <v>5429</v>
      </c>
      <c r="J67" s="1710">
        <f t="shared" si="2"/>
        <v>4514</v>
      </c>
      <c r="K67" s="1710">
        <f t="shared" si="2"/>
        <v>3570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69005</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v>4075</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3542</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76622</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7133</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7133</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27482</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27482</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v>527092</v>
      </c>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90689</v>
      </c>
      <c r="D106" s="489"/>
      <c r="E106" s="467"/>
      <c r="F106" s="467"/>
      <c r="G106" s="467"/>
      <c r="H106" s="467"/>
      <c r="I106" s="521"/>
      <c r="J106" s="467"/>
      <c r="K106" s="467"/>
    </row>
    <row r="107" spans="1:12" ht="12.75" customHeight="1" x14ac:dyDescent="0.2">
      <c r="A107" s="463" t="s">
        <v>80</v>
      </c>
      <c r="B107" s="470">
        <v>1999</v>
      </c>
      <c r="C107" s="551">
        <v>42629</v>
      </c>
      <c r="D107" s="466">
        <v>9659</v>
      </c>
      <c r="E107" s="466"/>
      <c r="F107" s="466">
        <v>8600</v>
      </c>
      <c r="G107" s="466"/>
      <c r="H107" s="466"/>
      <c r="I107" s="466"/>
      <c r="J107" s="467">
        <v>4105</v>
      </c>
      <c r="K107" s="466"/>
    </row>
    <row r="108" spans="1:12" ht="12.75" customHeight="1" thickBot="1" x14ac:dyDescent="0.25">
      <c r="A108" s="1730" t="s">
        <v>508</v>
      </c>
      <c r="B108" s="1734"/>
      <c r="C108" s="1729">
        <f>SUM(C95:C107)</f>
        <v>660410</v>
      </c>
      <c r="D108" s="1729">
        <f t="shared" ref="D108:K108" si="3">SUM(D95:D107)</f>
        <v>9659</v>
      </c>
      <c r="E108" s="1729">
        <f t="shared" si="3"/>
        <v>0</v>
      </c>
      <c r="F108" s="1729">
        <f t="shared" si="3"/>
        <v>8600</v>
      </c>
      <c r="G108" s="1729">
        <f t="shared" si="3"/>
        <v>0</v>
      </c>
      <c r="H108" s="1729">
        <f t="shared" si="3"/>
        <v>0</v>
      </c>
      <c r="I108" s="1729">
        <f t="shared" si="3"/>
        <v>0</v>
      </c>
      <c r="J108" s="1729">
        <f t="shared" si="3"/>
        <v>4105</v>
      </c>
      <c r="K108" s="1710">
        <f t="shared" si="3"/>
        <v>0</v>
      </c>
    </row>
    <row r="109" spans="1:12" ht="14.25" thickTop="1" thickBot="1" x14ac:dyDescent="0.25">
      <c r="A109" s="1735" t="s">
        <v>266</v>
      </c>
      <c r="B109" s="1736" t="s">
        <v>591</v>
      </c>
      <c r="C109" s="1737">
        <f t="shared" ref="C109:K109" si="4">SUM(C12,C18,C40,C63,C67,C75,C82,C93,C108,)</f>
        <v>3046045</v>
      </c>
      <c r="D109" s="1737">
        <f t="shared" si="4"/>
        <v>371673</v>
      </c>
      <c r="E109" s="1737">
        <f t="shared" si="4"/>
        <v>2177723</v>
      </c>
      <c r="F109" s="1737">
        <f t="shared" si="4"/>
        <v>132410</v>
      </c>
      <c r="G109" s="1737">
        <f t="shared" si="4"/>
        <v>420199</v>
      </c>
      <c r="H109" s="1737">
        <f t="shared" si="4"/>
        <v>0</v>
      </c>
      <c r="I109" s="1737">
        <f t="shared" si="4"/>
        <v>56968</v>
      </c>
      <c r="J109" s="1737">
        <f t="shared" si="4"/>
        <v>268427</v>
      </c>
      <c r="K109" s="1724">
        <f t="shared" si="4"/>
        <v>3570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4808796</v>
      </c>
      <c r="D117" s="481">
        <v>160000</v>
      </c>
      <c r="E117" s="466"/>
      <c r="F117" s="481">
        <v>26000</v>
      </c>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8" t="s">
        <v>1901</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4808796</v>
      </c>
      <c r="D121" s="1729">
        <f t="shared" si="5"/>
        <v>160000</v>
      </c>
      <c r="E121" s="1729">
        <f t="shared" si="5"/>
        <v>0</v>
      </c>
      <c r="F121" s="1729">
        <f t="shared" si="5"/>
        <v>26000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4668</v>
      </c>
      <c r="D124" s="561"/>
      <c r="E124" s="468"/>
      <c r="F124" s="548"/>
      <c r="G124" s="468"/>
      <c r="H124" s="468"/>
      <c r="I124" s="468"/>
      <c r="J124" s="468"/>
      <c r="K124" s="468"/>
    </row>
    <row r="125" spans="1:11" ht="12.75" customHeight="1" x14ac:dyDescent="0.2">
      <c r="A125" s="463" t="s">
        <v>1521</v>
      </c>
      <c r="B125" s="562">
        <v>3105</v>
      </c>
      <c r="C125" s="466">
        <v>69458</v>
      </c>
      <c r="D125" s="561"/>
      <c r="E125" s="468"/>
      <c r="F125" s="466"/>
      <c r="G125" s="468"/>
      <c r="H125" s="468"/>
      <c r="I125" s="468"/>
      <c r="J125" s="468"/>
      <c r="K125" s="468"/>
    </row>
    <row r="126" spans="1:11" ht="12.75" customHeight="1" x14ac:dyDescent="0.2">
      <c r="A126" s="463" t="s">
        <v>922</v>
      </c>
      <c r="B126" s="562">
        <v>3110</v>
      </c>
      <c r="C126" s="551">
        <v>104638</v>
      </c>
      <c r="D126" s="466"/>
      <c r="E126" s="468"/>
      <c r="F126" s="466"/>
      <c r="G126" s="468"/>
      <c r="H126" s="468"/>
      <c r="I126" s="468"/>
      <c r="J126" s="468"/>
      <c r="K126" s="468"/>
    </row>
    <row r="127" spans="1:11" ht="12.75" customHeight="1" x14ac:dyDescent="0.2">
      <c r="A127" s="463" t="s">
        <v>107</v>
      </c>
      <c r="B127" s="562">
        <v>3120</v>
      </c>
      <c r="C127" s="466">
        <v>50463</v>
      </c>
      <c r="D127" s="561"/>
      <c r="E127" s="468"/>
      <c r="F127" s="466"/>
      <c r="G127" s="468"/>
      <c r="H127" s="468"/>
      <c r="I127" s="468"/>
      <c r="J127" s="468"/>
      <c r="K127" s="468"/>
    </row>
    <row r="128" spans="1:11" ht="12.75" customHeight="1" x14ac:dyDescent="0.2">
      <c r="A128" s="463" t="s">
        <v>1522</v>
      </c>
      <c r="B128" s="562">
        <v>3130</v>
      </c>
      <c r="C128" s="466">
        <v>2697</v>
      </c>
      <c r="D128" s="561"/>
      <c r="E128" s="468"/>
      <c r="F128" s="466"/>
      <c r="G128" s="468"/>
      <c r="H128" s="468"/>
      <c r="I128" s="468"/>
      <c r="J128" s="468"/>
      <c r="K128" s="468"/>
    </row>
    <row r="129" spans="1:11" ht="12.75" customHeight="1" x14ac:dyDescent="0.2">
      <c r="A129" s="463" t="s">
        <v>139</v>
      </c>
      <c r="B129" s="562">
        <v>3145</v>
      </c>
      <c r="C129" s="466">
        <v>6671</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238595</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1037</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1037</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6108</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213881</v>
      </c>
      <c r="G151" s="467"/>
      <c r="H151" s="468"/>
      <c r="I151" s="468"/>
      <c r="J151" s="468"/>
      <c r="K151" s="468"/>
    </row>
    <row r="152" spans="1:11" ht="12.75" customHeight="1" x14ac:dyDescent="0.2">
      <c r="A152" s="463" t="s">
        <v>1117</v>
      </c>
      <c r="B152" s="562">
        <v>3510</v>
      </c>
      <c r="C152" s="551"/>
      <c r="D152" s="466"/>
      <c r="E152" s="561"/>
      <c r="F152" s="466">
        <v>174052</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387933</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226224</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21066</v>
      </c>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493030</v>
      </c>
      <c r="D172" s="1744">
        <f t="shared" si="6"/>
        <v>0</v>
      </c>
      <c r="E172" s="1744">
        <f t="shared" si="6"/>
        <v>0</v>
      </c>
      <c r="F172" s="1744">
        <f t="shared" si="6"/>
        <v>387933</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5301826</v>
      </c>
      <c r="D173" s="1737">
        <f>SUM(D121,D172)</f>
        <v>160000</v>
      </c>
      <c r="E173" s="1737">
        <f>SUM(E121,E172)</f>
        <v>0</v>
      </c>
      <c r="F173" s="1737">
        <f t="shared" ref="F173:K173" si="7">SUM(F121,F172)</f>
        <v>413933</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v>37388</v>
      </c>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37388</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1903</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336137</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99082</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489">
        <v>43453</v>
      </c>
      <c r="D200" s="468"/>
      <c r="E200" s="561"/>
      <c r="F200" s="468"/>
      <c r="G200" s="585"/>
      <c r="H200" s="468"/>
      <c r="I200" s="468"/>
      <c r="J200" s="468"/>
      <c r="K200" s="468"/>
    </row>
    <row r="201" spans="1:11" ht="12.75" customHeight="1" thickBot="1" x14ac:dyDescent="0.25">
      <c r="A201" s="1730" t="s">
        <v>569</v>
      </c>
      <c r="B201" s="1731"/>
      <c r="C201" s="1710">
        <f>SUM(C193:C200)</f>
        <v>478672</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276533</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276533</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v>1935</v>
      </c>
      <c r="D219" s="466"/>
      <c r="E219" s="468"/>
      <c r="F219" s="466"/>
      <c r="G219" s="466"/>
      <c r="H219" s="468"/>
      <c r="I219" s="468"/>
      <c r="J219" s="468"/>
      <c r="K219" s="468"/>
    </row>
    <row r="220" spans="1:11" ht="12.75" customHeight="1" x14ac:dyDescent="0.2">
      <c r="A220" s="463" t="s">
        <v>1529</v>
      </c>
      <c r="B220" s="557">
        <v>4620</v>
      </c>
      <c r="C220" s="551">
        <v>220506</v>
      </c>
      <c r="D220" s="466"/>
      <c r="E220" s="468"/>
      <c r="F220" s="466"/>
      <c r="G220" s="466"/>
      <c r="H220" s="468"/>
      <c r="I220" s="468"/>
      <c r="J220" s="468"/>
      <c r="K220" s="468"/>
    </row>
    <row r="221" spans="1:11" ht="12.75" customHeight="1" x14ac:dyDescent="0.2">
      <c r="A221" s="463" t="s">
        <v>1114</v>
      </c>
      <c r="B221" s="470">
        <v>4625</v>
      </c>
      <c r="C221" s="551">
        <v>7595</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230036</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v>485003</v>
      </c>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485003</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41973</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19707</v>
      </c>
      <c r="D270" s="576"/>
      <c r="E270" s="468"/>
      <c r="F270" s="576"/>
      <c r="G270" s="576"/>
      <c r="H270" s="468"/>
      <c r="I270" s="468"/>
      <c r="J270" s="468"/>
      <c r="K270" s="468"/>
    </row>
    <row r="271" spans="1:11" ht="12.75" customHeight="1" thickTop="1" thickBot="1" x14ac:dyDescent="0.25">
      <c r="A271" s="463" t="s">
        <v>395</v>
      </c>
      <c r="B271" s="470">
        <v>4992</v>
      </c>
      <c r="C271" s="575">
        <v>75748</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1122669</v>
      </c>
      <c r="D273" s="1737">
        <f t="shared" si="10"/>
        <v>0</v>
      </c>
      <c r="E273" s="1737">
        <f t="shared" si="10"/>
        <v>485003</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1160057</v>
      </c>
      <c r="D274" s="1737">
        <f>SUM(D178,D184,D273)</f>
        <v>0</v>
      </c>
      <c r="E274" s="1737">
        <f>SUM(E178,E273)</f>
        <v>485003</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9507928</v>
      </c>
      <c r="D275" s="1737">
        <f t="shared" si="12"/>
        <v>531673</v>
      </c>
      <c r="E275" s="1737">
        <f t="shared" si="12"/>
        <v>2662726</v>
      </c>
      <c r="F275" s="1737">
        <f t="shared" si="12"/>
        <v>546343</v>
      </c>
      <c r="G275" s="1737">
        <f t="shared" si="12"/>
        <v>420199</v>
      </c>
      <c r="H275" s="1737">
        <f t="shared" si="12"/>
        <v>0</v>
      </c>
      <c r="I275" s="1737">
        <f t="shared" si="12"/>
        <v>56968</v>
      </c>
      <c r="J275" s="1737">
        <f t="shared" si="12"/>
        <v>268427</v>
      </c>
      <c r="K275" s="1724">
        <f t="shared" si="12"/>
        <v>3570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orizontalCentered="1"/>
  <pageMargins left="0.75" right="0.75" top="1" bottom="0.5" header="0.5" footer="0.5"/>
  <pageSetup scale="60" firstPageNumber="15" orientation="landscape" useFirstPageNumber="1" r:id="rId1"/>
  <headerFooter>
    <oddHeader>&amp;C&amp;"Times New Roman,Regular"BELLE VALLEY SCHOOL DISTRICT NO. 119
STATEMENT OF RECEIPTS - CASH - REGULATORY BASIS
ALL FUNDS
FOR THE YEAR ENDED JUNE 30, 2018</oddHeader>
    <oddFooter>&amp;C&amp;"Times New Roman,Regular"See Notes to Financial Statements and Independent Auditor's Reports
&amp;P</oddFooter>
  </headerFooter>
  <rowBreaks count="4" manualBreakCount="4">
    <brk id="56" max="16383" man="1"/>
    <brk id="109" max="16383" man="1"/>
    <brk id="164" max="16383" man="1"/>
    <brk id="21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54" activePane="bottomLeft" state="frozen"/>
      <selection activeCell="AF38" sqref="AF38"/>
      <selection pane="bottomLeft" activeCell="P60" sqref="P6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2631463</v>
      </c>
      <c r="D5" s="466">
        <v>658273</v>
      </c>
      <c r="E5" s="466">
        <v>78805</v>
      </c>
      <c r="F5" s="466">
        <v>192418</v>
      </c>
      <c r="G5" s="466">
        <v>80770</v>
      </c>
      <c r="H5" s="466"/>
      <c r="I5" s="467"/>
      <c r="J5" s="467"/>
      <c r="K5" s="1693">
        <f>SUM(C5:J5)</f>
        <v>3641729</v>
      </c>
      <c r="L5" s="466">
        <v>4042249</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120337</v>
      </c>
      <c r="D7" s="467">
        <v>23389</v>
      </c>
      <c r="E7" s="467">
        <v>463</v>
      </c>
      <c r="F7" s="467">
        <v>6</v>
      </c>
      <c r="G7" s="467">
        <v>5957</v>
      </c>
      <c r="H7" s="467"/>
      <c r="I7" s="467"/>
      <c r="J7" s="467"/>
      <c r="K7" s="1693">
        <f t="shared" ref="K7:K32" si="0">SUM(C7:J7)</f>
        <v>150152</v>
      </c>
      <c r="L7" s="466">
        <v>184375</v>
      </c>
    </row>
    <row r="8" spans="1:14" x14ac:dyDescent="0.2">
      <c r="A8" s="1526" t="s">
        <v>166</v>
      </c>
      <c r="B8" s="615">
        <v>1200</v>
      </c>
      <c r="C8" s="466">
        <v>966268</v>
      </c>
      <c r="D8" s="466">
        <v>220958</v>
      </c>
      <c r="E8" s="466">
        <v>2307</v>
      </c>
      <c r="F8" s="466">
        <v>9122</v>
      </c>
      <c r="G8" s="466">
        <v>2597</v>
      </c>
      <c r="H8" s="466"/>
      <c r="I8" s="467"/>
      <c r="J8" s="467"/>
      <c r="K8" s="1693">
        <f t="shared" si="0"/>
        <v>1201252</v>
      </c>
      <c r="L8" s="466">
        <v>1257800</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c r="D14" s="466"/>
      <c r="E14" s="466"/>
      <c r="F14" s="466"/>
      <c r="G14" s="466"/>
      <c r="H14" s="466"/>
      <c r="I14" s="467"/>
      <c r="J14" s="467"/>
      <c r="K14" s="1693">
        <f t="shared" si="0"/>
        <v>0</v>
      </c>
      <c r="L14" s="466"/>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v>9246</v>
      </c>
      <c r="I19" s="467"/>
      <c r="J19" s="467"/>
      <c r="K19" s="1693">
        <f t="shared" si="0"/>
        <v>9246</v>
      </c>
      <c r="L19" s="466">
        <v>13000</v>
      </c>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3718068</v>
      </c>
      <c r="D33" s="1692">
        <f t="shared" ref="D33:L33" si="1">SUM(D5:D32)</f>
        <v>902620</v>
      </c>
      <c r="E33" s="1692">
        <f t="shared" si="1"/>
        <v>81575</v>
      </c>
      <c r="F33" s="1692">
        <f t="shared" si="1"/>
        <v>201546</v>
      </c>
      <c r="G33" s="1692">
        <f t="shared" si="1"/>
        <v>89324</v>
      </c>
      <c r="H33" s="1692">
        <f t="shared" si="1"/>
        <v>9246</v>
      </c>
      <c r="I33" s="1692">
        <f t="shared" si="1"/>
        <v>0</v>
      </c>
      <c r="J33" s="1692">
        <f t="shared" si="1"/>
        <v>0</v>
      </c>
      <c r="K33" s="1692">
        <f t="shared" si="1"/>
        <v>5002379</v>
      </c>
      <c r="L33" s="1692">
        <f t="shared" si="1"/>
        <v>5497424</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51453</v>
      </c>
      <c r="D36" s="481">
        <v>13009</v>
      </c>
      <c r="E36" s="481"/>
      <c r="F36" s="481">
        <v>668</v>
      </c>
      <c r="G36" s="481"/>
      <c r="H36" s="481"/>
      <c r="I36" s="467"/>
      <c r="J36" s="467"/>
      <c r="K36" s="1693">
        <f t="shared" ref="K36:K41" si="2">SUM(C36:J36)</f>
        <v>65130</v>
      </c>
      <c r="L36" s="466">
        <v>78355</v>
      </c>
    </row>
    <row r="37" spans="1:14" x14ac:dyDescent="0.2">
      <c r="A37" s="1526" t="s">
        <v>1151</v>
      </c>
      <c r="B37" s="615">
        <v>2120</v>
      </c>
      <c r="C37" s="466">
        <v>20335</v>
      </c>
      <c r="D37" s="466"/>
      <c r="E37" s="466"/>
      <c r="F37" s="466"/>
      <c r="G37" s="466"/>
      <c r="H37" s="466"/>
      <c r="I37" s="467"/>
      <c r="J37" s="467"/>
      <c r="K37" s="1693">
        <f t="shared" si="2"/>
        <v>20335</v>
      </c>
      <c r="L37" s="466">
        <v>21000</v>
      </c>
    </row>
    <row r="38" spans="1:14" x14ac:dyDescent="0.2">
      <c r="A38" s="1526" t="s">
        <v>207</v>
      </c>
      <c r="B38" s="615">
        <v>2130</v>
      </c>
      <c r="C38" s="466">
        <v>53336</v>
      </c>
      <c r="D38" s="466">
        <v>3000</v>
      </c>
      <c r="E38" s="466">
        <v>85896</v>
      </c>
      <c r="F38" s="466">
        <v>1942</v>
      </c>
      <c r="G38" s="466"/>
      <c r="H38" s="466"/>
      <c r="I38" s="467"/>
      <c r="J38" s="467"/>
      <c r="K38" s="1693">
        <f t="shared" si="2"/>
        <v>144174</v>
      </c>
      <c r="L38" s="466">
        <v>160250</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v>84825</v>
      </c>
      <c r="D40" s="466">
        <v>19308</v>
      </c>
      <c r="E40" s="466">
        <v>34518</v>
      </c>
      <c r="F40" s="466">
        <v>1530</v>
      </c>
      <c r="G40" s="466"/>
      <c r="H40" s="466"/>
      <c r="I40" s="467"/>
      <c r="J40" s="467"/>
      <c r="K40" s="1693">
        <f t="shared" si="2"/>
        <v>140181</v>
      </c>
      <c r="L40" s="466">
        <v>147625</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209949</v>
      </c>
      <c r="D42" s="1692">
        <f t="shared" ref="D42:L42" si="3">SUM(D36:D41)</f>
        <v>35317</v>
      </c>
      <c r="E42" s="1692">
        <f t="shared" si="3"/>
        <v>120414</v>
      </c>
      <c r="F42" s="1692">
        <f t="shared" si="3"/>
        <v>4140</v>
      </c>
      <c r="G42" s="1692">
        <f t="shared" si="3"/>
        <v>0</v>
      </c>
      <c r="H42" s="1692">
        <f t="shared" si="3"/>
        <v>0</v>
      </c>
      <c r="I42" s="1692">
        <f t="shared" si="3"/>
        <v>0</v>
      </c>
      <c r="J42" s="1692">
        <f t="shared" si="3"/>
        <v>0</v>
      </c>
      <c r="K42" s="1692">
        <f t="shared" si="3"/>
        <v>369820</v>
      </c>
      <c r="L42" s="1692">
        <f t="shared" si="3"/>
        <v>407230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34073</v>
      </c>
      <c r="D44" s="481">
        <v>2697</v>
      </c>
      <c r="E44" s="481">
        <v>18302</v>
      </c>
      <c r="F44" s="481">
        <v>2984</v>
      </c>
      <c r="G44" s="481"/>
      <c r="H44" s="481"/>
      <c r="I44" s="467"/>
      <c r="J44" s="467"/>
      <c r="K44" s="1694">
        <f>SUM(C44:J44)</f>
        <v>58056</v>
      </c>
      <c r="L44" s="481">
        <v>83850</v>
      </c>
    </row>
    <row r="45" spans="1:14" x14ac:dyDescent="0.2">
      <c r="A45" s="1526" t="s">
        <v>869</v>
      </c>
      <c r="B45" s="615">
        <v>2220</v>
      </c>
      <c r="C45" s="466">
        <v>85980</v>
      </c>
      <c r="D45" s="466">
        <v>7314</v>
      </c>
      <c r="E45" s="466">
        <v>2463</v>
      </c>
      <c r="F45" s="466">
        <v>18506</v>
      </c>
      <c r="G45" s="466"/>
      <c r="H45" s="466"/>
      <c r="I45" s="467"/>
      <c r="J45" s="467"/>
      <c r="K45" s="1694">
        <f>SUM(C45:J45)</f>
        <v>114263</v>
      </c>
      <c r="L45" s="466">
        <v>119400</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120053</v>
      </c>
      <c r="D47" s="1692">
        <f t="shared" ref="D47:K47" si="4">SUM(D44:D46)</f>
        <v>10011</v>
      </c>
      <c r="E47" s="1692">
        <f t="shared" si="4"/>
        <v>20765</v>
      </c>
      <c r="F47" s="1692">
        <f t="shared" si="4"/>
        <v>21490</v>
      </c>
      <c r="G47" s="1692">
        <f t="shared" si="4"/>
        <v>0</v>
      </c>
      <c r="H47" s="1692">
        <f t="shared" si="4"/>
        <v>0</v>
      </c>
      <c r="I47" s="1692">
        <f t="shared" si="4"/>
        <v>0</v>
      </c>
      <c r="J47" s="1692">
        <f t="shared" si="4"/>
        <v>0</v>
      </c>
      <c r="K47" s="1692">
        <f t="shared" si="4"/>
        <v>172319</v>
      </c>
      <c r="L47" s="1692">
        <f>SUM(L44:L46)</f>
        <v>203250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23584</v>
      </c>
      <c r="D49" s="481"/>
      <c r="E49" s="481">
        <v>34580</v>
      </c>
      <c r="F49" s="481">
        <v>5446</v>
      </c>
      <c r="G49" s="481">
        <v>733</v>
      </c>
      <c r="H49" s="481"/>
      <c r="I49" s="467"/>
      <c r="J49" s="467"/>
      <c r="K49" s="1694">
        <f>SUM(C49:J49)</f>
        <v>64343</v>
      </c>
      <c r="L49" s="481">
        <v>86750</v>
      </c>
    </row>
    <row r="50" spans="1:14" x14ac:dyDescent="0.2">
      <c r="A50" s="1526" t="s">
        <v>872</v>
      </c>
      <c r="B50" s="615">
        <v>2320</v>
      </c>
      <c r="C50" s="466">
        <v>120279</v>
      </c>
      <c r="D50" s="466">
        <v>36882</v>
      </c>
      <c r="E50" s="466"/>
      <c r="F50" s="466"/>
      <c r="G50" s="466"/>
      <c r="H50" s="466">
        <v>1069</v>
      </c>
      <c r="I50" s="467"/>
      <c r="J50" s="467"/>
      <c r="K50" s="1694">
        <f>SUM(C50:J50)</f>
        <v>158230</v>
      </c>
      <c r="L50" s="466">
        <v>163975</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143863</v>
      </c>
      <c r="D53" s="1692">
        <f t="shared" ref="D53:L53" si="5">SUM(D49:D52)</f>
        <v>36882</v>
      </c>
      <c r="E53" s="1692">
        <f t="shared" si="5"/>
        <v>34580</v>
      </c>
      <c r="F53" s="1692">
        <f t="shared" si="5"/>
        <v>5446</v>
      </c>
      <c r="G53" s="1692">
        <f t="shared" si="5"/>
        <v>733</v>
      </c>
      <c r="H53" s="1692">
        <f t="shared" si="5"/>
        <v>1069</v>
      </c>
      <c r="I53" s="1692">
        <f t="shared" si="5"/>
        <v>0</v>
      </c>
      <c r="J53" s="1692">
        <f t="shared" si="5"/>
        <v>0</v>
      </c>
      <c r="K53" s="1692">
        <f t="shared" si="5"/>
        <v>222573</v>
      </c>
      <c r="L53" s="1692">
        <f t="shared" si="5"/>
        <v>250725</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434477</v>
      </c>
      <c r="D55" s="481">
        <v>95684</v>
      </c>
      <c r="E55" s="481">
        <v>5575</v>
      </c>
      <c r="F55" s="481">
        <v>1931</v>
      </c>
      <c r="G55" s="481"/>
      <c r="H55" s="481">
        <v>717</v>
      </c>
      <c r="I55" s="467"/>
      <c r="J55" s="467"/>
      <c r="K55" s="1694">
        <f>SUM(C55:J55)</f>
        <v>538384</v>
      </c>
      <c r="L55" s="481">
        <v>584700</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434477</v>
      </c>
      <c r="D57" s="1696">
        <f t="shared" ref="D57:K57" si="6">SUM(D55:D56)</f>
        <v>95684</v>
      </c>
      <c r="E57" s="1696">
        <f t="shared" si="6"/>
        <v>5575</v>
      </c>
      <c r="F57" s="1696">
        <f t="shared" si="6"/>
        <v>1931</v>
      </c>
      <c r="G57" s="1696">
        <f t="shared" si="6"/>
        <v>0</v>
      </c>
      <c r="H57" s="1696">
        <f t="shared" si="6"/>
        <v>717</v>
      </c>
      <c r="I57" s="1696">
        <f t="shared" si="6"/>
        <v>0</v>
      </c>
      <c r="J57" s="1696">
        <f t="shared" si="6"/>
        <v>0</v>
      </c>
      <c r="K57" s="1696">
        <f t="shared" si="6"/>
        <v>538384</v>
      </c>
      <c r="L57" s="1692">
        <f>SUM(L55:L56)</f>
        <v>584700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87349</v>
      </c>
      <c r="D59" s="481">
        <v>18417</v>
      </c>
      <c r="E59" s="481"/>
      <c r="F59" s="481"/>
      <c r="G59" s="481"/>
      <c r="H59" s="481"/>
      <c r="I59" s="467"/>
      <c r="J59" s="467"/>
      <c r="K59" s="1694">
        <f t="shared" ref="K59:K64" si="7">SUM(C59:J59)</f>
        <v>105766</v>
      </c>
      <c r="L59" s="481">
        <v>106115</v>
      </c>
      <c r="M59" s="610"/>
      <c r="N59" s="610"/>
    </row>
    <row r="60" spans="1:14" s="343" customFormat="1" x14ac:dyDescent="0.2">
      <c r="A60" s="1526" t="s">
        <v>483</v>
      </c>
      <c r="B60" s="615">
        <v>2520</v>
      </c>
      <c r="C60" s="466"/>
      <c r="D60" s="466"/>
      <c r="E60" s="466"/>
      <c r="F60" s="466"/>
      <c r="G60" s="466"/>
      <c r="H60" s="466"/>
      <c r="I60" s="467"/>
      <c r="J60" s="467"/>
      <c r="K60" s="1694">
        <f t="shared" si="7"/>
        <v>0</v>
      </c>
      <c r="L60" s="466"/>
      <c r="M60" s="610"/>
      <c r="N60" s="610"/>
    </row>
    <row r="61" spans="1:14" s="343" customFormat="1" x14ac:dyDescent="0.2">
      <c r="A61" s="1526" t="s">
        <v>206</v>
      </c>
      <c r="B61" s="615">
        <v>2540</v>
      </c>
      <c r="C61" s="466">
        <v>351701</v>
      </c>
      <c r="D61" s="466">
        <v>33222</v>
      </c>
      <c r="E61" s="466">
        <v>28572</v>
      </c>
      <c r="F61" s="466">
        <v>102</v>
      </c>
      <c r="G61" s="466"/>
      <c r="H61" s="466"/>
      <c r="I61" s="467"/>
      <c r="J61" s="467"/>
      <c r="K61" s="1694">
        <f t="shared" si="7"/>
        <v>413597</v>
      </c>
      <c r="L61" s="466">
        <v>460500</v>
      </c>
      <c r="M61" s="610"/>
      <c r="N61" s="610"/>
    </row>
    <row r="62" spans="1:14" s="343" customFormat="1" x14ac:dyDescent="0.2">
      <c r="A62" s="1526" t="s">
        <v>1010</v>
      </c>
      <c r="B62" s="615">
        <v>2550</v>
      </c>
      <c r="C62" s="466"/>
      <c r="D62" s="466"/>
      <c r="E62" s="466">
        <v>75767</v>
      </c>
      <c r="F62" s="466"/>
      <c r="G62" s="466"/>
      <c r="H62" s="466"/>
      <c r="I62" s="467"/>
      <c r="J62" s="467"/>
      <c r="K62" s="1694">
        <f t="shared" si="7"/>
        <v>75767</v>
      </c>
      <c r="L62" s="466">
        <v>80000</v>
      </c>
      <c r="M62" s="610"/>
      <c r="N62" s="610"/>
    </row>
    <row r="63" spans="1:14" s="610" customFormat="1" x14ac:dyDescent="0.2">
      <c r="A63" s="1526" t="s">
        <v>102</v>
      </c>
      <c r="B63" s="615">
        <v>2560</v>
      </c>
      <c r="C63" s="466">
        <v>203524</v>
      </c>
      <c r="D63" s="466"/>
      <c r="E63" s="466">
        <v>11012</v>
      </c>
      <c r="F63" s="466">
        <v>288542</v>
      </c>
      <c r="G63" s="466">
        <v>10965</v>
      </c>
      <c r="H63" s="466">
        <v>697</v>
      </c>
      <c r="I63" s="467"/>
      <c r="J63" s="467"/>
      <c r="K63" s="1694">
        <f t="shared" si="7"/>
        <v>514740</v>
      </c>
      <c r="L63" s="466">
        <v>528900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642574</v>
      </c>
      <c r="D65" s="1692">
        <f t="shared" ref="D65:L65" si="8">SUM(D59:D64)</f>
        <v>51639</v>
      </c>
      <c r="E65" s="1692">
        <f t="shared" si="8"/>
        <v>115351</v>
      </c>
      <c r="F65" s="1692">
        <f t="shared" si="8"/>
        <v>288644</v>
      </c>
      <c r="G65" s="1692">
        <f t="shared" si="8"/>
        <v>10965</v>
      </c>
      <c r="H65" s="1692">
        <f t="shared" si="8"/>
        <v>697</v>
      </c>
      <c r="I65" s="1692">
        <f t="shared" si="8"/>
        <v>0</v>
      </c>
      <c r="J65" s="1692">
        <f t="shared" si="8"/>
        <v>0</v>
      </c>
      <c r="K65" s="1692">
        <f t="shared" si="8"/>
        <v>1109870</v>
      </c>
      <c r="L65" s="1692">
        <f t="shared" si="8"/>
        <v>1175515</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v>775</v>
      </c>
      <c r="M73" s="610"/>
      <c r="N73" s="610"/>
    </row>
    <row r="74" spans="1:14" ht="12.75" customHeight="1" thickTop="1" thickBot="1" x14ac:dyDescent="0.25">
      <c r="A74" s="1690" t="s">
        <v>865</v>
      </c>
      <c r="B74" s="1698">
        <v>2000</v>
      </c>
      <c r="C74" s="1699">
        <f>SUM(C42,C47,C53,C57,C65,C72,C73)</f>
        <v>1550916</v>
      </c>
      <c r="D74" s="1699">
        <f t="shared" ref="D74:K74" si="10">SUM(D42,D47,D53,D57,D65,D72,D73)</f>
        <v>229533</v>
      </c>
      <c r="E74" s="1699">
        <f t="shared" si="10"/>
        <v>296685</v>
      </c>
      <c r="F74" s="1699">
        <f t="shared" si="10"/>
        <v>321651</v>
      </c>
      <c r="G74" s="1699">
        <f t="shared" si="10"/>
        <v>11698</v>
      </c>
      <c r="H74" s="1699">
        <f t="shared" si="10"/>
        <v>2483</v>
      </c>
      <c r="I74" s="1699">
        <f t="shared" si="10"/>
        <v>0</v>
      </c>
      <c r="J74" s="1699">
        <f t="shared" si="10"/>
        <v>0</v>
      </c>
      <c r="K74" s="1699">
        <f t="shared" si="10"/>
        <v>2412966</v>
      </c>
      <c r="L74" s="1699">
        <f>SUM(L42,L47,L53,L57,L65,L72,L73)</f>
        <v>2622195</v>
      </c>
    </row>
    <row r="75" spans="1:14" s="259" customFormat="1" ht="15.75" customHeight="1" thickTop="1" thickBot="1" x14ac:dyDescent="0.25">
      <c r="A75" s="1632" t="s">
        <v>49</v>
      </c>
      <c r="B75" s="1633" t="s">
        <v>596</v>
      </c>
      <c r="C75" s="573">
        <v>70677</v>
      </c>
      <c r="D75" s="573"/>
      <c r="E75" s="573">
        <v>17918</v>
      </c>
      <c r="F75" s="573">
        <v>5361</v>
      </c>
      <c r="G75" s="573"/>
      <c r="H75" s="573"/>
      <c r="I75" s="531"/>
      <c r="J75" s="531"/>
      <c r="K75" s="1692">
        <f>SUM(C75:J75)</f>
        <v>93956</v>
      </c>
      <c r="L75" s="576">
        <v>121250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c r="I79" s="477"/>
      <c r="J79" s="477"/>
      <c r="K79" s="1693">
        <f t="shared" si="11"/>
        <v>0</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0</v>
      </c>
      <c r="I84" s="477"/>
      <c r="J84" s="477"/>
      <c r="K84" s="1692">
        <f>SUM(K78:K83)</f>
        <v>0</v>
      </c>
      <c r="L84" s="1692">
        <f>SUM(L78:L83)</f>
        <v>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v>458243</v>
      </c>
      <c r="I86" s="477"/>
      <c r="J86" s="477"/>
      <c r="K86" s="1699">
        <f t="shared" ref="K86:K98" si="12">H86</f>
        <v>458243</v>
      </c>
      <c r="L86" s="530">
        <v>505000</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458243</v>
      </c>
      <c r="I92" s="477"/>
      <c r="J92" s="477"/>
      <c r="K92" s="1699">
        <f t="shared" si="12"/>
        <v>458243</v>
      </c>
      <c r="L92" s="1692">
        <f>SUM(L85:L91)</f>
        <v>505000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458243</v>
      </c>
      <c r="I102" s="477"/>
      <c r="J102" s="477"/>
      <c r="K102" s="1699">
        <f>SUM(K84,K92,K100,K101)</f>
        <v>458243</v>
      </c>
      <c r="L102" s="1699">
        <f>SUM(L84,L92,L100,L101)</f>
        <v>505000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5339661</v>
      </c>
      <c r="D114" s="1692">
        <f t="shared" ref="D114:K114" si="13">SUM(D33,D74,D75,D102,D112,D113)</f>
        <v>1132153</v>
      </c>
      <c r="E114" s="1692">
        <f t="shared" si="13"/>
        <v>396178</v>
      </c>
      <c r="F114" s="1692">
        <f t="shared" si="13"/>
        <v>528558</v>
      </c>
      <c r="G114" s="1692">
        <f t="shared" si="13"/>
        <v>101022</v>
      </c>
      <c r="H114" s="1692">
        <f>SUM(H33,H74,H75,H102,H112,H113)</f>
        <v>469972</v>
      </c>
      <c r="I114" s="1692">
        <f t="shared" si="13"/>
        <v>0</v>
      </c>
      <c r="J114" s="1692">
        <f t="shared" si="13"/>
        <v>0</v>
      </c>
      <c r="K114" s="1692">
        <f t="shared" si="13"/>
        <v>7967544</v>
      </c>
      <c r="L114" s="1692">
        <f>SUM(L33,L74,L75,L102,L112,L113)</f>
        <v>8745869</v>
      </c>
    </row>
    <row r="115" spans="1:14" ht="13.5" thickTop="1" x14ac:dyDescent="0.2">
      <c r="A115" s="2174" t="s">
        <v>1053</v>
      </c>
      <c r="B115" s="2175"/>
      <c r="C115" s="619"/>
      <c r="D115" s="619"/>
      <c r="E115" s="619"/>
      <c r="F115" s="619"/>
      <c r="G115" s="619"/>
      <c r="H115" s="619"/>
      <c r="I115" s="619"/>
      <c r="J115" s="619"/>
      <c r="K115" s="1706">
        <f>'Revenues 9-14'!C275-'Expenditures 15-22'!K114</f>
        <v>1540384</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v>310571</v>
      </c>
      <c r="F123" s="466">
        <v>54873</v>
      </c>
      <c r="G123" s="466">
        <v>35821</v>
      </c>
      <c r="H123" s="466"/>
      <c r="I123" s="467"/>
      <c r="J123" s="467"/>
      <c r="K123" s="1692">
        <f>SUM(C123:J123)</f>
        <v>401265</v>
      </c>
      <c r="L123" s="466">
        <v>458000</v>
      </c>
    </row>
    <row r="124" spans="1:14" ht="14.25" thickTop="1" thickBot="1" x14ac:dyDescent="0.25">
      <c r="A124" s="1526" t="s">
        <v>206</v>
      </c>
      <c r="B124" s="615">
        <v>2540</v>
      </c>
      <c r="C124" s="466"/>
      <c r="D124" s="466"/>
      <c r="E124" s="466"/>
      <c r="F124" s="466"/>
      <c r="G124" s="466"/>
      <c r="H124" s="466"/>
      <c r="I124" s="467"/>
      <c r="J124" s="467"/>
      <c r="K124" s="1692">
        <f>SUM(C124:J124)</f>
        <v>0</v>
      </c>
      <c r="L124" s="466"/>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310571</v>
      </c>
      <c r="F127" s="1692">
        <f t="shared" si="14"/>
        <v>54873</v>
      </c>
      <c r="G127" s="1692">
        <f t="shared" si="14"/>
        <v>35821</v>
      </c>
      <c r="H127" s="1692">
        <f t="shared" si="14"/>
        <v>0</v>
      </c>
      <c r="I127" s="1692">
        <f t="shared" si="14"/>
        <v>0</v>
      </c>
      <c r="J127" s="1692">
        <f t="shared" si="14"/>
        <v>0</v>
      </c>
      <c r="K127" s="1692">
        <f t="shared" si="14"/>
        <v>401265</v>
      </c>
      <c r="L127" s="1692">
        <f t="shared" si="14"/>
        <v>458000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310571</v>
      </c>
      <c r="F129" s="1699">
        <f t="shared" si="15"/>
        <v>54873</v>
      </c>
      <c r="G129" s="1699">
        <f t="shared" si="15"/>
        <v>35821</v>
      </c>
      <c r="H129" s="1699">
        <f t="shared" si="15"/>
        <v>0</v>
      </c>
      <c r="I129" s="1699">
        <f t="shared" si="15"/>
        <v>0</v>
      </c>
      <c r="J129" s="1699">
        <f t="shared" si="15"/>
        <v>0</v>
      </c>
      <c r="K129" s="1699">
        <f t="shared" si="15"/>
        <v>401265</v>
      </c>
      <c r="L129" s="1699">
        <f t="shared" si="15"/>
        <v>458000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1954</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1" t="s">
        <v>641</v>
      </c>
      <c r="B151" s="2171"/>
      <c r="C151" s="1692">
        <f>SUM(C129,C130,C139,C149,C150)</f>
        <v>0</v>
      </c>
      <c r="D151" s="1692">
        <f t="shared" ref="D151:K151" si="16">SUM(D129,D130,D139,D149,D150)</f>
        <v>0</v>
      </c>
      <c r="E151" s="1692">
        <f t="shared" si="16"/>
        <v>310571</v>
      </c>
      <c r="F151" s="1692">
        <f t="shared" si="16"/>
        <v>54873</v>
      </c>
      <c r="G151" s="1692">
        <f t="shared" si="16"/>
        <v>35821</v>
      </c>
      <c r="H151" s="1692">
        <f t="shared" si="16"/>
        <v>0</v>
      </c>
      <c r="I151" s="1692">
        <f t="shared" si="16"/>
        <v>0</v>
      </c>
      <c r="J151" s="1692">
        <f t="shared" si="16"/>
        <v>0</v>
      </c>
      <c r="K151" s="1692">
        <f t="shared" si="16"/>
        <v>401265</v>
      </c>
      <c r="L151" s="1692">
        <f>SUM(L129,L130,L139,L149,L150)</f>
        <v>458000</v>
      </c>
    </row>
    <row r="152" spans="1:14" ht="12.75" customHeight="1" thickTop="1" x14ac:dyDescent="0.2">
      <c r="A152" s="2194" t="s">
        <v>1240</v>
      </c>
      <c r="B152" s="2195"/>
      <c r="C152" s="619"/>
      <c r="D152" s="619"/>
      <c r="E152" s="619"/>
      <c r="F152" s="619"/>
      <c r="G152" s="619"/>
      <c r="H152" s="619"/>
      <c r="I152" s="619"/>
      <c r="J152" s="617"/>
      <c r="K152" s="1706">
        <f>'Revenues 9-14'!D275-'Expenditures 15-22'!K151</f>
        <v>130408</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1955</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1954</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1956</v>
      </c>
      <c r="C158" s="617"/>
      <c r="D158" s="617"/>
      <c r="E158" s="617"/>
      <c r="F158" s="617"/>
      <c r="G158" s="617"/>
      <c r="H158" s="467"/>
      <c r="I158" s="617"/>
      <c r="J158" s="617"/>
      <c r="K158" s="1693">
        <f>H158</f>
        <v>0</v>
      </c>
      <c r="L158" s="467"/>
      <c r="M158" s="620"/>
      <c r="N158" s="620"/>
    </row>
    <row r="159" spans="1:14" s="621" customFormat="1" ht="12" x14ac:dyDescent="0.2">
      <c r="A159" s="1849" t="s">
        <v>1957</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1958</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v>1087</v>
      </c>
      <c r="I166" s="617"/>
      <c r="J166" s="617"/>
      <c r="K166" s="1693">
        <f>SUM(C166:J166)</f>
        <v>1087</v>
      </c>
      <c r="L166" s="466">
        <v>1100</v>
      </c>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1087</v>
      </c>
      <c r="I168" s="617"/>
      <c r="J168" s="617"/>
      <c r="K168" s="1692">
        <f>SUM(K163:K167)</f>
        <v>1087</v>
      </c>
      <c r="L168" s="1692">
        <f>SUM(L163:L167)</f>
        <v>1100</v>
      </c>
    </row>
    <row r="169" spans="1:14" ht="15.75" customHeight="1" thickTop="1" x14ac:dyDescent="0.2">
      <c r="A169" s="670" t="s">
        <v>85</v>
      </c>
      <c r="B169" s="671" t="s">
        <v>38</v>
      </c>
      <c r="C169" s="617"/>
      <c r="D169" s="617"/>
      <c r="E169" s="617"/>
      <c r="F169" s="617"/>
      <c r="G169" s="617"/>
      <c r="H169" s="657">
        <v>2327054</v>
      </c>
      <c r="I169" s="617"/>
      <c r="J169" s="617"/>
      <c r="K169" s="1693">
        <f>SUM(C169:H169)</f>
        <v>2327054</v>
      </c>
      <c r="L169" s="657">
        <v>2333000</v>
      </c>
    </row>
    <row r="170" spans="1:14" ht="33.75" customHeight="1" x14ac:dyDescent="0.2">
      <c r="A170" s="670" t="s">
        <v>1769</v>
      </c>
      <c r="B170" s="672" t="s">
        <v>31</v>
      </c>
      <c r="C170" s="617"/>
      <c r="D170" s="617"/>
      <c r="E170" s="617"/>
      <c r="F170" s="617"/>
      <c r="G170" s="617"/>
      <c r="H170" s="569"/>
      <c r="I170" s="617"/>
      <c r="J170" s="617"/>
      <c r="K170" s="1693">
        <f>SUM(C170:J170)</f>
        <v>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2328141</v>
      </c>
      <c r="I172" s="639"/>
      <c r="J172" s="617"/>
      <c r="K172" s="1699">
        <f>SUM(K168,K169,K170,K171)</f>
        <v>2328141</v>
      </c>
      <c r="L172" s="1699">
        <f>SUM(L168,L169,L170,L171)</f>
        <v>2334100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2328141</v>
      </c>
      <c r="I174" s="639"/>
      <c r="J174" s="617"/>
      <c r="K174" s="1699">
        <f>SUM(K160,K172,K173)</f>
        <v>2328141</v>
      </c>
      <c r="L174" s="1699">
        <f>SUM(L160,L172,L173)</f>
        <v>2334100</v>
      </c>
    </row>
    <row r="175" spans="1:14" ht="13.5" thickTop="1" x14ac:dyDescent="0.2">
      <c r="A175" s="2174" t="s">
        <v>1053</v>
      </c>
      <c r="B175" s="2175"/>
      <c r="C175" s="617"/>
      <c r="D175" s="617"/>
      <c r="E175" s="617"/>
      <c r="F175" s="617"/>
      <c r="G175" s="617"/>
      <c r="H175" s="619"/>
      <c r="I175" s="617"/>
      <c r="J175" s="617"/>
      <c r="K175" s="1706">
        <f>'Revenues 9-14'!E275-'Expenditures 15-22'!K174</f>
        <v>334585</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35579</v>
      </c>
      <c r="D182" s="466">
        <v>578</v>
      </c>
      <c r="E182" s="466">
        <v>449640</v>
      </c>
      <c r="F182" s="466"/>
      <c r="G182" s="466"/>
      <c r="H182" s="466"/>
      <c r="I182" s="467"/>
      <c r="J182" s="467"/>
      <c r="K182" s="1693">
        <f>SUM(C182:J182)</f>
        <v>485797</v>
      </c>
      <c r="L182" s="466">
        <v>524100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35579</v>
      </c>
      <c r="D184" s="1699">
        <f t="shared" ref="D184:J184" si="17">SUM(D180,D182,D183)</f>
        <v>578</v>
      </c>
      <c r="E184" s="1699">
        <f t="shared" si="17"/>
        <v>449640</v>
      </c>
      <c r="F184" s="1699">
        <f t="shared" si="17"/>
        <v>0</v>
      </c>
      <c r="G184" s="1699">
        <f t="shared" si="17"/>
        <v>0</v>
      </c>
      <c r="H184" s="1699">
        <f t="shared" si="17"/>
        <v>0</v>
      </c>
      <c r="I184" s="1699">
        <f t="shared" si="17"/>
        <v>0</v>
      </c>
      <c r="J184" s="1699">
        <f t="shared" si="17"/>
        <v>0</v>
      </c>
      <c r="K184" s="1699">
        <f>SUM(K180,K182,K183)</f>
        <v>485797</v>
      </c>
      <c r="L184" s="1699">
        <f>SUM(L180, L182:L183)</f>
        <v>524100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35579</v>
      </c>
      <c r="D210" s="1692">
        <f>SUM(D184,D185)</f>
        <v>578</v>
      </c>
      <c r="E210" s="1692">
        <f>SUM(E184,E185,E196)</f>
        <v>449640</v>
      </c>
      <c r="F210" s="1692">
        <f>SUM(F184,F185)</f>
        <v>0</v>
      </c>
      <c r="G210" s="1692">
        <f>SUM(G184,G185)</f>
        <v>0</v>
      </c>
      <c r="H210" s="1692">
        <f>SUM(H184,H185,H196,H208,H209)</f>
        <v>0</v>
      </c>
      <c r="I210" s="1692">
        <f>SUM(I184,I185)</f>
        <v>0</v>
      </c>
      <c r="J210" s="1692">
        <f>SUM(J184,J185)</f>
        <v>0</v>
      </c>
      <c r="K210" s="1693">
        <f>SUM(K184,K185,K196,K208,K209)</f>
        <v>485797</v>
      </c>
      <c r="L210" s="1692">
        <f>SUM(L184,L185,L196,L208,L209)</f>
        <v>524100</v>
      </c>
    </row>
    <row r="211" spans="1:14" ht="13.5" thickTop="1" x14ac:dyDescent="0.2">
      <c r="A211" s="2174" t="s">
        <v>1053</v>
      </c>
      <c r="B211" s="2175"/>
      <c r="C211" s="619"/>
      <c r="D211" s="619"/>
      <c r="E211" s="619"/>
      <c r="F211" s="619"/>
      <c r="G211" s="619"/>
      <c r="H211" s="619"/>
      <c r="I211" s="617"/>
      <c r="J211" s="617"/>
      <c r="K211" s="1706">
        <f>'Revenues 9-14'!F275-'Expenditures 15-22'!K210</f>
        <v>60546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61330</v>
      </c>
      <c r="E215" s="617"/>
      <c r="F215" s="617"/>
      <c r="G215" s="617"/>
      <c r="H215" s="617"/>
      <c r="I215" s="617"/>
      <c r="J215" s="617"/>
      <c r="K215" s="1693">
        <f>D215</f>
        <v>61330</v>
      </c>
      <c r="L215" s="466">
        <v>80800</v>
      </c>
    </row>
    <row r="216" spans="1:14" x14ac:dyDescent="0.2">
      <c r="A216" s="1526" t="s">
        <v>165</v>
      </c>
      <c r="B216" s="615" t="s">
        <v>1024</v>
      </c>
      <c r="C216" s="617"/>
      <c r="D216" s="467">
        <v>8615</v>
      </c>
      <c r="E216" s="617"/>
      <c r="F216" s="617"/>
      <c r="G216" s="617"/>
      <c r="H216" s="617"/>
      <c r="I216" s="617"/>
      <c r="J216" s="617"/>
      <c r="K216" s="1693">
        <f t="shared" ref="K216:K228" si="19">D216</f>
        <v>8615</v>
      </c>
      <c r="L216" s="466">
        <v>9500</v>
      </c>
    </row>
    <row r="217" spans="1:14" x14ac:dyDescent="0.2">
      <c r="A217" s="1526" t="s">
        <v>166</v>
      </c>
      <c r="B217" s="615">
        <v>1200</v>
      </c>
      <c r="C217" s="617"/>
      <c r="D217" s="466">
        <v>54651</v>
      </c>
      <c r="E217" s="617"/>
      <c r="F217" s="617"/>
      <c r="G217" s="617"/>
      <c r="H217" s="617"/>
      <c r="I217" s="617"/>
      <c r="J217" s="617"/>
      <c r="K217" s="1693">
        <f t="shared" si="19"/>
        <v>54651</v>
      </c>
      <c r="L217" s="466">
        <v>64200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c r="E223" s="617"/>
      <c r="F223" s="617"/>
      <c r="G223" s="617"/>
      <c r="H223" s="617"/>
      <c r="I223" s="617"/>
      <c r="J223" s="617"/>
      <c r="K223" s="1693">
        <f t="shared" si="19"/>
        <v>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124596</v>
      </c>
      <c r="E229" s="617"/>
      <c r="F229" s="617"/>
      <c r="G229" s="617"/>
      <c r="H229" s="617"/>
      <c r="I229" s="617"/>
      <c r="J229" s="617"/>
      <c r="K229" s="1692">
        <f>SUM(K215:K228)</f>
        <v>124596</v>
      </c>
      <c r="L229" s="1692">
        <f>SUM(L215:L228)</f>
        <v>154500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729</v>
      </c>
      <c r="E232" s="617"/>
      <c r="F232" s="617"/>
      <c r="G232" s="617"/>
      <c r="H232" s="617"/>
      <c r="I232" s="617"/>
      <c r="J232" s="617"/>
      <c r="K232" s="1693">
        <f t="shared" ref="K232:K237" si="20">D232</f>
        <v>729</v>
      </c>
      <c r="L232" s="466">
        <v>1500</v>
      </c>
    </row>
    <row r="233" spans="1:12" x14ac:dyDescent="0.2">
      <c r="A233" s="1526" t="s">
        <v>1151</v>
      </c>
      <c r="B233" s="615">
        <v>2120</v>
      </c>
      <c r="C233" s="617"/>
      <c r="D233" s="466">
        <v>3557</v>
      </c>
      <c r="E233" s="617"/>
      <c r="F233" s="617"/>
      <c r="G233" s="617"/>
      <c r="H233" s="617"/>
      <c r="I233" s="617"/>
      <c r="J233" s="617"/>
      <c r="K233" s="1693">
        <f t="shared" si="20"/>
        <v>3557</v>
      </c>
      <c r="L233" s="466">
        <v>3700</v>
      </c>
    </row>
    <row r="234" spans="1:12" x14ac:dyDescent="0.2">
      <c r="A234" s="1526" t="s">
        <v>207</v>
      </c>
      <c r="B234" s="615">
        <v>2130</v>
      </c>
      <c r="C234" s="617"/>
      <c r="D234" s="466">
        <v>8226</v>
      </c>
      <c r="E234" s="617"/>
      <c r="F234" s="617"/>
      <c r="G234" s="617"/>
      <c r="H234" s="617"/>
      <c r="I234" s="617"/>
      <c r="J234" s="617"/>
      <c r="K234" s="1693">
        <f t="shared" si="20"/>
        <v>8226</v>
      </c>
      <c r="L234" s="466">
        <v>10700</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v>1226</v>
      </c>
      <c r="E236" s="617"/>
      <c r="F236" s="617"/>
      <c r="G236" s="617"/>
      <c r="H236" s="617"/>
      <c r="I236" s="617"/>
      <c r="J236" s="617"/>
      <c r="K236" s="1693">
        <f t="shared" si="20"/>
        <v>1226</v>
      </c>
      <c r="L236" s="466">
        <v>1800</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13738</v>
      </c>
      <c r="E238" s="617"/>
      <c r="F238" s="617"/>
      <c r="G238" s="617"/>
      <c r="H238" s="617"/>
      <c r="I238" s="617"/>
      <c r="J238" s="617"/>
      <c r="K238" s="1692">
        <f>SUM(K232:K237)</f>
        <v>13738</v>
      </c>
      <c r="L238" s="1692">
        <f>SUM(L232:L237)</f>
        <v>17700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448</v>
      </c>
      <c r="E240" s="617"/>
      <c r="F240" s="617"/>
      <c r="G240" s="617"/>
      <c r="H240" s="617"/>
      <c r="I240" s="617"/>
      <c r="J240" s="617"/>
      <c r="K240" s="1694">
        <f>D240</f>
        <v>448</v>
      </c>
      <c r="L240" s="481">
        <v>1200</v>
      </c>
    </row>
    <row r="241" spans="1:12" x14ac:dyDescent="0.2">
      <c r="A241" s="1526" t="s">
        <v>869</v>
      </c>
      <c r="B241" s="615">
        <v>2220</v>
      </c>
      <c r="C241" s="617"/>
      <c r="D241" s="466">
        <v>5226</v>
      </c>
      <c r="E241" s="617"/>
      <c r="F241" s="617"/>
      <c r="G241" s="617"/>
      <c r="H241" s="617"/>
      <c r="I241" s="617"/>
      <c r="J241" s="617"/>
      <c r="K241" s="1694">
        <f>D241</f>
        <v>5226</v>
      </c>
      <c r="L241" s="466">
        <v>7700</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5674</v>
      </c>
      <c r="E243" s="617"/>
      <c r="F243" s="617"/>
      <c r="G243" s="617"/>
      <c r="H243" s="617"/>
      <c r="I243" s="617"/>
      <c r="J243" s="617"/>
      <c r="K243" s="1692">
        <f>SUM(K240:K242)</f>
        <v>5674</v>
      </c>
      <c r="L243" s="1692">
        <f>SUM(L240:L242)</f>
        <v>8900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3367</v>
      </c>
      <c r="E245" s="617"/>
      <c r="F245" s="617"/>
      <c r="G245" s="617"/>
      <c r="H245" s="617"/>
      <c r="I245" s="617"/>
      <c r="J245" s="617"/>
      <c r="K245" s="1694">
        <f>D245</f>
        <v>3367</v>
      </c>
      <c r="L245" s="481">
        <v>4350</v>
      </c>
    </row>
    <row r="246" spans="1:12" x14ac:dyDescent="0.2">
      <c r="A246" s="1526" t="s">
        <v>872</v>
      </c>
      <c r="B246" s="615">
        <v>2320</v>
      </c>
      <c r="C246" s="617"/>
      <c r="D246" s="466">
        <v>1772</v>
      </c>
      <c r="E246" s="617"/>
      <c r="F246" s="617"/>
      <c r="G246" s="617"/>
      <c r="H246" s="617"/>
      <c r="I246" s="617"/>
      <c r="J246" s="617"/>
      <c r="K246" s="1694">
        <f t="shared" ref="K246:K256" si="21">D246</f>
        <v>1772</v>
      </c>
      <c r="L246" s="466">
        <v>2100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1905</v>
      </c>
      <c r="B249" s="684" t="s">
        <v>300</v>
      </c>
      <c r="C249" s="617"/>
      <c r="D249" s="474"/>
      <c r="E249" s="617"/>
      <c r="F249" s="617"/>
      <c r="G249" s="617"/>
      <c r="H249" s="617"/>
      <c r="I249" s="617"/>
      <c r="J249" s="617"/>
      <c r="K249" s="1694">
        <f t="shared" si="21"/>
        <v>0</v>
      </c>
      <c r="L249" s="466"/>
    </row>
    <row r="250" spans="1:12" x14ac:dyDescent="0.2">
      <c r="A250" s="1527" t="s">
        <v>1906</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v>1266</v>
      </c>
      <c r="E254" s="617"/>
      <c r="F254" s="617"/>
      <c r="G254" s="617"/>
      <c r="H254" s="617"/>
      <c r="I254" s="617"/>
      <c r="J254" s="617"/>
      <c r="K254" s="1694">
        <f t="shared" si="21"/>
        <v>1266</v>
      </c>
      <c r="L254" s="466">
        <v>2100</v>
      </c>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6405</v>
      </c>
      <c r="E257" s="617"/>
      <c r="F257" s="617"/>
      <c r="G257" s="617"/>
      <c r="H257" s="617"/>
      <c r="I257" s="617"/>
      <c r="J257" s="617"/>
      <c r="K257" s="1692">
        <f>SUM(K245:K256)</f>
        <v>6405</v>
      </c>
      <c r="L257" s="1692">
        <f>SUM(L245:L256)</f>
        <v>8550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31665</v>
      </c>
      <c r="E259" s="617"/>
      <c r="F259" s="617"/>
      <c r="G259" s="617"/>
      <c r="H259" s="617"/>
      <c r="I259" s="617"/>
      <c r="J259" s="617"/>
      <c r="K259" s="1694">
        <f>D259</f>
        <v>31665</v>
      </c>
      <c r="L259" s="481">
        <v>41000</v>
      </c>
    </row>
    <row r="260" spans="1:14" s="598" customFormat="1" x14ac:dyDescent="0.2">
      <c r="A260" s="1544" t="s">
        <v>1904</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31665</v>
      </c>
      <c r="E261" s="617"/>
      <c r="F261" s="617"/>
      <c r="G261" s="617"/>
      <c r="H261" s="617"/>
      <c r="I261" s="617"/>
      <c r="J261" s="617"/>
      <c r="K261" s="1692">
        <f>SUM(K259:K260)</f>
        <v>31665</v>
      </c>
      <c r="L261" s="1692">
        <f>SUM(L259:L260)</f>
        <v>41000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1135</v>
      </c>
      <c r="E263" s="617"/>
      <c r="F263" s="617"/>
      <c r="G263" s="617"/>
      <c r="H263" s="617"/>
      <c r="I263" s="617"/>
      <c r="J263" s="617"/>
      <c r="K263" s="1694">
        <f>D263</f>
        <v>1135</v>
      </c>
      <c r="L263" s="481">
        <v>1400</v>
      </c>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58239</v>
      </c>
      <c r="E266" s="617"/>
      <c r="F266" s="617"/>
      <c r="G266" s="617"/>
      <c r="H266" s="617"/>
      <c r="I266" s="617"/>
      <c r="J266" s="617"/>
      <c r="K266" s="1694">
        <f t="shared" si="22"/>
        <v>58239</v>
      </c>
      <c r="L266" s="466">
        <v>75000</v>
      </c>
    </row>
    <row r="267" spans="1:14" x14ac:dyDescent="0.2">
      <c r="A267" s="1526" t="s">
        <v>1010</v>
      </c>
      <c r="B267" s="615">
        <v>2550</v>
      </c>
      <c r="C267" s="617"/>
      <c r="D267" s="466">
        <v>5738</v>
      </c>
      <c r="E267" s="617"/>
      <c r="F267" s="617"/>
      <c r="G267" s="617"/>
      <c r="H267" s="617"/>
      <c r="I267" s="617"/>
      <c r="J267" s="617"/>
      <c r="K267" s="1694">
        <f t="shared" si="22"/>
        <v>5738</v>
      </c>
      <c r="L267" s="466">
        <v>6600</v>
      </c>
    </row>
    <row r="268" spans="1:14" x14ac:dyDescent="0.2">
      <c r="A268" s="1526" t="s">
        <v>102</v>
      </c>
      <c r="B268" s="615">
        <v>2560</v>
      </c>
      <c r="C268" s="617"/>
      <c r="D268" s="466">
        <v>31143</v>
      </c>
      <c r="E268" s="617"/>
      <c r="F268" s="617"/>
      <c r="G268" s="617"/>
      <c r="H268" s="617"/>
      <c r="I268" s="617"/>
      <c r="J268" s="617"/>
      <c r="K268" s="1694">
        <f t="shared" si="22"/>
        <v>31143</v>
      </c>
      <c r="L268" s="466">
        <v>39500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96255</v>
      </c>
      <c r="E270" s="617"/>
      <c r="F270" s="617"/>
      <c r="G270" s="617"/>
      <c r="H270" s="617"/>
      <c r="I270" s="617"/>
      <c r="J270" s="617"/>
      <c r="K270" s="1692">
        <f>SUM(K263:K269)</f>
        <v>96255</v>
      </c>
      <c r="L270" s="1692">
        <f>SUM(L263:L269)</f>
        <v>122500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153737</v>
      </c>
      <c r="E279" s="617"/>
      <c r="F279" s="617"/>
      <c r="G279" s="617"/>
      <c r="H279" s="617"/>
      <c r="I279" s="617"/>
      <c r="J279" s="617"/>
      <c r="K279" s="1699">
        <f>SUM(K238,K243,K257,K261,K270,K277,K278)</f>
        <v>153737</v>
      </c>
      <c r="L279" s="1699">
        <f>SUM(L238,L243,L257,L261,L270,L277,L278)</f>
        <v>198650</v>
      </c>
    </row>
    <row r="280" spans="1:12" ht="15.75" customHeight="1" thickTop="1" thickBot="1" x14ac:dyDescent="0.25">
      <c r="A280" s="1646" t="s">
        <v>930</v>
      </c>
      <c r="B280" s="1635">
        <v>3000</v>
      </c>
      <c r="C280" s="617"/>
      <c r="D280" s="576">
        <v>9905</v>
      </c>
      <c r="E280" s="617"/>
      <c r="F280" s="617"/>
      <c r="G280" s="617"/>
      <c r="H280" s="617"/>
      <c r="I280" s="617"/>
      <c r="J280" s="617"/>
      <c r="K280" s="1701">
        <f>D280</f>
        <v>9905</v>
      </c>
      <c r="L280" s="576">
        <v>12200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1954</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2" t="s">
        <v>526</v>
      </c>
      <c r="B295" s="2193"/>
      <c r="C295" s="617"/>
      <c r="D295" s="1692">
        <f>SUM(D229,D279,D280,D285)</f>
        <v>288238</v>
      </c>
      <c r="E295" s="617"/>
      <c r="F295" s="617"/>
      <c r="G295" s="617"/>
      <c r="H295" s="1692">
        <f>H293</f>
        <v>0</v>
      </c>
      <c r="I295" s="617"/>
      <c r="J295" s="617"/>
      <c r="K295" s="1692">
        <f>SUM(K229,K279,K280,K285,K293,K294)</f>
        <v>288238</v>
      </c>
      <c r="L295" s="1692">
        <f>SUM(L229,L279,L280,L285,L293,L294)</f>
        <v>365350</v>
      </c>
    </row>
    <row r="296" spans="1:14" ht="13.5" thickTop="1" x14ac:dyDescent="0.2">
      <c r="A296" s="2174" t="s">
        <v>1053</v>
      </c>
      <c r="B296" s="2175"/>
      <c r="C296" s="617"/>
      <c r="D296" s="619"/>
      <c r="E296" s="617"/>
      <c r="F296" s="617"/>
      <c r="G296" s="617"/>
      <c r="H296" s="688"/>
      <c r="I296" s="617"/>
      <c r="J296" s="617"/>
      <c r="K296" s="1706">
        <f>'Revenues 9-14'!G275-'Expenditures 15-22'!K295</f>
        <v>131961</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1959</v>
      </c>
      <c r="B306" s="691" t="s">
        <v>1954</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9" t="s">
        <v>295</v>
      </c>
      <c r="B312" s="2190"/>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5" t="s">
        <v>1053</v>
      </c>
      <c r="B313" s="2186"/>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1905</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v>105075</v>
      </c>
      <c r="F322" s="467"/>
      <c r="G322" s="467"/>
      <c r="H322" s="467"/>
      <c r="I322" s="467"/>
      <c r="J322" s="467"/>
      <c r="K322" s="1693">
        <f t="shared" si="24"/>
        <v>105075</v>
      </c>
      <c r="L322" s="467">
        <v>150000</v>
      </c>
      <c r="M322" s="666"/>
      <c r="N322" s="666"/>
    </row>
    <row r="323" spans="1:14" s="675" customFormat="1" x14ac:dyDescent="0.2">
      <c r="A323" s="1541" t="s">
        <v>726</v>
      </c>
      <c r="B323" s="698" t="s">
        <v>303</v>
      </c>
      <c r="C323" s="467"/>
      <c r="D323" s="467"/>
      <c r="E323" s="467">
        <v>8791</v>
      </c>
      <c r="F323" s="467"/>
      <c r="G323" s="467"/>
      <c r="H323" s="467"/>
      <c r="I323" s="467"/>
      <c r="J323" s="467"/>
      <c r="K323" s="1693">
        <f t="shared" si="24"/>
        <v>8791</v>
      </c>
      <c r="L323" s="467">
        <v>11500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21902</v>
      </c>
      <c r="D325" s="467">
        <v>5630</v>
      </c>
      <c r="E325" s="467">
        <v>500</v>
      </c>
      <c r="F325" s="467"/>
      <c r="G325" s="467"/>
      <c r="H325" s="467"/>
      <c r="I325" s="467"/>
      <c r="J325" s="467"/>
      <c r="K325" s="1693">
        <f t="shared" si="24"/>
        <v>28032</v>
      </c>
      <c r="L325" s="467">
        <v>38200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v>2000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21902</v>
      </c>
      <c r="D330" s="1692">
        <f t="shared" ref="D330:J330" si="25">SUM(D319:D329)</f>
        <v>5630</v>
      </c>
      <c r="E330" s="1692">
        <f t="shared" si="25"/>
        <v>114366</v>
      </c>
      <c r="F330" s="1692">
        <f t="shared" si="25"/>
        <v>0</v>
      </c>
      <c r="G330" s="1692">
        <f t="shared" si="25"/>
        <v>0</v>
      </c>
      <c r="H330" s="1692">
        <f t="shared" si="25"/>
        <v>0</v>
      </c>
      <c r="I330" s="1692">
        <f t="shared" si="25"/>
        <v>0</v>
      </c>
      <c r="J330" s="1692">
        <f t="shared" si="25"/>
        <v>0</v>
      </c>
      <c r="K330" s="1692">
        <f>SUM(K319:K329)</f>
        <v>141898</v>
      </c>
      <c r="L330" s="1692">
        <f>SUM(L319:L329)</f>
        <v>201700</v>
      </c>
      <c r="M330" s="666"/>
      <c r="N330" s="666"/>
    </row>
    <row r="331" spans="1:14" s="675" customFormat="1" ht="12.75" customHeight="1" thickTop="1" x14ac:dyDescent="0.2">
      <c r="A331" s="1854" t="s">
        <v>1960</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1954</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1956</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1961</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21902</v>
      </c>
      <c r="D342" s="1692">
        <f>SUM(D330)</f>
        <v>5630</v>
      </c>
      <c r="E342" s="1692">
        <f>SUM(E330)</f>
        <v>114366</v>
      </c>
      <c r="F342" s="1692">
        <f>SUM(F330)</f>
        <v>0</v>
      </c>
      <c r="G342" s="1692">
        <f>SUM(G330)</f>
        <v>0</v>
      </c>
      <c r="H342" s="1692">
        <f>SUM(H330,H334,H340)</f>
        <v>0</v>
      </c>
      <c r="I342" s="1692">
        <f>SUM(I330)</f>
        <v>0</v>
      </c>
      <c r="J342" s="1692">
        <f>SUM(J330)</f>
        <v>0</v>
      </c>
      <c r="K342" s="1692">
        <f>SUM(K330,K334,K340)</f>
        <v>141898</v>
      </c>
      <c r="L342" s="1699">
        <f>SUM(L330,L340,L341)</f>
        <v>201700</v>
      </c>
    </row>
    <row r="343" spans="1:14" ht="12.75" customHeight="1" thickTop="1" x14ac:dyDescent="0.2">
      <c r="A343" s="2187" t="s">
        <v>1053</v>
      </c>
      <c r="B343" s="2188"/>
      <c r="C343" s="617"/>
      <c r="D343" s="617"/>
      <c r="E343" s="617"/>
      <c r="F343" s="617"/>
      <c r="G343" s="617"/>
      <c r="H343" s="617"/>
      <c r="I343" s="617"/>
      <c r="J343" s="617"/>
      <c r="K343" s="1706">
        <f>'Revenues 9-14'!J275-'Expenditures 15-22'!K342</f>
        <v>126529</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v>55000</v>
      </c>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55000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55000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1962</v>
      </c>
      <c r="B354" s="684" t="s">
        <v>1954</v>
      </c>
      <c r="C354" s="617"/>
      <c r="D354" s="617"/>
      <c r="E354" s="617"/>
      <c r="F354" s="617"/>
      <c r="G354" s="617"/>
      <c r="H354" s="474"/>
      <c r="I354" s="702"/>
      <c r="J354" s="617"/>
      <c r="K354" s="1721">
        <f>H354</f>
        <v>0</v>
      </c>
      <c r="L354" s="471"/>
    </row>
    <row r="355" spans="1:14" ht="12.75" customHeight="1" x14ac:dyDescent="0.2">
      <c r="A355" s="1535" t="s">
        <v>1963</v>
      </c>
      <c r="B355" s="691" t="s">
        <v>1956</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55000</v>
      </c>
    </row>
    <row r="368" spans="1:14" ht="13.5" thickTop="1" x14ac:dyDescent="0.2">
      <c r="A368" s="2174" t="s">
        <v>1053</v>
      </c>
      <c r="B368" s="2175"/>
      <c r="C368" s="655"/>
      <c r="D368" s="655"/>
      <c r="E368" s="627"/>
      <c r="F368" s="627"/>
      <c r="G368" s="627"/>
      <c r="H368" s="627"/>
      <c r="I368" s="627"/>
      <c r="J368" s="624"/>
      <c r="K368" s="1693">
        <f>'Revenues 9-14'!K275-'Expenditures 15-22'!K367</f>
        <v>3570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horizontalCentered="1" gridLinesSet="0"/>
  <pageMargins left="0.75" right="0.75" top="1.1499999999999999" bottom="0.5" header="0.5" footer="0.5"/>
  <pageSetup scale="60" firstPageNumber="15" fitToHeight="0" orientation="landscape" r:id="rId1"/>
  <headerFooter>
    <oddHeader>&amp;C&amp;"Times New Roman,Regular"BELLE VALLEY SCHOOL DISTRICT NO. 119
STATEMENT OF DISBURSEMENTS - CASH - REGULATORY BASIS
(ACTUAL AND BUDGET)
ALL FUNDS
FOR THE YEAR ENDED JUNE 30, 2018</oddHeader>
    <oddFooter>&amp;C&amp;"Times New Roman,Regular"See Notes to Financial Statements and Independent Auditor's Reports
&amp;P</oddFooter>
  </headerFooter>
  <rowBreaks count="6" manualBreakCount="6">
    <brk id="53" max="16383" man="1"/>
    <brk id="107" max="16383" man="1"/>
    <brk id="160" max="16383" man="1"/>
    <brk id="208" max="16383" man="1"/>
    <brk id="261" max="16383" man="1"/>
    <brk id="316"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purl.org/dc/terms/"/>
    <ds:schemaRef ds:uri="http://purl.org/dc/dcmitype/"/>
    <ds:schemaRef ds:uri="4d435f69-8686-490b-bd6d-b153bf22ab50"/>
    <ds:schemaRef ds:uri="http://purl.org/dc/elements/1.1/"/>
    <ds:schemaRef ds:uri="http://schemas.microsoft.com/office/infopath/2007/PartnerControls"/>
    <ds:schemaRef ds:uri="http://schemas.microsoft.com/office/2006/documentManagement/types"/>
    <ds:schemaRef ds:uri="http://schemas.openxmlformats.org/package/2006/metadata/core-properties"/>
    <ds:schemaRef ds:uri="d21dc803-237d-4c68-8692-8d731fd29118"/>
    <ds:schemaRef ds:uri="http://schemas.microsoft.com/sharepoint/v3"/>
    <ds:schemaRef ds:uri="6ce3111e-7420-4802-b50a-75d4e9a0b980"/>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24</vt:i4>
      </vt:variant>
    </vt:vector>
  </HeadingPairs>
  <TitlesOfParts>
    <vt:vector size="6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 SEFA (4)</vt:lpstr>
      <vt:lpstr>SF&amp;QC Sec-1</vt:lpstr>
      <vt:lpstr>SF&amp;QC Sec-2</vt:lpstr>
      <vt:lpstr>SF&amp;QC Sec-3</vt:lpstr>
      <vt:lpstr>SSPAF</vt:lpstr>
      <vt:lpstr>' SEFA'!Print_Area</vt:lpstr>
      <vt:lpstr>' SEFA (2)'!Print_Area</vt:lpstr>
      <vt:lpstr>' SEFA (3)'!Print_Area</vt:lpstr>
      <vt:lpstr>' SEFA (4)'!Print_Area</vt:lpstr>
      <vt:lpstr>'Aud Quest 2'!Print_Area</vt:lpstr>
      <vt:lpstr>'ICR Computation 30'!Print_Area</vt:lpstr>
      <vt:lpstr>'Itemization 33'!Print_Area</vt:lpstr>
      <vt:lpstr>'PCTC-OEPP 27-28'!Print_Area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2018-08-22T13:57:31Z</cp:lastPrinted>
  <dcterms:created xsi:type="dcterms:W3CDTF">2003-10-29T19:06:34Z</dcterms:created>
  <dcterms:modified xsi:type="dcterms:W3CDTF">2018-09-18T19:08:16Z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