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28800" windowHeight="1242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8" i="170"/>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44" i="170"/>
  <c r="C36" i="170"/>
  <c r="C39" i="170" s="1"/>
  <c r="C15" i="170"/>
  <c r="C18" i="170" s="1"/>
  <c r="C21" i="170" s="1"/>
  <c r="C24" i="170" s="1"/>
  <c r="C28" i="170" s="1"/>
  <c r="C13" i="170"/>
  <c r="A2" i="170" l="1"/>
  <c r="B2" i="177"/>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K23" i="12"/>
  <c r="K24" i="12" s="1"/>
  <c r="J12" i="12"/>
  <c r="J21" i="12"/>
  <c r="J23" i="12"/>
  <c r="B7729" i="106"/>
  <c r="D7729" i="106" s="1"/>
  <c r="B7734" i="106"/>
  <c r="B7726" i="106"/>
  <c r="D76" i="36"/>
  <c r="F162" i="34"/>
  <c r="B30" i="36"/>
  <c r="B33" i="36" s="1"/>
  <c r="B43" i="36" s="1"/>
  <c r="B56" i="36" s="1"/>
  <c r="B66" i="36" s="1"/>
  <c r="B70" i="36" s="1"/>
  <c r="B74" i="36" s="1"/>
  <c r="D73" i="36"/>
  <c r="C191" i="5"/>
  <c r="C201" i="5"/>
  <c r="B5246" i="106" s="1"/>
  <c r="D5246" i="106" s="1"/>
  <c r="C211" i="5"/>
  <c r="C216" i="5"/>
  <c r="C224" i="5"/>
  <c r="C228" i="5"/>
  <c r="B5304" i="106" s="1"/>
  <c r="D5304" i="106" s="1"/>
  <c r="C259" i="5"/>
  <c r="B7761" i="106"/>
  <c r="L127" i="29"/>
  <c r="L129" i="29" s="1"/>
  <c r="L139" i="29"/>
  <c r="L149" i="29"/>
  <c r="I7" i="145"/>
  <c r="I6" i="145"/>
  <c r="D78" i="36"/>
  <c r="K75" i="29"/>
  <c r="C14" i="4" s="1"/>
  <c r="B2558" i="106" s="1"/>
  <c r="D2558" i="106" s="1"/>
  <c r="K130" i="29"/>
  <c r="K185" i="29"/>
  <c r="K122" i="29"/>
  <c r="F15" i="145" s="1"/>
  <c r="F19" i="145" s="1"/>
  <c r="K67" i="29"/>
  <c r="K64" i="29"/>
  <c r="K59" i="29"/>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K80" i="29"/>
  <c r="K81" i="29"/>
  <c r="K82" i="29"/>
  <c r="B2977" i="106" s="1"/>
  <c r="D2977" i="106" s="1"/>
  <c r="K83" i="29"/>
  <c r="K93" i="29"/>
  <c r="K94" i="29"/>
  <c r="K95" i="29"/>
  <c r="K96" i="29"/>
  <c r="K97" i="29"/>
  <c r="K98" i="29"/>
  <c r="K99" i="29"/>
  <c r="K101" i="29"/>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3" i="106"/>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B3009" i="106" s="1"/>
  <c r="D3009" i="106" s="1"/>
  <c r="K191" i="29"/>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s="1"/>
  <c r="B1836" i="106"/>
  <c r="D1836" i="106"/>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c r="B1850" i="106"/>
  <c r="D1850" i="106" s="1"/>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s="1"/>
  <c r="B1864" i="106"/>
  <c r="D1864" i="106"/>
  <c r="E21" i="8"/>
  <c r="B1865" i="106" s="1"/>
  <c r="D1865" i="106" s="1"/>
  <c r="B1866" i="106"/>
  <c r="D1866" i="106" s="1"/>
  <c r="F6" i="8"/>
  <c r="F7" i="8"/>
  <c r="B1868" i="106" s="1"/>
  <c r="D1868" i="106" s="1"/>
  <c r="F12" i="8"/>
  <c r="B1869" i="106"/>
  <c r="D1869" i="106" s="1"/>
  <c r="F11" i="8"/>
  <c r="F8" i="8"/>
  <c r="B1871" i="106"/>
  <c r="D1871" i="106" s="1"/>
  <c r="F9" i="8"/>
  <c r="B1872" i="106" s="1"/>
  <c r="D1872" i="106" s="1"/>
  <c r="F10" i="8"/>
  <c r="B1873" i="106" s="1"/>
  <c r="D1873" i="106" s="1"/>
  <c r="F14" i="8"/>
  <c r="B1874" i="106" s="1"/>
  <c r="D1874" i="106" s="1"/>
  <c r="F13" i="8"/>
  <c r="B3688" i="106" s="1"/>
  <c r="D3688" i="106" s="1"/>
  <c r="F17" i="8"/>
  <c r="B1876" i="106" s="1"/>
  <c r="D1876" i="106" s="1"/>
  <c r="F18" i="8"/>
  <c r="B1877" i="106"/>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4" i="106"/>
  <c r="D2974" i="106" s="1"/>
  <c r="B2975" i="106"/>
  <c r="D2975" i="106" s="1"/>
  <c r="B2976" i="106"/>
  <c r="D2976"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c r="B4236" i="106"/>
  <c r="D4236" i="106" s="1"/>
  <c r="B4237" i="106"/>
  <c r="D4237" i="106"/>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s="1"/>
  <c r="B5100" i="106"/>
  <c r="D5100" i="106" s="1"/>
  <c r="B5101" i="106"/>
  <c r="D5101" i="106"/>
  <c r="B5103" i="106"/>
  <c r="D5103" i="106" s="1"/>
  <c r="B5104" i="106"/>
  <c r="D5104" i="106"/>
  <c r="B5105" i="106"/>
  <c r="D5105" i="106" s="1"/>
  <c r="B5106" i="106"/>
  <c r="D5106" i="106"/>
  <c r="B5107" i="106"/>
  <c r="D5107" i="106" s="1"/>
  <c r="B5108" i="106"/>
  <c r="D5108" i="106"/>
  <c r="B5109" i="106"/>
  <c r="D5109" i="106" s="1"/>
  <c r="B5110" i="106"/>
  <c r="D5110" i="106"/>
  <c r="B5111" i="106"/>
  <c r="D5111" i="106" s="1"/>
  <c r="B5113" i="106"/>
  <c r="D5113" i="106"/>
  <c r="B5114" i="106"/>
  <c r="D5114" i="106" s="1"/>
  <c r="B5115" i="106"/>
  <c r="D5115" i="106" s="1"/>
  <c r="B5116" i="106"/>
  <c r="D5116" i="106" s="1"/>
  <c r="B5117" i="106"/>
  <c r="D5117" i="106" s="1"/>
  <c r="B5118" i="106"/>
  <c r="D5118" i="106" s="1"/>
  <c r="B5119" i="106"/>
  <c r="D5119" i="106"/>
  <c r="B5122" i="106"/>
  <c r="D5122" i="106" s="1"/>
  <c r="B5123" i="106"/>
  <c r="D5123" i="106"/>
  <c r="B5124" i="106"/>
  <c r="D5124" i="106" s="1"/>
  <c r="B5126" i="106"/>
  <c r="D5126" i="106" s="1"/>
  <c r="B5127" i="106"/>
  <c r="D5127" i="106" s="1"/>
  <c r="D5128" i="106"/>
  <c r="D5129" i="106"/>
  <c r="D5130" i="106"/>
  <c r="D5131" i="106"/>
  <c r="B5133" i="106"/>
  <c r="D5133" i="106"/>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c r="B5243" i="106"/>
  <c r="D5243" i="106" s="1"/>
  <c r="D5244" i="106"/>
  <c r="D5245" i="106"/>
  <c r="B5247" i="106"/>
  <c r="D5247" i="106" s="1"/>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s="1"/>
  <c r="D5460" i="106"/>
  <c r="D5461" i="106"/>
  <c r="B5462" i="106"/>
  <c r="D5462" i="106" s="1"/>
  <c r="B5463" i="106"/>
  <c r="D5463" i="106"/>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c r="B6302" i="106"/>
  <c r="D6302" i="106" s="1"/>
  <c r="B6303" i="106"/>
  <c r="D6303" i="106"/>
  <c r="B6304" i="106"/>
  <c r="D6304" i="106" s="1"/>
  <c r="B6305" i="106"/>
  <c r="D6305" i="106"/>
  <c r="B6307" i="106"/>
  <c r="D6307" i="106" s="1"/>
  <c r="B6308" i="106"/>
  <c r="D6308" i="106"/>
  <c r="B6309" i="106"/>
  <c r="D6309" i="106" s="1"/>
  <c r="B6310" i="106"/>
  <c r="D6310" i="106"/>
  <c r="B6311" i="106"/>
  <c r="D6311" i="106" s="1"/>
  <c r="B6312" i="106"/>
  <c r="D6312" i="106"/>
  <c r="B6313" i="106"/>
  <c r="D6313" i="106" s="1"/>
  <c r="B6314" i="106"/>
  <c r="D6314" i="106"/>
  <c r="B6315" i="106"/>
  <c r="D6315" i="106" s="1"/>
  <c r="B6316" i="106"/>
  <c r="D6316" i="106" s="1"/>
  <c r="B6317" i="106"/>
  <c r="D6317" i="106" s="1"/>
  <c r="B6319" i="106"/>
  <c r="D6319" i="106" s="1"/>
  <c r="B6320" i="106"/>
  <c r="D6320" i="106"/>
  <c r="B6321" i="106"/>
  <c r="D6321" i="106" s="1"/>
  <c r="B6322" i="106"/>
  <c r="D6322" i="106" s="1"/>
  <c r="B6323" i="106"/>
  <c r="D6323" i="106" s="1"/>
  <c r="B6324" i="106"/>
  <c r="D6324" i="106"/>
  <c r="B6325" i="106"/>
  <c r="D6325" i="106" s="1"/>
  <c r="B6326" i="106"/>
  <c r="D6326" i="106" s="1"/>
  <c r="B6327" i="106"/>
  <c r="D6327" i="106" s="1"/>
  <c r="B6328" i="106"/>
  <c r="D6328" i="106"/>
  <c r="B6329" i="106"/>
  <c r="D6329" i="106" s="1"/>
  <c r="B6330" i="106"/>
  <c r="D6330" i="106" s="1"/>
  <c r="B6331" i="106"/>
  <c r="D6331" i="106" s="1"/>
  <c r="B6332" i="106"/>
  <c r="D6332" i="106"/>
  <c r="B6333" i="106"/>
  <c r="D6333" i="106" s="1"/>
  <c r="B6334" i="106"/>
  <c r="D6334" i="106"/>
  <c r="B6335" i="106"/>
  <c r="D6335" i="106" s="1"/>
  <c r="B6336" i="106"/>
  <c r="D6336" i="106"/>
  <c r="B6337" i="106"/>
  <c r="D6337" i="106" s="1"/>
  <c r="B6338" i="106"/>
  <c r="D6338" i="106"/>
  <c r="B6339" i="106"/>
  <c r="D6339" i="106" s="1"/>
  <c r="B6340" i="106"/>
  <c r="D6340" i="106"/>
  <c r="B6341" i="106"/>
  <c r="D6341" i="106" s="1"/>
  <c r="B6342" i="106"/>
  <c r="D6342" i="106"/>
  <c r="B6343" i="106"/>
  <c r="D6343" i="106" s="1"/>
  <c r="B6344" i="106"/>
  <c r="D6344" i="106"/>
  <c r="B6345" i="106"/>
  <c r="D6345" i="106" s="1"/>
  <c r="B6346" i="106"/>
  <c r="D6346" i="106"/>
  <c r="B6347" i="106"/>
  <c r="D6347" i="106" s="1"/>
  <c r="B6348" i="106"/>
  <c r="D6348" i="106"/>
  <c r="B6349" i="106"/>
  <c r="D6349" i="106" s="1"/>
  <c r="B6350" i="106"/>
  <c r="D6350" i="106"/>
  <c r="B6353" i="106"/>
  <c r="D6353" i="106" s="1"/>
  <c r="B6354" i="106"/>
  <c r="D6354" i="106"/>
  <c r="B6355" i="106"/>
  <c r="D6355" i="106" s="1"/>
  <c r="B6356" i="106"/>
  <c r="D6356" i="106"/>
  <c r="B6358" i="106"/>
  <c r="D6358" i="106" s="1"/>
  <c r="B6359" i="106"/>
  <c r="D6359" i="106"/>
  <c r="B6360" i="106"/>
  <c r="D6360" i="106" s="1"/>
  <c r="B6361" i="106"/>
  <c r="D6361" i="106"/>
  <c r="B6362" i="106"/>
  <c r="D6362" i="106" s="1"/>
  <c r="B6363" i="106"/>
  <c r="D6363" i="106"/>
  <c r="B6364" i="106"/>
  <c r="D6364" i="106" s="1"/>
  <c r="B6365" i="106"/>
  <c r="D6365" i="106"/>
  <c r="B6366" i="106"/>
  <c r="D6366" i="106" s="1"/>
  <c r="B6367" i="106"/>
  <c r="D6367" i="106"/>
  <c r="B6368" i="106"/>
  <c r="D6368" i="106" s="1"/>
  <c r="B6369" i="106"/>
  <c r="D6369" i="106"/>
  <c r="B6370" i="106"/>
  <c r="D6370" i="106" s="1"/>
  <c r="B6371" i="106"/>
  <c r="D6371" i="106"/>
  <c r="B6372" i="106"/>
  <c r="D6372" i="106" s="1"/>
  <c r="B6373" i="106"/>
  <c r="D6373" i="106"/>
  <c r="B6374" i="106"/>
  <c r="D6374" i="106" s="1"/>
  <c r="B6375" i="106"/>
  <c r="D6375" i="106"/>
  <c r="B6376" i="106"/>
  <c r="D6376" i="106" s="1"/>
  <c r="B6377" i="106"/>
  <c r="D6377" i="106"/>
  <c r="B6378" i="106"/>
  <c r="D6378" i="106" s="1"/>
  <c r="B6379" i="106"/>
  <c r="D6379" i="106"/>
  <c r="B6380" i="106"/>
  <c r="D6380" i="106" s="1"/>
  <c r="B6381" i="106"/>
  <c r="D6381" i="106"/>
  <c r="B6382" i="106"/>
  <c r="D6382" i="106" s="1"/>
  <c r="B6383" i="106"/>
  <c r="D6383" i="106"/>
  <c r="B6384" i="106"/>
  <c r="D6384" i="106" s="1"/>
  <c r="B6385" i="106"/>
  <c r="D6385" i="106"/>
  <c r="B6386" i="106"/>
  <c r="D6386" i="106" s="1"/>
  <c r="B6387" i="106"/>
  <c r="D6387" i="106"/>
  <c r="B6388" i="106"/>
  <c r="D6388" i="106" s="1"/>
  <c r="B6389" i="106"/>
  <c r="D6389" i="106"/>
  <c r="B6390" i="106"/>
  <c r="D6390" i="106" s="1"/>
  <c r="B6391" i="106"/>
  <c r="D6391" i="106"/>
  <c r="B6392" i="106"/>
  <c r="D6392" i="106" s="1"/>
  <c r="B6393" i="106"/>
  <c r="D6393" i="106"/>
  <c r="B6394" i="106"/>
  <c r="D6394" i="106" s="1"/>
  <c r="B6395" i="106"/>
  <c r="D6395" i="106"/>
  <c r="B6398" i="106"/>
  <c r="D6398" i="106" s="1"/>
  <c r="B6399" i="106"/>
  <c r="D6399" i="106"/>
  <c r="B6401" i="106"/>
  <c r="D6401" i="106" s="1"/>
  <c r="B6402" i="106"/>
  <c r="D6402" i="106"/>
  <c r="B6403" i="106"/>
  <c r="D6403" i="106" s="1"/>
  <c r="B6404" i="106"/>
  <c r="D6404" i="106"/>
  <c r="B6405" i="106"/>
  <c r="D6405" i="106" s="1"/>
  <c r="B6406" i="106"/>
  <c r="D6406" i="106"/>
  <c r="B6407" i="106"/>
  <c r="D6407" i="106" s="1"/>
  <c r="B6408" i="106"/>
  <c r="D6408" i="106"/>
  <c r="B6410" i="106"/>
  <c r="D6410" i="106" s="1"/>
  <c r="B6411" i="106"/>
  <c r="D6411" i="106"/>
  <c r="B6412" i="106"/>
  <c r="D6412" i="106" s="1"/>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c r="D7231" i="106" s="1"/>
  <c r="B7232" i="106"/>
  <c r="D7232" i="106" s="1"/>
  <c r="B7233" i="106"/>
  <c r="D7233" i="106" s="1"/>
  <c r="J352" i="29"/>
  <c r="J367" i="29" s="1"/>
  <c r="B7245" i="106" s="1"/>
  <c r="D7245" i="106" s="1"/>
  <c r="B7235" i="106"/>
  <c r="D723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9" i="36"/>
  <c r="D71" i="36"/>
  <c r="D72" i="36"/>
  <c r="D79" i="36"/>
  <c r="B64" i="127"/>
  <c r="B65" i="127"/>
  <c r="E26" i="108"/>
  <c r="F26" i="108"/>
  <c r="G26" i="108"/>
  <c r="E27" i="108"/>
  <c r="F27" i="108"/>
  <c r="G27" i="108"/>
  <c r="E28" i="108"/>
  <c r="F28" i="108"/>
  <c r="F31" i="108"/>
  <c r="F36" i="108"/>
  <c r="F37" i="108"/>
  <c r="G28" i="108"/>
  <c r="G29" i="108"/>
  <c r="D31" i="108"/>
  <c r="D36" i="108"/>
  <c r="D37" i="108"/>
  <c r="E31" i="108"/>
  <c r="G31" i="108"/>
  <c r="E33" i="108"/>
  <c r="G33" i="108"/>
  <c r="E34" i="108"/>
  <c r="G34" i="108"/>
  <c r="E35" i="108"/>
  <c r="G35" i="108"/>
  <c r="E36" i="108"/>
  <c r="G36" i="108"/>
  <c r="E37" i="108"/>
  <c r="G37" i="108"/>
  <c r="E38" i="108"/>
  <c r="G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C37" i="34"/>
  <c r="D37" i="34"/>
  <c r="F37" i="34"/>
  <c r="C38" i="34"/>
  <c r="D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C53" i="34"/>
  <c r="D53" i="34"/>
  <c r="C56" i="34"/>
  <c r="F56" i="34"/>
  <c r="C57" i="34"/>
  <c r="D57" i="34"/>
  <c r="C61" i="34"/>
  <c r="C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s="1"/>
  <c r="D5348" i="106" s="1"/>
  <c r="C93" i="5"/>
  <c r="B5112" i="106" s="1"/>
  <c r="D5112" i="106" s="1"/>
  <c r="C108" i="5"/>
  <c r="B5120" i="106" s="1"/>
  <c r="D5120" i="106" s="1"/>
  <c r="D108" i="5"/>
  <c r="B5355" i="106" s="1"/>
  <c r="D5355" i="106" s="1"/>
  <c r="E108" i="5"/>
  <c r="B5526" i="106"/>
  <c r="D5526" i="106" s="1"/>
  <c r="F108" i="5"/>
  <c r="B5587" i="106"/>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s="1"/>
  <c r="D5748" i="106" s="1"/>
  <c r="H121" i="5"/>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72" i="5"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F127" i="34" s="1"/>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F128" i="34" s="1"/>
  <c r="G201" i="5"/>
  <c r="B6409" i="106" s="1"/>
  <c r="D6409" i="106" s="1"/>
  <c r="B5260" i="106"/>
  <c r="D5260" i="106" s="1"/>
  <c r="D211" i="5"/>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B7041" i="106"/>
  <c r="D7041" i="106" s="1"/>
  <c r="I274" i="5"/>
  <c r="G5" i="4"/>
  <c r="B3409" i="106" s="1"/>
  <c r="D3409" i="106" s="1"/>
  <c r="G14" i="4"/>
  <c r="B2609" i="106" s="1"/>
  <c r="D2609" i="106" s="1"/>
  <c r="G15" i="4"/>
  <c r="B6032" i="106" s="1"/>
  <c r="D6032" i="106" s="1"/>
  <c r="D14" i="4"/>
  <c r="B2570" i="106" s="1"/>
  <c r="D2570" i="106" s="1"/>
  <c r="B2633" i="106"/>
  <c r="D2633" i="106" s="1"/>
  <c r="N22" i="3"/>
  <c r="B283" i="106" s="1"/>
  <c r="D283" i="106" s="1"/>
  <c r="D7" i="118"/>
  <c r="D8" i="118"/>
  <c r="D9" i="118"/>
  <c r="H14" i="118"/>
  <c r="H19" i="118"/>
  <c r="H24" i="118"/>
  <c r="H29" i="118"/>
  <c r="D11" i="37"/>
  <c r="D22" i="37"/>
  <c r="J22" i="37"/>
  <c r="L22" i="37"/>
  <c r="D24" i="37"/>
  <c r="B4270" i="106" s="1"/>
  <c r="D4270" i="106" s="1"/>
  <c r="L5" i="11"/>
  <c r="B2056" i="106" s="1"/>
  <c r="D2056" i="106" s="1"/>
  <c r="D4" i="7"/>
  <c r="B1760" i="106" s="1"/>
  <c r="D1760" i="106" s="1"/>
  <c r="B5752" i="106"/>
  <c r="D5752" i="106" s="1"/>
  <c r="B5599" i="106"/>
  <c r="D5599" i="106" s="1"/>
  <c r="K274" i="5"/>
  <c r="H109" i="5"/>
  <c r="B6025" i="106" s="1"/>
  <c r="D6025" i="106" s="1"/>
  <c r="F106" i="34"/>
  <c r="D7" i="7"/>
  <c r="B1763" i="106" s="1"/>
  <c r="D1763" i="106" s="1"/>
  <c r="B1746" i="106"/>
  <c r="D1746" i="106" s="1"/>
  <c r="D15" i="7"/>
  <c r="B1772" i="106" s="1"/>
  <c r="D1772" i="106" s="1"/>
  <c r="B4363" i="106" l="1"/>
  <c r="D4363" i="106" s="1"/>
  <c r="I173" i="5"/>
  <c r="B4216" i="106" s="1"/>
  <c r="D4216" i="106" s="1"/>
  <c r="B7733" i="106"/>
  <c r="D7733" i="106" s="1"/>
  <c r="K26" i="12"/>
  <c r="B7743" i="106" s="1"/>
  <c r="D7743" i="106" s="1"/>
  <c r="B7199" i="106"/>
  <c r="D7199" i="106" s="1"/>
  <c r="C342" i="29"/>
  <c r="B7216" i="106" s="1"/>
  <c r="D7216" i="106" s="1"/>
  <c r="B3668" i="106"/>
  <c r="D3668" i="106" s="1"/>
  <c r="K350" i="29"/>
  <c r="B7242" i="106"/>
  <c r="D7242" i="106" s="1"/>
  <c r="B3454" i="106"/>
  <c r="D3454" i="106" s="1"/>
  <c r="L15" i="11"/>
  <c r="B3459" i="106" s="1"/>
  <c r="D3459" i="106" s="1"/>
  <c r="B1870" i="106"/>
  <c r="D1870" i="106" s="1"/>
  <c r="H28" i="118"/>
  <c r="K28" i="118" s="1"/>
  <c r="O27" i="118" s="1"/>
  <c r="O29" i="118" s="1"/>
  <c r="K184" i="29"/>
  <c r="F13" i="4" s="1"/>
  <c r="B2596" i="106" s="1"/>
  <c r="D2596" i="106" s="1"/>
  <c r="B4087" i="106"/>
  <c r="D4087" i="106" s="1"/>
  <c r="B1365" i="106"/>
  <c r="D1365" i="106" s="1"/>
  <c r="F65" i="34"/>
  <c r="B3488" i="106"/>
  <c r="D3488" i="106" s="1"/>
  <c r="E29" i="108"/>
  <c r="E15" i="145"/>
  <c r="G15" i="145" s="1"/>
  <c r="B1126" i="106"/>
  <c r="D1126" i="106" s="1"/>
  <c r="D26" i="108"/>
  <c r="B2836" i="106"/>
  <c r="D2836" i="106" s="1"/>
  <c r="F62" i="34"/>
  <c r="F14" i="4"/>
  <c r="B2597" i="106" s="1"/>
  <c r="D2597" i="106" s="1"/>
  <c r="B5893" i="106"/>
  <c r="D5893" i="106" s="1"/>
  <c r="H173" i="5"/>
  <c r="H275" i="5" s="1"/>
  <c r="G173" i="5"/>
  <c r="B5778" i="106" s="1"/>
  <c r="D5778" i="106" s="1"/>
  <c r="B5770" i="106"/>
  <c r="D5770" i="106" s="1"/>
  <c r="F111" i="34"/>
  <c r="F131" i="34"/>
  <c r="B5444" i="106"/>
  <c r="D5444" i="106" s="1"/>
  <c r="F130" i="34"/>
  <c r="J77" i="4"/>
  <c r="B6262" i="106" s="1"/>
  <c r="D6262" i="106" s="1"/>
  <c r="B6238" i="106"/>
  <c r="D6238" i="106" s="1"/>
  <c r="B4102" i="106"/>
  <c r="D4102" i="106" s="1"/>
  <c r="D17" i="7"/>
  <c r="B4104" i="106" s="1"/>
  <c r="D4104" i="106" s="1"/>
  <c r="B1751" i="106"/>
  <c r="D1751" i="106" s="1"/>
  <c r="D9" i="7"/>
  <c r="B1767" i="106" s="1"/>
  <c r="D1767" i="106" s="1"/>
  <c r="B6858" i="106"/>
  <c r="D6858" i="106" s="1"/>
  <c r="F36" i="34"/>
  <c r="D11" i="7"/>
  <c r="B1768" i="106" s="1"/>
  <c r="D1768" i="106" s="1"/>
  <c r="D109" i="5"/>
  <c r="B5356" i="106" s="1"/>
  <c r="D5356" i="106" s="1"/>
  <c r="F136" i="34"/>
  <c r="D5" i="4"/>
  <c r="B3406" i="106" s="1"/>
  <c r="D3406" i="106" s="1"/>
  <c r="J274" i="5"/>
  <c r="B7054" i="106" s="1"/>
  <c r="D7054" i="106" s="1"/>
  <c r="E109" i="5"/>
  <c r="E4" i="4" s="1"/>
  <c r="B2630" i="106" s="1"/>
  <c r="D2630" i="106" s="1"/>
  <c r="L312" i="29"/>
  <c r="I342" i="29"/>
  <c r="B7222" i="106" s="1"/>
  <c r="D7222" i="106" s="1"/>
  <c r="H4" i="4"/>
  <c r="B2655" i="106" s="1"/>
  <c r="D2655" i="106" s="1"/>
  <c r="B3647" i="106"/>
  <c r="D3647" i="106" s="1"/>
  <c r="G352" i="29"/>
  <c r="F172" i="5"/>
  <c r="B5644" i="106" s="1"/>
  <c r="D5644" i="106" s="1"/>
  <c r="J41" i="3"/>
  <c r="B6216" i="106" s="1"/>
  <c r="D6216" i="106" s="1"/>
  <c r="H76" i="4"/>
  <c r="B3298" i="106" s="1"/>
  <c r="D3298" i="106" s="1"/>
  <c r="F21" i="8"/>
  <c r="D6103" i="106"/>
  <c r="B3621" i="106"/>
  <c r="D3621" i="106" s="1"/>
  <c r="C367" i="29"/>
  <c r="L13" i="11"/>
  <c r="B2060" i="106" s="1"/>
  <c r="D2060" i="106" s="1"/>
  <c r="D68" i="36"/>
  <c r="L342" i="29"/>
  <c r="B1410" i="106"/>
  <c r="D1410" i="106" s="1"/>
  <c r="E174" i="29"/>
  <c r="B1309" i="106" s="1"/>
  <c r="D1309" i="106" s="1"/>
  <c r="B1329" i="106"/>
  <c r="D1329" i="106" s="1"/>
  <c r="F61" i="34"/>
  <c r="F52" i="34"/>
  <c r="G39" i="108"/>
  <c r="B6995" i="106"/>
  <c r="D6995" i="106" s="1"/>
  <c r="G30" i="108"/>
  <c r="E30" i="108"/>
  <c r="F38" i="34"/>
  <c r="C172" i="5"/>
  <c r="B5214" i="106" s="1"/>
  <c r="D5214" i="106" s="1"/>
  <c r="G109" i="5"/>
  <c r="B6024" i="106" s="1"/>
  <c r="D6024" i="106" s="1"/>
  <c r="C109" i="5"/>
  <c r="B5121" i="106" s="1"/>
  <c r="D5121" i="106" s="1"/>
  <c r="D13" i="7"/>
  <c r="B3726" i="106" s="1"/>
  <c r="D3726" i="106" s="1"/>
  <c r="D12" i="7"/>
  <c r="B1769" i="106" s="1"/>
  <c r="D1769" i="106" s="1"/>
  <c r="D5" i="7"/>
  <c r="B1761" i="106" s="1"/>
  <c r="D1761" i="106" s="1"/>
  <c r="D4" i="4"/>
  <c r="B2564" i="106" s="1"/>
  <c r="D2564" i="106" s="1"/>
  <c r="D54" i="36"/>
  <c r="D52" i="36"/>
  <c r="H33" i="118"/>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D7252" i="106"/>
  <c r="B7230" i="106"/>
  <c r="D7230" i="106" s="1"/>
  <c r="I352" i="29"/>
  <c r="I367" i="29" s="1"/>
  <c r="B7215" i="106"/>
  <c r="D7215"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5914" i="106"/>
  <c r="D5914" i="106" s="1"/>
  <c r="B2657" i="106"/>
  <c r="D2657" i="106" s="1"/>
  <c r="D274" i="5"/>
  <c r="B3447" i="106"/>
  <c r="D3447" i="106" s="1"/>
  <c r="B7270" i="106"/>
  <c r="B3670" i="106" l="1"/>
  <c r="D3670" i="106" s="1"/>
  <c r="K352" i="29"/>
  <c r="K365" i="29"/>
  <c r="D7256" i="106"/>
  <c r="D7251" i="106"/>
  <c r="F275" i="5"/>
  <c r="G4" i="4"/>
  <c r="B2603" i="106" s="1"/>
  <c r="D2603" i="106" s="1"/>
  <c r="B5906" i="106"/>
  <c r="D5906" i="106" s="1"/>
  <c r="H6" i="4"/>
  <c r="B2656" i="106" s="1"/>
  <c r="D2656" i="106" s="1"/>
  <c r="D19" i="7"/>
  <c r="B1775" i="106" s="1"/>
  <c r="D1775" i="106" s="1"/>
  <c r="D7253" i="106"/>
  <c r="D51" i="36"/>
  <c r="B1879" i="106"/>
  <c r="D1879" i="106" s="1"/>
  <c r="H22" i="37"/>
  <c r="B3649" i="106"/>
  <c r="D3649" i="106" s="1"/>
  <c r="G367" i="29"/>
  <c r="B3650" i="106" s="1"/>
  <c r="D3650" i="106" s="1"/>
  <c r="J7" i="4"/>
  <c r="B1328" i="106"/>
  <c r="D1328" i="106" s="1"/>
  <c r="D7254" i="106"/>
  <c r="D7250" i="106"/>
  <c r="H367" i="29"/>
  <c r="B3660" i="106" s="1"/>
  <c r="D3660" i="106" s="1"/>
  <c r="L16" i="11"/>
  <c r="B2061" i="106" s="1"/>
  <c r="D2061" i="106" s="1"/>
  <c r="K342" i="29"/>
  <c r="F13" i="34" s="1"/>
  <c r="L114" i="29"/>
  <c r="C114" i="29"/>
  <c r="B757" i="106" s="1"/>
  <c r="D757" i="106" s="1"/>
  <c r="C173" i="5"/>
  <c r="B5223" i="106" s="1"/>
  <c r="D5223" i="106" s="1"/>
  <c r="C4" i="4"/>
  <c r="B2551" i="106" s="1"/>
  <c r="D2551" i="106" s="1"/>
  <c r="D44"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D7" i="4"/>
  <c r="B5507" i="106"/>
  <c r="D5507" i="106" s="1"/>
  <c r="B7298" i="106"/>
  <c r="B7299" i="106"/>
  <c r="K13" i="4" l="1"/>
  <c r="B3572" i="106" s="1"/>
  <c r="D3572" i="106" s="1"/>
  <c r="B3672" i="106"/>
  <c r="D3672" i="106" s="1"/>
  <c r="K367" i="29"/>
  <c r="B3678" i="106" s="1"/>
  <c r="D3678" i="106" s="1"/>
  <c r="J8" i="4"/>
  <c r="H8" i="4"/>
  <c r="J17" i="4"/>
  <c r="J20" i="4" s="1"/>
  <c r="E41" i="108"/>
  <c r="E44" i="108" s="1"/>
  <c r="E45" i="108" s="1"/>
  <c r="G41" i="108"/>
  <c r="G44" i="108" s="1"/>
  <c r="G45" i="108" s="1"/>
  <c r="C6" i="4"/>
  <c r="B2553" i="106" s="1"/>
  <c r="D2553" i="106" s="1"/>
  <c r="F8" i="4"/>
  <c r="B2595" i="106" s="1"/>
  <c r="D259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B2567" i="106"/>
  <c r="D2567" i="106" s="1"/>
  <c r="K368" i="29" l="1"/>
  <c r="B3681" i="106" s="1"/>
  <c r="D3681" i="106" s="1"/>
  <c r="F10" i="4"/>
  <c r="B4125" i="106" s="1"/>
  <c r="D4125" i="106" s="1"/>
  <c r="D8" i="4"/>
  <c r="C8" i="146" s="1"/>
  <c r="H10" i="4"/>
  <c r="B4127" i="106" s="1"/>
  <c r="D4127" i="106" s="1"/>
  <c r="B2658" i="106"/>
  <c r="D2658" i="106" s="1"/>
  <c r="D10" i="171"/>
  <c r="D19" i="171" s="1"/>
  <c r="D32" i="171" s="1"/>
  <c r="D49" i="171" s="1"/>
  <c r="D8" i="146"/>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B2568" i="106"/>
  <c r="D2568" i="106" s="1"/>
  <c r="D10" i="4" l="1"/>
  <c r="B4123" i="106" s="1"/>
  <c r="D4123" i="106" s="1"/>
  <c r="D20" i="4"/>
  <c r="D78" i="4"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8" i="146"/>
  <c r="B2574" i="106" l="1"/>
  <c r="D2574" i="106" s="1"/>
  <c r="F179" i="34"/>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O17" i="118" l="1"/>
  <c r="O20" i="118" s="1"/>
  <c r="O35" i="118" s="1"/>
  <c r="O37" i="118" s="1"/>
  <c r="K20" i="118"/>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<sst xmlns="http://schemas.openxmlformats.org/spreadsheetml/2006/main" count="5040" uniqueCount="2114">
  <si>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</si>
  <si>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</si>
  <si>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</si>
  <si>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</si>
  <si>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</si>
  <si>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</si>
  <si>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</si>
  <si>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</si>
  <si>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</si>
  <si>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</si>
  <si>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</si>
  <si>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</si>
  <si>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</si>
  <si>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</si>
  <si>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</si>
  <si>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</si>
  <si>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</si>
  <si>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</si>
  <si>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</si>
  <si>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</si>
  <si>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</si>
  <si>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</si>
  <si>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</si>
  <si>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</si>
  <si>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</si>
  <si>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</si>
  <si>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</si>
  <si>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</si>
  <si>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</si>
  <si>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</si>
  <si>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</si>
  <si>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</si>
  <si>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</si>
  <si>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</si>
  <si>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</si>
  <si>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</si>
  <si>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</si>
  <si>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</si>
  <si>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</si>
  <si>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</si>
  <si>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</si>
  <si>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</si>
  <si>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</si>
  <si>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</si>
  <si>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</si>
  <si>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</si>
  <si>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</si>
  <si>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</si>
  <si>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</si>
  <si>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</si>
  <si>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</si>
  <si>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</si>
  <si>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</si>
  <si>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</si>
  <si>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</si>
  <si>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</si>
  <si>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</si>
  <si>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</si>
  <si>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</si>
  <si>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</si>
  <si>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</si>
  <si>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</si>
  <si>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</si>
  <si>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</si>
  <si>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</si>
  <si>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</si>
  <si>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</si>
  <si>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</si>
  <si>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</si>
  <si>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</si>
  <si>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</si>
  <si>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</si>
  <si>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</si>
  <si>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</si>
  <si>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</si>
  <si>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</si>
  <si>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</si>
  <si>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</si>
  <si>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</si>
  <si>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</si>
  <si>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</si>
  <si>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</si>
  <si>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</si>
  <si>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</si>
  <si>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</si>
  <si>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</si>
  <si>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</si>
  <si>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</si>
  <si>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</si>
  <si>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</si>
  <si>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</si>
  <si>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</si>
  <si>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</si>
  <si>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</si>
  <si>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</si>
  <si>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</si>
  <si>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</si>
  <si>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</si>
  <si>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</si>
  <si>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</si>
  <si>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</si>
  <si>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</si>
  <si>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</si>
  <si>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</si>
  <si>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</si>
  <si>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</si>
  <si>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</si>
  <si>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</si>
  <si>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</si>
  <si>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</si>
  <si>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</si>
  <si>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</si>
  <si>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</si>
  <si>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</si>
  <si>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</si>
  <si>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</si>
  <si>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</si>
  <si>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</si>
  <si>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</si>
  <si>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</si>
  <si>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</si>
  <si>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</si>
  <si>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</si>
  <si>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</si>
  <si>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</si>
  <si>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</si>
  <si>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</si>
  <si>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</si>
  <si>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</si>
  <si>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</si>
  <si>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</si>
  <si>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</si>
  <si>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</si>
  <si>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</si>
  <si>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</si>
  <si>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</si>
  <si>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</si>
  <si>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</si>
  <si>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</si>
  <si>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</si>
  <si>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</si>
  <si>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</si>
  <si>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</si>
  <si>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</si>
  <si>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</si>
  <si>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</si>
  <si>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</si>
  <si>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</si>
  <si>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</si>
  <si>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</si>
  <si>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</si>
  <si>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</si>
  <si>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</si>
  <si>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</si>
  <si>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</si>
  <si>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</si>
  <si>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</si>
  <si>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</si>
  <si>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</si>
  <si>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</si>
  <si>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</si>
  <si>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</si>
  <si>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</si>
  <si>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</si>
  <si>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</si>
  <si>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</si>
  <si>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</si>
  <si>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</si>
  <si>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</si>
  <si>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</si>
  <si>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</si>
  <si>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</si>
  <si>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</si>
  <si>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</si>
  <si>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</si>
  <si>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</si>
  <si>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</si>
  <si>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</si>
  <si>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</si>
  <si>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</si>
  <si>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</si>
  <si>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</si>
  <si>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</si>
  <si>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</si>
  <si>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</si>
  <si>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</si>
  <si>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</si>
  <si>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</si>
  <si>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</si>
  <si>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</si>
  <si>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</si>
  <si>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</si>
  <si>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</si>
  <si>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</si>
  <si>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</si>
  <si>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</si>
  <si>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</si>
  <si>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</si>
  <si>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</si>
  <si>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</si>
  <si>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</si>
  <si>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</si>
  <si>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</si>
  <si>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</si>
  <si>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</si>
  <si>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</si>
  <si>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</si>
  <si>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</si>
  <si>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</si>
  <si>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</si>
  <si>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</si>
  <si>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</si>
  <si>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</si>
  <si>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</si>
  <si>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</si>
  <si>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</si>
  <si>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</si>
  <si>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</si>
  <si>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</si>
  <si>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</si>
  <si>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</si>
  <si>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</si>
  <si>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</si>
  <si>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</si>
  <si>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</si>
  <si>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</si>
  <si>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</si>
  <si>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</si>
  <si>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</si>
  <si>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</si>
  <si>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</si>
  <si>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</si>
  <si>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</si>
  <si>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</si>
  <si>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</si>
  <si>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</si>
  <si>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</si>
  <si>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</si>
  <si>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</si>
  <si>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</si>
  <si>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</si>
  <si>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</si>
  <si>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</si>
  <si>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</si>
  <si>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</si>
  <si>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</si>
  <si>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</si>
  <si>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</si>
  <si>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</si>
  <si>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</si>
  <si>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</si>
  <si>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</si>
  <si>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</si>
  <si>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</si>
  <si>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</si>
  <si>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</si>
  <si>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</si>
  <si>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</si>
  <si>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</si>
  <si>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</si>
  <si>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</si>
  <si>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</si>
  <si>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</si>
  <si>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</si>
  <si>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</si>
  <si>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</si>
  <si>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</si>
  <si>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</si>
  <si>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</si>
  <si>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</si>
  <si>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</si>
  <si>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</si>
  <si>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</si>
  <si>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</si>
  <si>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</si>
  <si>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</si>
  <si>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</si>
  <si>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</si>
  <si>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</si>
  <si>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</si>
  <si>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</si>
  <si>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</si>
  <si>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</si>
  <si>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</si>
  <si>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</si>
  <si>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</si>
  <si>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</si>
  <si>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</si>
  <si>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</si>
  <si>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</si>
  <si>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</si>
  <si>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</si>
  <si>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</si>
  <si>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</si>
  <si>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</si>
  <si>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</si>
  <si>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</si>
  <si>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</si>
  <si>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</si>
  <si>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</si>
  <si>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</si>
  <si>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</si>
  <si>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</si>
  <si>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</si>
  <si>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</si>
  <si>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</si>
  <si>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</si>
  <si>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</si>
  <si>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</si>
  <si>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</si>
  <si>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</si>
  <si>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</si>
  <si>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</si>
  <si>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</si>
  <si>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</si>
  <si>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</si>
  <si>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</si>
  <si>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</si>
  <si>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</si>
  <si>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</si>
  <si>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</si>
  <si>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</si>
  <si>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</si>
  <si>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</si>
  <si>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</si>
  <si>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</si>
  <si>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</si>
  <si>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</si>
  <si>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</si>
  <si>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</si>
  <si>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</si>
  <si>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</si>
  <si>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</si>
  <si>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</si>
  <si>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</si>
  <si>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</si>
  <si>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</si>
  <si>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</si>
  <si>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</si>
  <si>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</si>
  <si>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</si>
  <si>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</si>
  <si>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</si>
  <si>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</si>
  <si>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</si>
  <si>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</si>
  <si>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</si>
  <si>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</si>
  <si>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</si>
  <si>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</si>
  <si>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</si>
  <si>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</si>
  <si>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</si>
  <si>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</si>
  <si>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</si>
  <si>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</si>
  <si>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</si>
  <si>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</si>
  <si>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</si>
  <si>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</si>
  <si>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</si>
  <si>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</si>
  <si>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</si>
  <si>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</si>
  <si>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</si>
  <si>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</si>
  <si>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</si>
  <si>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</si>
  <si>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</si>
  <si>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</si>
  <si>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</si>
  <si>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</si>
  <si>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</si>
  <si>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</si>
  <si>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</si>
  <si>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</si>
  <si>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</si>
  <si>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</si>
  <si>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</si>
  <si>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</si>
  <si>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</si>
  <si>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</si>
  <si>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</si>
  <si>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</si>
  <si>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</si>
  <si>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</si>
  <si>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</si>
  <si>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</si>
  <si>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</si>
  <si>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</si>
  <si>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</si>
  <si>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</si>
  <si>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</si>
  <si>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</si>
  <si>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</si>
  <si>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</si>
  <si>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</si>
  <si>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</si>
  <si>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</si>
  <si>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</si>
  <si>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</si>
  <si>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</si>
  <si>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</si>
  <si>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</si>
  <si>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</si>
  <si>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</si>
  <si>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</si>
  <si>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</si>
  <si>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</si>
  <si>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</si>
  <si>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</si>
  <si>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</si>
  <si>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</si>
  <si>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</si>
  <si>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</si>
  <si>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</si>
  <si>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</si>
  <si>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</si>
  <si>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</si>
  <si>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</si>
  <si>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</si>
  <si>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</si>
  <si>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</si>
  <si>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</si>
  <si>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</si>
  <si>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</si>
  <si>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</si>
  <si>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</si>
  <si>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</si>
  <si>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</si>
  <si>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</si>
  <si>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</si>
  <si>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</si>
  <si>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</si>
  <si>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</si>
  <si>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</si>
  <si>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</si>
  <si>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</si>
  <si>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</si>
  <si>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</si>
  <si>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</si>
  <si>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</si>
  <si>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</si>
  <si>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</si>
  <si>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</si>
  <si>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</si>
  <si>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</si>
  <si>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</si>
  <si>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</si>
  <si>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</si>
  <si>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</si>
  <si>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</si>
  <si>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</si>
  <si>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</si>
  <si>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</si>
  <si>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</si>
  <si>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</si>
  <si>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</si>
  <si>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</si>
  <si>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</si>
  <si>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</si>
  <si>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</si>
  <si>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</si>
  <si>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</si>
  <si>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</si>
  <si>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</si>
  <si>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</si>
  <si>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</si>
  <si>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</si>
  <si>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</si>
  <si>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</si>
  <si>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</si>
  <si>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</si>
  <si>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</si>
  <si>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</si>
  <si>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</si>
  <si>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</si>
  <si>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</si>
  <si>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</si>
  <si>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</si>
  <si>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</si>
  <si>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</si>
  <si>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</si>
  <si>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</si>
  <si>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</si>
  <si>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</si>
  <si>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</si>
  <si>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</si>
  <si>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</si>
  <si>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</si>
  <si>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</si>
  <si>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</si>
  <si>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</si>
  <si>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</si>
  <si>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</si>
  <si>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</si>
  <si>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</si>
  <si>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</si>
  <si>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</si>
  <si>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</si>
  <si>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</si>
  <si>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</si>
  <si>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</si>
  <si>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</si>
  <si>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</si>
  <si>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</si>
  <si>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</si>
  <si>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</si>
  <si>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</si>
  <si>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</si>
  <si>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</si>
  <si>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</si>
  <si>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</si>
  <si>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</si>
  <si>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</si>
  <si>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</si>
  <si>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</si>
  <si>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</si>
  <si>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</si>
  <si>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</si>
  <si>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</si>
  <si>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</si>
  <si>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</si>
  <si>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</si>
  <si>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</si>
  <si>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</si>
  <si>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</si>
  <si>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</si>
  <si>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</si>
  <si>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</si>
  <si>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</si>
  <si>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</si>
  <si>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</si>
  <si>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</si>
  <si>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</si>
  <si>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</si>
  <si>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</si>
  <si>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</si>
  <si>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</si>
  <si>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</si>
  <si>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</si>
  <si>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</si>
  <si>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</si>
  <si>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</si>
  <si>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</si>
  <si>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</si>
  <si>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</si>
  <si>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</si>
  <si>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</si>
  <si>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</si>
  <si>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</si>
  <si>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</si>
  <si>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</si>
  <si>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</si>
  <si>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</si>
  <si>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</si>
  <si>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</si>
  <si>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</si>
  <si>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</si>
  <si>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</si>
  <si>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</si>
  <si>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</si>
  <si>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</si>
  <si>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</si>
  <si>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</si>
  <si>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</si>
  <si>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</si>
  <si>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</si>
  <si>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</si>
  <si>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</si>
  <si>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</si>
  <si>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</si>
  <si>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</si>
  <si>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</si>
  <si>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</si>
  <si>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</si>
  <si>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</si>
  <si>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</si>
  <si>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</si>
  <si>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</si>
  <si>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</si>
  <si>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</si>
  <si>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</si>
  <si>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</si>
  <si>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</si>
  <si>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</si>
  <si>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</si>
  <si>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</si>
  <si>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</si>
  <si>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</si>
  <si>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</si>
  <si>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</si>
  <si>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</si>
  <si>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</si>
  <si>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</si>
  <si>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</si>
  <si>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</si>
  <si>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</si>
  <si>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</si>
  <si>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</si>
  <si>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</si>
  <si>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</si>
  <si>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</si>
  <si>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</si>
  <si>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</si>
  <si>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</si>
  <si>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</si>
  <si>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</si>
  <si>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</si>
  <si>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</si>
  <si>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</si>
  <si>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</si>
  <si>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</si>
  <si>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</si>
  <si>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</si>
  <si>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</si>
  <si>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</si>
  <si>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</si>
  <si>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</si>
  <si>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</si>
  <si>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</si>
  <si>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</si>
  <si>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</si>
  <si>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</si>
  <si>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</si>
  <si>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</si>
  <si>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</si>
  <si>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</si>
  <si>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</si>
  <si>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</si>
  <si>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</si>
  <si>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</si>
  <si>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</si>
  <si>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</si>
  <si>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</si>
  <si>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</si>
  <si>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</si>
  <si>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</si>
  <si>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</si>
  <si>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</si>
  <si>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</si>
  <si>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</si>
  <si>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</si>
  <si>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</si>
  <si>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</si>
  <si>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</si>
  <si>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</si>
  <si>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</si>
  <si>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</si>
  <si>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</si>
  <si>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</si>
  <si>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</si>
  <si>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</si>
  <si>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</si>
  <si>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</si>
  <si>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</si>
  <si>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</si>
  <si>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</si>
  <si>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</si>
  <si>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</si>
  <si>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</si>
  <si>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</si>
  <si>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</si>
  <si>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</si>
  <si>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</si>
  <si>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</si>
  <si>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</si>
  <si>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</si>
  <si>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</si>
  <si>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</si>
  <si>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</si>
  <si>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</si>
  <si>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</si>
  <si>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</si>
  <si>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</si>
  <si>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</si>
  <si>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</si>
  <si>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</si>
  <si>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</si>
  <si>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</si>
  <si>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</si>
  <si>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</si>
  <si>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</si>
  <si>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</si>
  <si>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</si>
  <si>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</si>
  <si>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</si>
  <si>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</si>
  <si>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</si>
  <si>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</si>
  <si>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</si>
  <si>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</si>
  <si>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</si>
  <si>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</si>
  <si>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</si>
  <si>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</si>
  <si>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</si>
  <si>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</si>
  <si>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</si>
  <si>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</si>
  <si>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</si>
  <si>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</si>
  <si>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</si>
  <si>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</si>
  <si>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</si>
  <si>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</si>
  <si>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</si>
  <si>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</si>
  <si>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</si>
  <si>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</si>
  <si>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</si>
  <si>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</si>
  <si>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</si>
  <si>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</si>
  <si>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</si>
  <si>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</si>
  <si>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</si>
  <si>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</si>
  <si>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</si>
  <si>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</si>
  <si>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</si>
  <si>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</si>
  <si>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</si>
  <si>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</si>
  <si>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</si>
  <si>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</si>
  <si>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</si>
  <si>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</si>
  <si>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</si>
  <si>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</si>
  <si>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</si>
  <si>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</si>
  <si>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</si>
  <si>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</si>
  <si>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</si>
  <si>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</si>
  <si>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</si>
  <si>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</si>
  <si>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</si>
  <si>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</si>
  <si>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</si>
  <si>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</si>
  <si>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</si>
  <si>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</si>
  <si>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</si>
  <si>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</si>
  <si>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</si>
  <si>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</si>
  <si>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</si>
  <si>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</si>
  <si>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</si>
  <si>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</si>
  <si>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</si>
  <si>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</si>
  <si>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</si>
  <si>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</si>
  <si>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</si>
  <si>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</si>
  <si>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</si>
  <si>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</si>
  <si>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</si>
  <si>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</si>
  <si>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</si>
  <si>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</si>
  <si>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</si>
  <si>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</si>
  <si>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</si>
  <si>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</si>
  <si>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</si>
  <si>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</si>
  <si>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</si>
  <si>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</si>
  <si>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</si>
  <si>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</si>
  <si>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</si>
  <si>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</si>
  <si>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</si>
  <si>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</si>
  <si>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</si>
  <si>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</si>
  <si>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</si>
  <si>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</si>
  <si>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</si>
  <si>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</si>
  <si>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</si>
  <si>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</si>
  <si>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</si>
  <si>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</si>
  <si>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</si>
  <si>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</si>
  <si>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</si>
  <si>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</si>
  <si>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</si>
  <si>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</si>
  <si>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</si>
  <si>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</si>
  <si>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</si>
  <si>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</si>
  <si>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</si>
  <si>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</si>
  <si>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</si>
  <si>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</si>
  <si>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</si>
  <si>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</si>
  <si>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</si>
  <si>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</si>
  <si>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</si>
  <si>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</si>
  <si>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</si>
  <si>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</si>
  <si>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</si>
  <si>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</si>
  <si>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</si>
  <si>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</si>
  <si>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</si>
  <si>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</si>
  <si>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</si>
  <si>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</si>
  <si>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</si>
  <si>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</si>
  <si>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</si>
  <si>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</si>
  <si>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</si>
  <si>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</si>
  <si>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</si>
  <si>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</si>
  <si>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</si>
  <si>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</si>
  <si>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</si>
  <si>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</si>
  <si>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</si>
  <si>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</si>
  <si>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</si>
  <si>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</si>
  <si>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</si>
  <si>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</si>
  <si>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</si>
  <si>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</si>
  <si>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</si>
  <si>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</si>
  <si>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</si>
  <si>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</si>
  <si>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</si>
  <si>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</si>
  <si>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</si>
  <si>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</si>
  <si>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</si>
  <si>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</si>
  <si>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</si>
  <si>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</si>
  <si>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</si>
  <si>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</si>
  <si>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</si>
  <si>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</si>
  <si>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</si>
  <si>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</si>
  <si>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</si>
  <si>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</si>
  <si>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</si>
  <si>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</si>
  <si>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</si>
  <si>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</si>
  <si>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</si>
  <si>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</si>
  <si>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</si>
  <si>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</si>
  <si>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</si>
  <si>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</si>
  <si>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</si>
  <si>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</si>
  <si>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</si>
  <si>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</si>
  <si>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</si>
  <si>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</si>
  <si>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</si>
  <si>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</si>
  <si>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</si>
  <si>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</si>
  <si>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</si>
  <si>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</si>
  <si>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</si>
  <si>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</si>
  <si>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</si>
  <si>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</si>
  <si>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</si>
  <si>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</si>
  <si>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</si>
  <si>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</si>
  <si>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</si>
  <si>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</si>
  <si>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</si>
  <si>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</si>
  <si>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</si>
  <si>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</si>
  <si>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</si>
  <si>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</si>
  <si>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</si>
  <si>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</si>
  <si>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</si>
  <si>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</si>
  <si>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</si>
  <si>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</si>
  <si>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</si>
  <si>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</si>
  <si>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</si>
  <si>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</si>
  <si>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</si>
  <si>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</si>
  <si>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</si>
  <si>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</si>
  <si>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</si>
  <si>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</si>
  <si>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</si>
  <si>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</si>
  <si>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</si>
  <si>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</si>
  <si>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</si>
  <si>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</si>
  <si>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</si>
  <si>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</si>
  <si>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</si>
  <si>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</si>
  <si>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</si>
  <si>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</si>
  <si>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</si>
  <si>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</si>
  <si>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</si>
  <si>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</si>
  <si>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</si>
  <si>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</si>
  <si>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</si>
  <si>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</si>
  <si>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</si>
  <si>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</si>
  <si>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</si>
  <si>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</si>
  <si>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</si>
  <si>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</si>
  <si>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</si>
  <si>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</si>
  <si>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</si>
  <si>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</si>
  <si>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</si>
  <si>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</si>
  <si>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</si>
  <si>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</si>
  <si>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</si>
  <si>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</si>
  <si>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</si>
  <si>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</si>
  <si>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</si>
  <si>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</si>
  <si>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</si>
  <si>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</si>
  <si>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</si>
  <si>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</si>
  <si>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</si>
  <si>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</si>
  <si>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</si>
  <si>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</si>
  <si>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</si>
  <si>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</si>
  <si>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</si>
  <si>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</si>
  <si>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</si>
  <si>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</si>
  <si>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</si>
  <si>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</si>
  <si>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</si>
  <si>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</si>
  <si>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</si>
  <si>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</si>
  <si>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</si>
  <si>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</si>
  <si>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</si>
  <si>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</si>
  <si>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</si>
  <si>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</si>
  <si>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</si>
  <si>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</si>
  <si>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</si>
  <si>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</si>
  <si>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</si>
  <si>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</si>
  <si>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</si>
  <si>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</si>
  <si>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</si>
  <si>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</si>
  <si>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</si>
  <si>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</si>
  <si>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</si>
  <si>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</si>
  <si>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</si>
  <si>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</si>
  <si>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</si>
  <si>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</si>
  <si>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</si>
  <si>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</si>
  <si>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</si>
  <si>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</si>
  <si>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</si>
  <si>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</si>
  <si>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</si>
  <si>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</si>
  <si>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</si>
  <si>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</si>
  <si>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</si>
  <si>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</si>
  <si>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</si>
  <si>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</si>
  <si>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</si>
  <si>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</si>
  <si>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</si>
  <si>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</si>
  <si>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</si>
  <si>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</si>
  <si>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</si>
  <si>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</si>
  <si>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</si>
  <si>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</si>
  <si>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</si>
  <si>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</si>
  <si>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</si>
  <si>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</si>
  <si>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</si>
  <si>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</si>
  <si>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</si>
  <si>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</si>
  <si>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</si>
  <si>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</si>
  <si>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</si>
  <si>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</si>
  <si>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</si>
  <si>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</si>
  <si>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</si>
  <si>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</si>
  <si>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</si>
  <si>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</si>
  <si>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</si>
  <si>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</si>
  <si>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</si>
  <si>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</si>
  <si>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</si>
  <si>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</si>
  <si>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</si>
  <si>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</si>
  <si>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</si>
  <si>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</si>
  <si>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</si>
  <si>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</si>
  <si>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</si>
  <si>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</si>
  <si>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</si>
  <si>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</si>
  <si>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</si>
  <si>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</si>
  <si>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</si>
  <si>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</si>
  <si>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</si>
  <si>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</si>
  <si>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</si>
  <si>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</si>
  <si>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</si>
  <si>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</si>
  <si>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</si>
  <si>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</si>
  <si>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</si>
  <si>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</si>
  <si>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</si>
  <si>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</si>
  <si>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</si>
  <si>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</si>
  <si>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</si>
  <si>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</si>
  <si>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</si>
  <si>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</si>
  <si>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</si>
  <si>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</si>
  <si>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</si>
  <si>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</si>
  <si>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</si>
  <si>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</si>
  <si>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</si>
  <si>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</si>
  <si>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</si>
  <si>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</si>
  <si>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</si>
  <si>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</si>
  <si>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</si>
  <si>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</si>
  <si>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</si>
  <si>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</si>
  <si>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</si>
  <si>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</si>
  <si>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</si>
  <si>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</si>
  <si>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</si>
  <si>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</si>
  <si>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</si>
  <si>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</si>
  <si>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</si>
  <si>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</si>
  <si>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</si>
  <si>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</si>
  <si>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</si>
  <si>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</si>
  <si>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</si>
  <si>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</si>
  <si>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</si>
  <si>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</si>
  <si>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</si>
  <si>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</si>
  <si>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</si>
  <si>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</si>
  <si>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</si>
  <si>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</si>
  <si>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</si>
  <si>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</si>
  <si>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</si>
  <si>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</si>
  <si>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</si>
  <si>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</si>
  <si>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</si>
  <si>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</si>
  <si>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</si>
  <si>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</si>
  <si>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</si>
  <si>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</si>
  <si>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</si>
  <si>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</si>
  <si>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</si>
  <si>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</si>
  <si>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</si>
  <si>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</si>
  <si>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</si>
  <si>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</si>
  <si>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</si>
  <si>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</si>
  <si>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</si>
  <si>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</si>
  <si>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</si>
  <si>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</si>
  <si>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</si>
  <si>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</si>
  <si>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</si>
  <si>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</si>
  <si>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</si>
  <si>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</si>
  <si>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</si>
  <si>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</si>
  <si>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</si>
  <si>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</si>
  <si>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</si>
  <si>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</si>
  <si>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</si>
  <si>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</si>
  <si>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</si>
  <si>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</si>
  <si>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</si>
  <si>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</si>
  <si>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</si>
  <si>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</si>
  <si>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</si>
  <si>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</si>
  <si>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</si>
  <si>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</si>
  <si>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</si>
  <si>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</si>
  <si>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</si>
  <si>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</si>
  <si>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</si>
  <si>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</si>
  <si>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</si>
  <si>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</si>
  <si>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</si>
  <si>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</si>
  <si>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</si>
  <si>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</si>
  <si>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</si>
  <si>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</si>
  <si>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</si>
  <si>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</si>
  <si>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</si>
  <si>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</si>
  <si>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</si>
  <si>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</si>
  <si>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</si>
  <si>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</si>
  <si>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</si>
  <si>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</si>
  <si>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</si>
  <si>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</si>
  <si>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</si>
  <si>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</si>
  <si>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</si>
  <si>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</si>
  <si>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</si>
  <si>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</si>
  <si>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</si>
  <si>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</si>
  <si>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</si>
  <si>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</si>
  <si>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</si>
  <si>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</si>
  <si>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</si>
  <si>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</si>
  <si>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</si>
  <si>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</si>
  <si>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</si>
  <si>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</si>
  <si>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</si>
  <si>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</si>
  <si>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</si>
  <si>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</si>
  <si>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</si>
  <si>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</si>
  <si>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</si>
  <si>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</si>
  <si>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</si>
  <si>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</si>
  <si>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</si>
  <si>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</si>
  <si>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</si>
  <si>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</si>
  <si>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</si>
  <si>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</si>
  <si>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</si>
  <si>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</si>
  <si>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</si>
  <si>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</si>
  <si>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</si>
  <si>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</si>
  <si>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</si>
  <si>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</si>
  <si>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</si>
  <si>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</si>
  <si>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</si>
  <si>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</si>
  <si>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</si>
  <si>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</si>
  <si>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</si>
  <si>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</si>
  <si>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</si>
  <si>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</si>
  <si>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</si>
  <si>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</si>
  <si>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</si>
  <si>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</si>
  <si>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</si>
  <si>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</si>
  <si>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</si>
  <si>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</si>
  <si>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</si>
  <si>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</si>
  <si>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</si>
  <si>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</si>
  <si>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</si>
  <si>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</si>
  <si>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</si>
  <si>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</si>
  <si>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</si>
  <si>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</si>
  <si>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</si>
  <si>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</si>
  <si>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</si>
  <si>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</si>
  <si>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</si>
  <si>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</si>
  <si>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</si>
  <si>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</si>
  <si>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</si>
  <si>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</si>
  <si>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</si>
  <si>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</si>
  <si>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</si>
  <si>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</si>
  <si>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</si>
  <si>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</si>
  <si>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</si>
  <si>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</si>
  <si>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</si>
  <si>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</si>
  <si>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</si>
  <si>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</si>
  <si>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</si>
  <si>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</si>
  <si>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</si>
  <si>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</si>
  <si>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</si>
  <si>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</si>
  <si>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</si>
  <si>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</si>
  <si>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</si>
  <si>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</si>
  <si>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</si>
  <si>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</si>
  <si>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</si>
  <si>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</si>
  <si>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</si>
  <si>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</si>
  <si>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</si>
  <si>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</si>
  <si>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</si>
  <si>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</si>
  <si>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</si>
  <si>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</si>
  <si>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</si>
  <si>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</si>
  <si>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</si>
  <si>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</si>
  <si>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</si>
  <si>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</si>
  <si>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</si>
  <si>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</si>
  <si>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</si>
  <si>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</si>
  <si>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</si>
  <si>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</si>
  <si>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</si>
  <si>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</si>
  <si>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</si>
  <si>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</si>
  <si>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</si>
  <si>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</si>
  <si>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</si>
  <si>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</si>
  <si>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</si>
  <si>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</si>
  <si>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</si>
  <si>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</si>
  <si>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</si>
  <si>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</si>
  <si>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</si>
  <si>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</si>
  <si>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</si>
  <si>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</si>
  <si>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</si>
  <si>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</si>
  <si>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</si>
  <si>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</si>
  <si>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</si>
  <si>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</si>
  <si>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</si>
  <si>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</si>
  <si>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</si>
  <si>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</si>
  <si>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</si>
  <si>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</si>
  <si>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</si>
  <si>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</si>
  <si>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</si>
  <si>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</si>
  <si>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</si>
  <si>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</si>
  <si>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</si>
  <si>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</si>
  <si>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</si>
  <si>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</si>
  <si>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</si>
  <si>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</si>
  <si>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</si>
  <si>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</si>
  <si>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</si>
  <si>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</si>
  <si>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</si>
  <si>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</si>
  <si>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</si>
  <si>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</si>
  <si>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</si>
  <si>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</si>
  <si>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</si>
  <si>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</si>
  <si>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</si>
  <si>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</si>
  <si>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</si>
  <si>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</si>
  <si>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</si>
  <si>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</si>
  <si>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</si>
  <si>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</si>
  <si>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</si>
  <si>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</si>
  <si>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</si>
  <si>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</si>
  <si>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</si>
  <si>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</si>
  <si>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</si>
  <si>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</si>
  <si>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</si>
  <si>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</si>
  <si>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</si>
  <si>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</si>
  <si>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</si>
  <si>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</si>
  <si>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</si>
  <si>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</si>
  <si>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</si>
  <si>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</si>
  <si>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</si>
  <si>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</si>
  <si>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</si>
  <si>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</si>
  <si>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</si>
  <si>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</si>
  <si>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</si>
  <si>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</si>
  <si>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</si>
  <si>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</si>
  <si>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</si>
  <si>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</si>
  <si>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</si>
  <si>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</si>
  <si>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</si>
  <si>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</si>
  <si>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</si>
  <si>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</si>
  <si>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</si>
  <si>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</si>
  <si>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</si>
  <si>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</si>
  <si>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</si>
  <si>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</si>
  <si>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</si>
  <si>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</si>
  <si>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</si>
  <si>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</si>
  <si>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</si>
  <si>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</si>
  <si>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</si>
  <si>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</si>
  <si>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</si>
  <si>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</si>
  <si>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</si>
  <si>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</si>
  <si>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</si>
  <si>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</si>
  <si>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</si>
  <si>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</si>
  <si>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</si>
  <si>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</si>
  <si>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</si>
  <si>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</si>
  <si>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</si>
  <si>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</si>
  <si>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</si>
  <si>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</si>
  <si>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</si>
  <si>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</si>
  <si>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</si>
  <si>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</si>
  <si>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</si>
  <si>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</si>
  <si>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</si>
  <si>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</si>
  <si>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</si>
  <si>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</si>
  <si>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</si>
  <si>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</si>
  <si>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</si>
  <si>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</si>
  <si>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</si>
  <si>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</si>
  <si>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</si>
  <si>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</si>
  <si>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</si>
  <si>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</si>
  <si>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</si>
  <si>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</si>
  <si>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</si>
  <si>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</si>
  <si>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</si>
  <si>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</si>
  <si>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</si>
  <si>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</si>
  <si>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</si>
  <si>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</si>
  <si>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</si>
  <si>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</si>
  <si>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</si>
  <si>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</si>
  <si>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</si>
  <si>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</si>
  <si>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</si>
  <si>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</si>
  <si>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</si>
  <si>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</si>
  <si>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</si>
  <si>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</si>
  <si>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</si>
  <si>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</si>
  <si>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</si>
  <si>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</si>
  <si>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</si>
  <si>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</si>
  <si>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</si>
  <si>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</si>
  <si>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</si>
  <si>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</si>
  <si>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</si>
  <si>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</si>
  <si>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</si>
  <si>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</si>
  <si>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</si>
  <si>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</si>
  <si>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</si>
  <si>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</si>
  <si>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</si>
  <si>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</si>
  <si>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</si>
  <si>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</si>
  <si>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</si>
  <si>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</si>
  <si>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</si>
  <si>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</si>
  <si>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</si>
  <si>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</si>
  <si>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</si>
  <si>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</si>
  <si>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</si>
  <si>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</si>
  <si>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</si>
  <si>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</si>
  <si>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</si>
  <si>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</si>
  <si>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</si>
  <si>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</si>
  <si>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</si>
  <si>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</si>
  <si>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</si>
  <si>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</si>
  <si>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</si>
  <si>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</si>
  <si>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</si>
  <si>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</si>
  <si>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</si>
  <si>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</si>
  <si>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</si>
  <si>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</si>
  <si>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</si>
  <si>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</si>
  <si>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</si>
  <si>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</si>
  <si>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</si>
  <si>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</si>
  <si>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</si>
  <si>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</si>
  <si>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</si>
  <si>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</si>
  <si>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</si>
  <si>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</si>
  <si>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</si>
  <si>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</si>
  <si>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</si>
  <si>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</si>
  <si>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</si>
  <si>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</si>
  <si>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</si>
  <si>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</si>
  <si>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</si>
  <si>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</si>
  <si>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</si>
  <si>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</si>
  <si>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</si>
  <si>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</si>
  <si>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</si>
  <si>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</si>
  <si>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</si>
  <si>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</si>
  <si>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</si>
  <si>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</si>
  <si>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</si>
  <si>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</si>
  <si>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</si>
  <si>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</si>
  <si>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</si>
  <si>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</si>
  <si>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</si>
  <si>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</si>
  <si>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</si>
  <si>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</si>
  <si>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</si>
  <si>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</si>
  <si>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</si>
  <si>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</si>
  <si>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</si>
  <si>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</si>
  <si>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</si>
  <si>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</si>
  <si>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</si>
  <si>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</si>
  <si>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</si>
  <si>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</si>
  <si>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</si>
  <si>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</si>
  <si>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</si>
  <si>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</si>
  <si>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</si>
  <si>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</si>
  <si>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</si>
  <si>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</si>
  <si>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</si>
  <si>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</si>
  <si>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</si>
  <si>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</si>
  <si>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</si>
  <si>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</si>
  <si>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</si>
  <si>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</si>
  <si>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</si>
  <si>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</si>
  <si>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</si>
  <si>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</si>
  <si>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</si>
  <si>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</si>
  <si>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</si>
  <si>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</si>
  <si>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</si>
  <si>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</si>
  <si>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</si>
  <si>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</si>
  <si>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</si>
  <si>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</si>
  <si>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</si>
  <si>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</si>
  <si>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</si>
  <si>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</si>
  <si>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</si>
  <si>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</si>
  <si>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</si>
  <si>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</si>
  <si>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</si>
  <si>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</si>
  <si>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</si>
  <si>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</si>
  <si>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</si>
  <si>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</si>
  <si>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</si>
  <si>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</si>
  <si>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</si>
  <si>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</si>
  <si>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</si>
  <si>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</si>
  <si>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</si>
  <si>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</si>
  <si>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</si>
  <si>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</si>
  <si>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</si>
  <si>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</si>
  <si>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</si>
  <si>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</si>
  <si>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</si>
  <si>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</si>
  <si>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</si>
  <si>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</si>
  <si>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</si>
  <si>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</si>
  <si>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</si>
  <si>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</si>
  <si>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</si>
  <si>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</si>
  <si>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</si>
  <si>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</si>
  <si>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</si>
  <si>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</si>
  <si>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</si>
  <si>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</si>
  <si>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</si>
  <si>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</si>
  <si>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</si>
  <si>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</si>
  <si>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</si>
  <si>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</si>
  <si>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</si>
  <si>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</si>
  <si>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</si>
  <si>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</si>
  <si>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</si>
  <si>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</si>
  <si>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</si>
  <si>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</si>
  <si>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</si>
  <si>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</si>
  <si>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</si>
  <si>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</si>
  <si>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</si>
  <si>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</si>
  <si>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</si>
  <si>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</si>
  <si>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</si>
  <si>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</si>
  <si>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</si>
  <si>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</si>
  <si>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</si>
  <si>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</si>
  <si>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</si>
  <si>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</si>
  <si>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</si>
  <si>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</si>
  <si>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</si>
  <si>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</si>
  <si>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</si>
  <si>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</si>
  <si>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</si>
  <si>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</si>
  <si>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</si>
  <si>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</si>
  <si>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</si>
  <si>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</si>
  <si>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</si>
  <si>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</si>
  <si>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</si>
  <si>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</si>
  <si>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</si>
  <si>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</si>
  <si>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</si>
  <si>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</si>
  <si>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</si>
  <si>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</si>
  <si>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</si>
  <si>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</si>
  <si>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</si>
  <si>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</si>
  <si>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</si>
  <si>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</si>
  <si>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</si>
  <si>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</si>
  <si>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</si>
  <si>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</si>
  <si>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</si>
  <si>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</si>
  <si>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</si>
  <si>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</si>
  <si>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</si>
  <si>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</si>
  <si>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</si>
  <si>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</si>
  <si>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</si>
  <si>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</si>
  <si>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</si>
  <si>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</si>
  <si>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</si>
  <si>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</si>
  <si>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</si>
  <si>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</si>
  <si>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</si>
  <si>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</si>
  <si>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</si>
  <si>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</si>
  <si>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</si>
  <si>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</si>
  <si>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</si>
  <si>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</si>
  <si>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</si>
  <si>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</si>
  <si>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</si>
  <si>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</si>
  <si>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</si>
  <si>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</si>
  <si>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</si>
  <si>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</si>
  <si>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</si>
  <si>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</si>
  <si>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</si>
  <si>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</si>
  <si>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</si>
  <si>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</si>
  <si>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</si>
  <si>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</si>
  <si>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</si>
  <si>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</si>
  <si>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</si>
  <si>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</si>
  <si>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</si>
  <si>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</si>
  <si>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</si>
  <si>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</si>
  <si>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</si>
  <si>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</si>
  <si>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</si>
  <si>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</si>
  <si>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</si>
  <si>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</si>
  <si>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</si>
  <si>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</si>
  <si>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</si>
  <si>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</si>
  <si>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</si>
  <si>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</si>
  <si>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</si>
  <si>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</si>
  <si>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</si>
  <si>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</si>
  <si>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</si>
  <si>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</si>
  <si>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</si>
  <si>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</si>
  <si>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</si>
  <si>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</si>
  <si>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</si>
  <si>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</si>
  <si>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</si>
  <si>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</si>
  <si>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</si>
  <si>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</si>
  <si>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</si>
  <si>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</si>
  <si>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</si>
  <si>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</si>
  <si>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</si>
  <si>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</si>
  <si>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</si>
  <si>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</si>
  <si>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</si>
  <si>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</si>
  <si>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</si>
  <si>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</si>
  <si>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</si>
  <si>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</si>
  <si>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</si>
  <si>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</si>
  <si>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</si>
  <si>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</si>
  <si>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</si>
  <si>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</si>
  <si>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</si>
  <si>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</si>
  <si>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</si>
  <si>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</si>
  <si>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</si>
  <si>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</si>
  <si>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</si>
  <si>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</si>
  <si>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</si>
  <si>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</si>
  <si>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</si>
  <si>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</si>
  <si>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</si>
  <si>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</si>
  <si>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</si>
  <si>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</si>
  <si>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</si>
  <si>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</si>
  <si>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</si>
  <si>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</si>
  <si>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</si>
  <si>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</si>
  <si>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</si>
  <si>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</si>
  <si>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</si>
  <si>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</si>
  <si>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</si>
  <si>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</si>
  <si>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</si>
  <si>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</si>
  <si>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</si>
  <si>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</si>
  <si>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</si>
  <si>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</si>
  <si>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</si>
  <si>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</si>
  <si>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</si>
  <si>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</si>
  <si>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</si>
  <si>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</si>
  <si>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</si>
  <si>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</si>
  <si>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</si>
  <si>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</si>
  <si>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</si>
  <si>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</si>
  <si>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</si>
  <si>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</si>
  <si>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</si>
  <si>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</si>
  <si>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</si>
  <si>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</si>
  <si>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</si>
  <si>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</si>
  <si>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</si>
  <si>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</si>
  <si>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</si>
  <si>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</si>
  <si>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</si>
  <si>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</si>
  <si>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</si>
  <si>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</si>
  <si>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</si>
  <si>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</si>
  <si>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</si>
  <si>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</si>
  <si>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</si>
  <si>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</si>
  <si>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</si>
  <si>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</si>
  <si>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</si>
  <si>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</si>
  <si>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</si>
  <si>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</si>
  <si>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</si>
  <si>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</si>
  <si>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</si>
  <si>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</si>
  <si>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</si>
  <si>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</si>
  <si>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</si>
  <si>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</si>
  <si>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</si>
  <si>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</si>
  <si>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</si>
  <si>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</si>
  <si>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</si>
  <si>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</si>
  <si>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</si>
  <si>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</si>
  <si>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</si>
  <si>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</si>
  <si>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</si>
  <si>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</si>
  <si>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</si>
  <si>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</si>
  <si>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</si>
  <si>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</si>
  <si>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</si>
  <si>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</si>
  <si>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</si>
  <si>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</si>
  <si>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</si>
  <si>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</si>
  <si>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</si>
  <si>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</si>
  <si>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</si>
  <si>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</si>
  <si>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</si>
  <si>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</si>
  <si>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</si>
  <si>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</si>
  <si>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</si>
  <si>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</si>
  <si>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</si>
  <si>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</si>
  <si>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</si>
  <si>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</si>
  <si>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</si>
  <si>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</si>
  <si>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</si>
  <si>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</si>
  <si>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</si>
  <si>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</si>
  <si>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</si>
  <si>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</si>
  <si>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</si>
  <si>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</si>
  <si>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</si>
  <si>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</si>
  <si>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</si>
  <si>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</si>
  <si>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</si>
  <si>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</si>
  <si>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</si>
  <si>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</si>
  <si>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</si>
  <si>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</si>
  <si>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</si>
  <si>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</si>
  <si>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</si>
  <si>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</si>
  <si>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</si>
  <si>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</si>
  <si>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</si>
  <si>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</si>
  <si>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</si>
  <si>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</si>
  <si>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</si>
  <si>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</si>
  <si>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</si>
  <si>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</si>
  <si>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</si>
  <si>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</si>
  <si>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</si>
  <si>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</si>
  <si>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</si>
  <si>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</si>
  <si>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</si>
  <si>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</si>
  <si>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</si>
  <si>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</si>
  <si>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</si>
  <si>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</si>
  <si>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</si>
  <si>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</si>
  <si>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</si>
  <si>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</si>
  <si>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</si>
  <si>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</si>
  <si>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</si>
  <si>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</si>
  <si>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</si>
  <si>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</si>
  <si>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</si>
  <si>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</si>
  <si>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</si>
  <si>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</si>
  <si>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</si>
  <si>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</si>
  <si>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</si>
  <si>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</si>
  <si>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</si>
  <si>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</si>
  <si>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</si>
  <si>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</si>
  <si>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</si>
  <si>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</si>
  <si>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</si>
  <si>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</si>
  <si>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</si>
  <si>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</si>
  <si>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</si>
  <si>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</si>
  <si>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</si>
  <si>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</si>
  <si>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</si>
  <si>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</si>
  <si>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</si>
  <si>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</si>
  <si>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</si>
  <si>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</si>
  <si>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</si>
  <si>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</si>
  <si>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</si>
  <si>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</si>
  <si>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</si>
  <si>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</si>
  <si>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</si>
  <si>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</si>
  <si>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</si>
  <si>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</si>
  <si>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</si>
  <si>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</si>
  <si>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</si>
  <si>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</si>
  <si>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</si>
  <si>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</si>
  <si>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</si>
  <si>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</si>
  <si>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</si>
  <si>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</si>
  <si>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</si>
  <si>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</si>
  <si>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</si>
  <si>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</si>
  <si>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</si>
  <si>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</si>
  <si>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</si>
  <si>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</si>
  <si>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</si>
  <si>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</si>
  <si>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</si>
  <si>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</si>
  <si>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</si>
  <si>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</si>
  <si>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</si>
  <si>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</si>
  <si>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</si>
  <si>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</si>
  <si>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</si>
  <si>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</si>
  <si>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</si>
  <si>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</si>
  <si>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</si>
  <si>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</si>
  <si>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</si>
  <si>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</si>
  <si>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</si>
  <si>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</si>
  <si>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</si>
  <si>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</si>
  <si>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</si>
  <si>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</si>
  <si>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Moore &amp; Simonin, PC</t>
  </si>
  <si>
    <t>Robert E. Moore, CPA</t>
  </si>
  <si>
    <t>3636 North Belt West</t>
  </si>
  <si>
    <t>Belleville</t>
  </si>
  <si>
    <t>IL</t>
  </si>
  <si>
    <t>618-233-5049</t>
  </si>
  <si>
    <t>618-233-1061</t>
  </si>
  <si>
    <t>066-005248</t>
  </si>
  <si>
    <t>mooresimonin@mrsaccountants.com</t>
  </si>
  <si>
    <t>St. Clair</t>
  </si>
  <si>
    <t>410 Huntwood Drive</t>
  </si>
  <si>
    <t>Swansea</t>
  </si>
  <si>
    <t>Mine subsidence forced closure of District Middle School.  It is unknown what the ultimate financial cost of contruction will be.</t>
  </si>
  <si>
    <t>2015A Taxable GO</t>
  </si>
  <si>
    <t>2015B Refunding GO</t>
  </si>
  <si>
    <t>2015C</t>
  </si>
  <si>
    <t>Working Cash Taxable</t>
  </si>
  <si>
    <t>ED-Food Service-Purchased Service</t>
  </si>
  <si>
    <t>10-2560-300</t>
  </si>
  <si>
    <t>Aramark</t>
  </si>
  <si>
    <t>TRANS-Transportation-Purchased Service</t>
  </si>
  <si>
    <t>10-2550-300</t>
  </si>
  <si>
    <t>First Student</t>
  </si>
  <si>
    <t>BASSC</t>
  </si>
  <si>
    <t>BTHS District 201</t>
  </si>
  <si>
    <t>Page 11, Line 107:  Miscellaneous - $4,024</t>
  </si>
  <si>
    <t>Page 11, Line 106:  Pre-K fees - $97,217</t>
  </si>
  <si>
    <t>Page 11, Line 106:  Pre-K fees - $20,275</t>
  </si>
  <si>
    <t>Whether the School District had the resources to prepare their financial statements in accordance with U.S. generally accepted accounting principles or another comprehensive basis of accounting for the year ended June 30, 2018.</t>
  </si>
  <si>
    <t>We noted that the School District was not able to prepare their financial statements in accordance with U.S. generally accepted accounting principles or another comprehensive basis of accounting for the year ended June 30, 2018.</t>
  </si>
  <si>
    <t>The School District does not have internal controls over their finanial reporting.</t>
  </si>
  <si>
    <t>The School District is unable to prepare their financial statements in accordance with U.S. generally accepted accounting principles or another comprehensive basis of accounting for the year ended June 30, 2018.</t>
  </si>
  <si>
    <t>The District is able to prepare its financial reports, but lacks the resources to research, study and apply all new reporting standards necessary to complete the related notes and exhibits.</t>
  </si>
  <si>
    <t>To study the cost versus benefits of providing the necessary education and training to staff in order to prepare the financial statements in accordance with another comprehensive basis of accounting.</t>
  </si>
  <si>
    <t>Management plans to study the cost versus benefit of providing the necessary education and training to staff or continue to use their auditor to prepare all necessary financial statements.</t>
  </si>
  <si>
    <t>Wolf Branch SD 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</si>
</sst>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cellStyleXfs>
  <cellXfs count="2505">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0" fillId="0" borderId="19" xfId="12" applyNumberFormat="1"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7"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11</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1" t="s">
        <v>425</v>
      </c>
      <c r="J1" s="2002"/>
      <c r="K1" s="2002"/>
      <c r="L1" s="2002"/>
      <c r="M1" s="2002"/>
      <c r="N1" s="2002"/>
      <c r="O1" s="2002"/>
      <c r="P1" s="2002"/>
      <c r="Q1" s="2002"/>
      <c r="R1" s="2002"/>
      <c r="S1" s="2002"/>
    </row>
    <row r="2" spans="1:28" ht="12" customHeight="1" x14ac:dyDescent="0.2">
      <c r="A2" s="47" t="s">
        <v>1684</v>
      </c>
      <c r="D2" s="48"/>
      <c r="I2" s="2003" t="s">
        <v>1036</v>
      </c>
      <c r="J2" s="2002"/>
      <c r="K2" s="2002"/>
      <c r="L2" s="2002"/>
      <c r="M2" s="2002"/>
      <c r="N2" s="2002"/>
      <c r="O2" s="2002"/>
      <c r="P2" s="2002"/>
      <c r="Q2" s="2002"/>
      <c r="R2" s="2002"/>
      <c r="S2" s="2002"/>
    </row>
    <row r="3" spans="1:28" ht="12" customHeight="1" x14ac:dyDescent="0.2">
      <c r="A3" s="155" t="s">
        <v>1685</v>
      </c>
      <c r="B3" s="156"/>
      <c r="C3" s="156"/>
      <c r="D3" s="157"/>
      <c r="I3" s="2003" t="s">
        <v>54</v>
      </c>
      <c r="J3" s="2002"/>
      <c r="K3" s="2002"/>
      <c r="L3" s="2002"/>
      <c r="M3" s="2002"/>
      <c r="N3" s="2002"/>
      <c r="O3" s="2002"/>
      <c r="P3" s="2002"/>
      <c r="Q3" s="2002"/>
      <c r="R3" s="2002"/>
      <c r="S3" s="2002"/>
    </row>
    <row r="4" spans="1:28" ht="12" customHeight="1" x14ac:dyDescent="0.2">
      <c r="A4" s="37"/>
      <c r="I4" s="2003" t="s">
        <v>545</v>
      </c>
      <c r="J4" s="2002"/>
      <c r="K4" s="2002"/>
      <c r="L4" s="2002"/>
      <c r="M4" s="2002"/>
      <c r="N4" s="2002"/>
      <c r="O4" s="2002"/>
      <c r="P4" s="2002"/>
      <c r="Q4" s="2002"/>
      <c r="R4" s="2002"/>
      <c r="S4" s="2002"/>
    </row>
    <row r="5" spans="1:28" ht="14.1" customHeight="1" x14ac:dyDescent="0.2">
      <c r="B5" s="104" t="s">
        <v>2077</v>
      </c>
      <c r="C5" s="26" t="s">
        <v>966</v>
      </c>
      <c r="D5" s="84"/>
      <c r="E5" s="84"/>
      <c r="H5" s="38"/>
      <c r="I5" s="2011" t="s">
        <v>701</v>
      </c>
      <c r="J5" s="2010"/>
      <c r="K5" s="2010"/>
      <c r="L5" s="2010"/>
      <c r="M5" s="2010"/>
      <c r="N5" s="2010"/>
      <c r="O5" s="2010"/>
      <c r="P5" s="2010"/>
      <c r="Q5" s="2010"/>
      <c r="R5" s="2010"/>
      <c r="S5" s="2010"/>
    </row>
    <row r="6" spans="1:28" ht="14.1" customHeight="1" x14ac:dyDescent="0.2">
      <c r="B6" s="104"/>
      <c r="C6" s="26" t="s">
        <v>967</v>
      </c>
      <c r="D6" s="84"/>
      <c r="E6" s="84"/>
      <c r="I6" s="2009" t="s">
        <v>938</v>
      </c>
      <c r="J6" s="2010"/>
      <c r="K6" s="2010"/>
      <c r="L6" s="2010"/>
      <c r="M6" s="2010"/>
      <c r="N6" s="2010"/>
      <c r="O6" s="2010"/>
      <c r="P6" s="2010"/>
      <c r="Q6" s="2010"/>
      <c r="R6" s="2010"/>
      <c r="S6" s="2010"/>
    </row>
    <row r="7" spans="1:28" ht="12.2" customHeight="1" x14ac:dyDescent="0.2">
      <c r="I7" s="2004">
        <v>43281</v>
      </c>
      <c r="J7" s="2005"/>
      <c r="K7" s="2005"/>
      <c r="L7" s="2005"/>
      <c r="M7" s="2005"/>
      <c r="N7" s="2005"/>
      <c r="O7" s="2005"/>
      <c r="P7" s="2005"/>
      <c r="Q7" s="2005"/>
      <c r="R7" s="2005"/>
      <c r="S7" s="200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6" t="s">
        <v>695</v>
      </c>
      <c r="J9" s="2007"/>
      <c r="K9" s="2007"/>
      <c r="L9" s="2007"/>
      <c r="M9" s="2007"/>
      <c r="N9" s="2007"/>
      <c r="O9" s="2007"/>
      <c r="P9" s="2007"/>
      <c r="Q9" s="2007"/>
      <c r="R9" s="2007"/>
      <c r="S9" s="2008"/>
      <c r="T9" s="2022" t="s">
        <v>554</v>
      </c>
      <c r="U9" s="2023"/>
      <c r="V9" s="2023"/>
      <c r="W9" s="2023"/>
      <c r="X9" s="2023"/>
      <c r="Y9" s="2023"/>
      <c r="Z9" s="2023"/>
      <c r="AA9" s="2024"/>
    </row>
    <row r="10" spans="1:28" ht="13.5" customHeight="1" x14ac:dyDescent="0.2">
      <c r="A10" s="2029" t="s">
        <v>696</v>
      </c>
      <c r="B10" s="2030"/>
      <c r="C10" s="2030"/>
      <c r="D10" s="2030"/>
      <c r="E10" s="2030"/>
      <c r="F10" s="2030"/>
      <c r="G10" s="2030"/>
      <c r="H10" s="2031"/>
      <c r="I10" s="29"/>
      <c r="J10" s="30"/>
      <c r="K10" s="28"/>
      <c r="R10" s="30"/>
      <c r="S10" s="30"/>
      <c r="T10" s="2025"/>
      <c r="U10" s="2010"/>
      <c r="V10" s="2010"/>
      <c r="W10" s="2010"/>
      <c r="X10" s="2010"/>
      <c r="Y10" s="2010"/>
      <c r="Z10" s="2010"/>
      <c r="AA10" s="2016"/>
    </row>
    <row r="11" spans="1:28" ht="14.25" customHeight="1" x14ac:dyDescent="0.2">
      <c r="A11" s="2032" t="s">
        <v>1012</v>
      </c>
      <c r="B11" s="2033"/>
      <c r="C11" s="2033"/>
      <c r="D11" s="2033"/>
      <c r="E11" s="2033"/>
      <c r="F11" s="2033"/>
      <c r="G11" s="2033"/>
      <c r="H11" s="2034"/>
      <c r="I11" s="27"/>
      <c r="J11" s="74"/>
      <c r="K11" s="27"/>
      <c r="O11" s="148" t="s">
        <v>2077</v>
      </c>
      <c r="P11" s="100" t="s">
        <v>210</v>
      </c>
      <c r="Q11" s="30"/>
      <c r="R11" s="28"/>
      <c r="S11" s="27"/>
      <c r="T11" s="2026"/>
      <c r="U11" s="2027"/>
      <c r="V11" s="2027"/>
      <c r="W11" s="2027"/>
      <c r="X11" s="2027"/>
      <c r="Y11" s="2027"/>
      <c r="Z11" s="2027"/>
      <c r="AA11" s="2028"/>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6">
        <v>50082113002</v>
      </c>
      <c r="B13" s="2037"/>
      <c r="C13" s="2037"/>
      <c r="D13" s="2037"/>
      <c r="E13" s="2037"/>
      <c r="F13" s="2037"/>
      <c r="G13" s="2037"/>
      <c r="H13" s="2038"/>
      <c r="I13" s="31"/>
      <c r="J13" s="30"/>
      <c r="K13" s="28"/>
      <c r="L13" s="30"/>
      <c r="M13" s="30"/>
      <c r="N13" s="30"/>
      <c r="O13" s="30"/>
      <c r="P13" s="30"/>
      <c r="Q13" s="30"/>
      <c r="R13" s="30"/>
      <c r="S13" s="30"/>
      <c r="T13" s="2041" t="s">
        <v>2078</v>
      </c>
      <c r="U13" s="2042"/>
      <c r="V13" s="2042"/>
      <c r="W13" s="2042"/>
      <c r="X13" s="2042"/>
      <c r="Y13" s="2043"/>
      <c r="Z13" s="2043"/>
      <c r="AA13" s="2044"/>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5" t="s">
        <v>2087</v>
      </c>
      <c r="B15" s="2039"/>
      <c r="C15" s="2039"/>
      <c r="D15" s="2039"/>
      <c r="E15" s="2039"/>
      <c r="F15" s="2039"/>
      <c r="G15" s="2039"/>
      <c r="H15" s="2040"/>
      <c r="T15" s="2045" t="s">
        <v>2079</v>
      </c>
      <c r="U15" s="1989"/>
      <c r="V15" s="1989"/>
      <c r="W15" s="1989"/>
      <c r="X15" s="1989"/>
      <c r="Y15" s="2046"/>
      <c r="Z15" s="2046"/>
      <c r="AA15" s="2047"/>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5" t="s">
        <v>2113</v>
      </c>
      <c r="B17" s="1996"/>
      <c r="C17" s="1996"/>
      <c r="D17" s="1996"/>
      <c r="E17" s="1996"/>
      <c r="F17" s="1996"/>
      <c r="G17" s="1996"/>
      <c r="H17" s="2021"/>
      <c r="T17" s="2052" t="s">
        <v>2080</v>
      </c>
      <c r="U17" s="2053"/>
      <c r="V17" s="2053"/>
      <c r="W17" s="2053"/>
      <c r="X17" s="2053"/>
      <c r="Y17" s="2053"/>
      <c r="Z17" s="2053"/>
      <c r="AA17" s="2054"/>
    </row>
    <row r="18" spans="1:27" ht="13.5" customHeight="1" x14ac:dyDescent="0.2">
      <c r="A18" s="85" t="s">
        <v>551</v>
      </c>
      <c r="B18" s="76"/>
      <c r="C18" s="72"/>
      <c r="D18" s="76"/>
      <c r="E18" s="76"/>
      <c r="F18" s="76"/>
      <c r="G18" s="76"/>
      <c r="H18" s="56"/>
      <c r="I18" s="2020" t="s">
        <v>697</v>
      </c>
      <c r="J18" s="1971"/>
      <c r="K18" s="1971"/>
      <c r="L18" s="1971"/>
      <c r="M18" s="1971"/>
      <c r="N18" s="1971"/>
      <c r="O18" s="1971"/>
      <c r="P18" s="1971"/>
      <c r="Q18" s="1971"/>
      <c r="R18" s="1971"/>
      <c r="S18" s="1972"/>
      <c r="T18" s="85" t="s">
        <v>735</v>
      </c>
      <c r="U18" s="51"/>
      <c r="V18" s="72"/>
      <c r="W18" s="50"/>
      <c r="X18" s="85" t="s">
        <v>284</v>
      </c>
      <c r="Y18" s="81"/>
      <c r="Z18" s="159" t="s">
        <v>698</v>
      </c>
      <c r="AA18" s="46"/>
    </row>
    <row r="19" spans="1:27" ht="13.5" customHeight="1" x14ac:dyDescent="0.2">
      <c r="A19" s="2035" t="s">
        <v>2088</v>
      </c>
      <c r="B19" s="1981"/>
      <c r="C19" s="1981"/>
      <c r="D19" s="1981"/>
      <c r="E19" s="1981"/>
      <c r="F19" s="1981"/>
      <c r="G19" s="1981"/>
      <c r="H19" s="1961"/>
      <c r="I19" s="30"/>
      <c r="J19" s="99"/>
      <c r="K19" s="40"/>
      <c r="L19" s="38"/>
      <c r="M19" s="112" t="s">
        <v>333</v>
      </c>
      <c r="P19" s="27"/>
      <c r="Q19" s="27"/>
      <c r="R19" s="27"/>
      <c r="S19" s="31"/>
      <c r="T19" s="2035" t="s">
        <v>2081</v>
      </c>
      <c r="U19" s="1960"/>
      <c r="V19" s="1960"/>
      <c r="W19" s="1961"/>
      <c r="X19" s="2050" t="s">
        <v>2082</v>
      </c>
      <c r="Y19" s="2051"/>
      <c r="Z19" s="2048">
        <v>62226</v>
      </c>
      <c r="AA19" s="2049"/>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9" t="s">
        <v>2089</v>
      </c>
      <c r="B21" s="1960"/>
      <c r="C21" s="1960"/>
      <c r="D21" s="1960"/>
      <c r="E21" s="1960"/>
      <c r="F21" s="1960"/>
      <c r="G21" s="1960"/>
      <c r="H21" s="1961"/>
      <c r="I21" s="2015" t="s">
        <v>699</v>
      </c>
      <c r="J21" s="2010"/>
      <c r="K21" s="2010"/>
      <c r="L21" s="2010"/>
      <c r="M21" s="2010"/>
      <c r="N21" s="2010"/>
      <c r="O21" s="2010"/>
      <c r="P21" s="2010"/>
      <c r="Q21" s="2010"/>
      <c r="R21" s="2010"/>
      <c r="S21" s="2016"/>
      <c r="T21" s="2059" t="s">
        <v>2083</v>
      </c>
      <c r="U21" s="2060"/>
      <c r="V21" s="2060"/>
      <c r="W21" s="2060"/>
      <c r="X21" s="2065" t="s">
        <v>2084</v>
      </c>
      <c r="Y21" s="2066"/>
      <c r="Z21" s="2066"/>
      <c r="AA21" s="2067"/>
    </row>
    <row r="22" spans="1:27" ht="13.5" customHeight="1" x14ac:dyDescent="0.2">
      <c r="A22" s="87" t="s">
        <v>552</v>
      </c>
      <c r="B22" s="59"/>
      <c r="C22" s="59"/>
      <c r="D22" s="59"/>
      <c r="E22" s="59"/>
      <c r="F22" s="59"/>
      <c r="G22" s="59"/>
      <c r="H22" s="60"/>
      <c r="I22" s="2017" t="s">
        <v>1504</v>
      </c>
      <c r="J22" s="2018"/>
      <c r="K22" s="2018"/>
      <c r="L22" s="2018"/>
      <c r="M22" s="2018"/>
      <c r="N22" s="2018"/>
      <c r="O22" s="2018"/>
      <c r="P22" s="2018"/>
      <c r="Q22" s="2018"/>
      <c r="R22" s="2018"/>
      <c r="S22" s="2019"/>
      <c r="T22" s="85" t="s">
        <v>1596</v>
      </c>
      <c r="U22" s="51"/>
      <c r="V22" s="72"/>
      <c r="W22" s="51"/>
      <c r="X22" s="160" t="s">
        <v>1385</v>
      </c>
      <c r="Z22" s="45"/>
      <c r="AA22" s="46"/>
    </row>
    <row r="23" spans="1:27" ht="13.5" customHeight="1" x14ac:dyDescent="0.2">
      <c r="A23" s="2012"/>
      <c r="B23" s="2013"/>
      <c r="C23" s="2013"/>
      <c r="D23" s="2013"/>
      <c r="E23" s="2013"/>
      <c r="F23" s="2013"/>
      <c r="G23" s="2013"/>
      <c r="H23" s="2014"/>
      <c r="T23" s="1995" t="s">
        <v>2085</v>
      </c>
      <c r="U23" s="2058"/>
      <c r="V23" s="2058"/>
      <c r="W23" s="2058"/>
      <c r="X23" s="2062">
        <v>43434</v>
      </c>
      <c r="Y23" s="2063"/>
      <c r="Z23" s="2063"/>
      <c r="AA23" s="2064"/>
    </row>
    <row r="24" spans="1:27" ht="14.1" customHeight="1" x14ac:dyDescent="0.2">
      <c r="A24" s="88" t="s">
        <v>698</v>
      </c>
      <c r="B24" s="49"/>
      <c r="C24" s="49"/>
      <c r="D24" s="49"/>
      <c r="E24" s="49"/>
      <c r="F24" s="49"/>
      <c r="G24" s="49"/>
      <c r="H24" s="61"/>
      <c r="J24" s="1982">
        <f>IF(B5="x",IF(AUDITCHECK!D29="AFR form Incomplete.","",IF(AUDITCHECK!D29="Deficit reduction plan is required.","School District must complete a deficit reduction plan in the 2018-2019 Budget",)),"")</f>
        <v>0</v>
      </c>
      <c r="K24" s="1982"/>
      <c r="L24" s="1982"/>
      <c r="M24" s="1982"/>
      <c r="N24" s="1982"/>
      <c r="O24" s="1982"/>
      <c r="P24" s="1982"/>
      <c r="Q24" s="1982"/>
      <c r="R24" s="1982"/>
      <c r="S24" s="1983"/>
      <c r="T24" s="105" t="s">
        <v>552</v>
      </c>
      <c r="U24" s="106"/>
      <c r="V24" s="106"/>
      <c r="W24" s="106"/>
      <c r="X24" s="107"/>
      <c r="Y24" s="107"/>
      <c r="Z24" s="107"/>
      <c r="AA24" s="108"/>
    </row>
    <row r="25" spans="1:27" ht="14.1" customHeight="1" x14ac:dyDescent="0.2">
      <c r="A25" s="1959">
        <v>62226</v>
      </c>
      <c r="B25" s="1960"/>
      <c r="C25" s="1960"/>
      <c r="D25" s="1960"/>
      <c r="E25" s="1960"/>
      <c r="F25" s="1960"/>
      <c r="G25" s="1960"/>
      <c r="H25" s="1961"/>
      <c r="I25" s="113"/>
      <c r="J25" s="1984"/>
      <c r="K25" s="1984"/>
      <c r="L25" s="1984"/>
      <c r="M25" s="1984"/>
      <c r="N25" s="1984"/>
      <c r="O25" s="1984"/>
      <c r="P25" s="1984"/>
      <c r="Q25" s="1984"/>
      <c r="R25" s="1984"/>
      <c r="S25" s="1985"/>
      <c r="T25" s="2055" t="s">
        <v>2086</v>
      </c>
      <c r="U25" s="2056"/>
      <c r="V25" s="2056"/>
      <c r="W25" s="2056"/>
      <c r="X25" s="2056"/>
      <c r="Y25" s="2056"/>
      <c r="Z25" s="2056"/>
      <c r="AA25" s="205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70" t="s">
        <v>1591</v>
      </c>
      <c r="J27" s="1971"/>
      <c r="K27" s="1971"/>
      <c r="L27" s="1971"/>
      <c r="M27" s="1971"/>
      <c r="N27" s="1971"/>
      <c r="O27" s="1971"/>
      <c r="P27" s="1971"/>
      <c r="Q27" s="1971"/>
      <c r="R27" s="1971"/>
      <c r="S27" s="197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2077</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1"/>
      <c r="Q35" s="1960"/>
      <c r="R35" s="196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5"/>
      <c r="B38" s="1996"/>
      <c r="C38" s="1996"/>
      <c r="D38" s="1996"/>
      <c r="E38" s="1996"/>
      <c r="F38" s="1960"/>
      <c r="G38" s="1960"/>
      <c r="H38" s="1961"/>
      <c r="I38" s="1988"/>
      <c r="J38" s="1989"/>
      <c r="K38" s="1989"/>
      <c r="L38" s="1989"/>
      <c r="M38" s="1989"/>
      <c r="N38" s="1989"/>
      <c r="O38" s="1989"/>
      <c r="P38" s="1990"/>
      <c r="Q38" s="1990"/>
      <c r="R38" s="1990"/>
      <c r="S38" s="1991"/>
      <c r="T38" s="2045"/>
      <c r="U38" s="1989"/>
      <c r="V38" s="1989"/>
      <c r="W38" s="1989"/>
      <c r="X38" s="1990"/>
      <c r="Y38" s="1990"/>
      <c r="Z38" s="1990"/>
      <c r="AA38" s="1991"/>
    </row>
    <row r="39" spans="1:27" ht="12" customHeight="1" x14ac:dyDescent="0.2">
      <c r="A39" s="1965" t="s">
        <v>552</v>
      </c>
      <c r="B39" s="1966"/>
      <c r="C39" s="72"/>
      <c r="D39" s="69"/>
      <c r="E39" s="69"/>
      <c r="F39" s="79"/>
      <c r="G39" s="69"/>
      <c r="H39" s="56"/>
      <c r="I39" s="1965" t="s">
        <v>552</v>
      </c>
      <c r="J39" s="1966"/>
      <c r="K39" s="1966"/>
      <c r="L39" s="1966"/>
      <c r="M39" s="1966"/>
      <c r="N39" s="67"/>
      <c r="O39" s="72"/>
      <c r="P39" s="72"/>
      <c r="Q39" s="78"/>
      <c r="R39" s="72"/>
      <c r="S39" s="56"/>
      <c r="T39" s="72" t="s">
        <v>552</v>
      </c>
      <c r="U39" s="51"/>
      <c r="V39" s="72"/>
      <c r="W39" s="50"/>
      <c r="X39" s="78"/>
      <c r="Y39" s="45"/>
      <c r="Z39" s="45"/>
      <c r="AA39" s="46"/>
    </row>
    <row r="40" spans="1:27" ht="13.5" customHeight="1" x14ac:dyDescent="0.2">
      <c r="A40" s="1973"/>
      <c r="B40" s="1974"/>
      <c r="C40" s="1975"/>
      <c r="D40" s="1975"/>
      <c r="E40" s="1975"/>
      <c r="F40" s="1976"/>
      <c r="G40" s="1976"/>
      <c r="H40" s="1977"/>
      <c r="I40" s="1998"/>
      <c r="J40" s="1999"/>
      <c r="K40" s="1999"/>
      <c r="L40" s="1999"/>
      <c r="M40" s="1999"/>
      <c r="N40" s="1999"/>
      <c r="O40" s="1999"/>
      <c r="P40" s="1999"/>
      <c r="Q40" s="1999"/>
      <c r="R40" s="1999"/>
      <c r="S40" s="2000"/>
      <c r="T40" s="1998"/>
      <c r="U40" s="2061"/>
      <c r="V40" s="1999"/>
      <c r="W40" s="1999"/>
      <c r="X40" s="1999"/>
      <c r="Y40" s="1999"/>
      <c r="Z40" s="1999"/>
      <c r="AA40" s="2000"/>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7"/>
      <c r="B42" s="1979"/>
      <c r="C42" s="1980"/>
      <c r="D42" s="1978"/>
      <c r="E42" s="1979"/>
      <c r="F42" s="1979"/>
      <c r="G42" s="1979"/>
      <c r="H42" s="1980"/>
      <c r="I42" s="1962"/>
      <c r="J42" s="1963"/>
      <c r="K42" s="1963"/>
      <c r="L42" s="1963"/>
      <c r="M42" s="1963"/>
      <c r="N42" s="1963"/>
      <c r="O42" s="1964"/>
      <c r="P42" s="1997"/>
      <c r="Q42" s="1963"/>
      <c r="R42" s="1963"/>
      <c r="S42" s="1964"/>
      <c r="T42" s="1962"/>
      <c r="U42" s="1963"/>
      <c r="V42" s="1963"/>
      <c r="W42" s="1964"/>
      <c r="X42" s="1997"/>
      <c r="Y42" s="1963"/>
      <c r="Z42" s="1963"/>
      <c r="AA42" s="1964"/>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2"/>
      <c r="B44" s="1993"/>
      <c r="C44" s="1993"/>
      <c r="D44" s="1993"/>
      <c r="E44" s="1993"/>
      <c r="F44" s="1993"/>
      <c r="G44" s="1993"/>
      <c r="H44" s="1994"/>
      <c r="I44" s="1967"/>
      <c r="J44" s="1968"/>
      <c r="K44" s="1968"/>
      <c r="L44" s="1968"/>
      <c r="M44" s="1968"/>
      <c r="N44" s="1968"/>
      <c r="O44" s="1968"/>
      <c r="P44" s="1968"/>
      <c r="Q44" s="1968"/>
      <c r="R44" s="1968"/>
      <c r="S44" s="1969"/>
      <c r="T44" s="1967"/>
      <c r="U44" s="1986"/>
      <c r="V44" s="1986"/>
      <c r="W44" s="1986"/>
      <c r="X44" s="1986"/>
      <c r="Y44" s="1986"/>
      <c r="Z44" s="1968"/>
      <c r="AA44" s="1969"/>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8" sqref="A8"/>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1" t="s">
        <v>1905</v>
      </c>
      <c r="B2" s="1550" t="s">
        <v>2035</v>
      </c>
      <c r="C2" s="715" t="s">
        <v>1910</v>
      </c>
      <c r="D2" s="715" t="s">
        <v>1911</v>
      </c>
      <c r="E2" s="715" t="s">
        <v>1912</v>
      </c>
      <c r="F2" s="715" t="s">
        <v>1913</v>
      </c>
    </row>
    <row r="3" spans="1:6" ht="12" customHeight="1" x14ac:dyDescent="0.2">
      <c r="A3" s="2202"/>
      <c r="B3" s="1547"/>
      <c r="C3" s="1548"/>
      <c r="D3" s="1549" t="s">
        <v>274</v>
      </c>
      <c r="E3" s="1548"/>
      <c r="F3" s="1549" t="s">
        <v>275</v>
      </c>
    </row>
    <row r="4" spans="1:6" ht="13.7" customHeight="1" x14ac:dyDescent="0.2">
      <c r="A4" s="716" t="s">
        <v>1217</v>
      </c>
      <c r="B4" s="1771">
        <f>'Revenues 9-14'!C5</f>
        <v>3165036</v>
      </c>
      <c r="C4" s="1546"/>
      <c r="D4" s="1774">
        <f>B4-C4</f>
        <v>3165036</v>
      </c>
      <c r="E4" s="1546">
        <v>3159029</v>
      </c>
      <c r="F4" s="1774">
        <f>E4-C4</f>
        <v>3159029</v>
      </c>
    </row>
    <row r="5" spans="1:6" ht="13.7" customHeight="1" x14ac:dyDescent="0.2">
      <c r="A5" s="716" t="s">
        <v>925</v>
      </c>
      <c r="B5" s="1772">
        <f>'Revenues 9-14'!D5</f>
        <v>941374</v>
      </c>
      <c r="C5" s="585"/>
      <c r="D5" s="1775">
        <f t="shared" ref="D5:D18" si="0">B5-C5</f>
        <v>941374</v>
      </c>
      <c r="E5" s="585">
        <v>992838</v>
      </c>
      <c r="F5" s="1775">
        <f>E5-C5</f>
        <v>992838</v>
      </c>
    </row>
    <row r="6" spans="1:6" ht="13.7" customHeight="1" x14ac:dyDescent="0.2">
      <c r="A6" s="716" t="s">
        <v>431</v>
      </c>
      <c r="B6" s="1772">
        <f>'Revenues 9-14'!E5</f>
        <v>1852365</v>
      </c>
      <c r="C6" s="585"/>
      <c r="D6" s="1775">
        <f t="shared" si="0"/>
        <v>1852365</v>
      </c>
      <c r="E6" s="585">
        <v>1836930</v>
      </c>
      <c r="F6" s="1775">
        <f t="shared" ref="F6:F18" si="1">E6-C6</f>
        <v>1836930</v>
      </c>
    </row>
    <row r="7" spans="1:6" ht="13.7" customHeight="1" x14ac:dyDescent="0.2">
      <c r="A7" s="716" t="s">
        <v>157</v>
      </c>
      <c r="B7" s="1772">
        <f>'Revenues 9-14'!F5</f>
        <v>200756</v>
      </c>
      <c r="C7" s="585"/>
      <c r="D7" s="1775">
        <f t="shared" si="0"/>
        <v>200756</v>
      </c>
      <c r="E7" s="585">
        <v>216619</v>
      </c>
      <c r="F7" s="1775">
        <f t="shared" si="1"/>
        <v>216619</v>
      </c>
    </row>
    <row r="8" spans="1:6" ht="13.7" customHeight="1" x14ac:dyDescent="0.2">
      <c r="A8" s="716" t="s">
        <v>1241</v>
      </c>
      <c r="B8" s="1772">
        <f>'Revenues 9-14'!G5</f>
        <v>77948</v>
      </c>
      <c r="C8" s="585"/>
      <c r="D8" s="1775">
        <f t="shared" si="0"/>
        <v>77948</v>
      </c>
      <c r="E8" s="585">
        <v>67693</v>
      </c>
      <c r="F8" s="1775">
        <f t="shared" si="1"/>
        <v>67693</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90428</v>
      </c>
      <c r="C10" s="585"/>
      <c r="D10" s="1775">
        <f t="shared" si="0"/>
        <v>90428</v>
      </c>
      <c r="E10" s="585">
        <v>90258</v>
      </c>
      <c r="F10" s="1775">
        <f t="shared" si="1"/>
        <v>90258</v>
      </c>
    </row>
    <row r="11" spans="1:6" x14ac:dyDescent="0.2">
      <c r="A11" s="716" t="s">
        <v>429</v>
      </c>
      <c r="B11" s="1772">
        <f>'Revenues 9-14'!J5</f>
        <v>363279</v>
      </c>
      <c r="C11" s="585"/>
      <c r="D11" s="1775">
        <f t="shared" si="0"/>
        <v>363279</v>
      </c>
      <c r="E11" s="585">
        <v>365003</v>
      </c>
      <c r="F11" s="1775">
        <f t="shared" si="1"/>
        <v>365003</v>
      </c>
    </row>
    <row r="12" spans="1:6" ht="13.7" customHeight="1" x14ac:dyDescent="0.2">
      <c r="A12" s="716" t="s">
        <v>159</v>
      </c>
      <c r="B12" s="1772">
        <f>'Revenues 9-14'!K5</f>
        <v>90428</v>
      </c>
      <c r="C12" s="585"/>
      <c r="D12" s="1775">
        <f t="shared" si="0"/>
        <v>90428</v>
      </c>
      <c r="E12" s="585">
        <v>90258</v>
      </c>
      <c r="F12" s="1775">
        <f t="shared" si="1"/>
        <v>90258</v>
      </c>
    </row>
    <row r="13" spans="1:6" ht="13.7" customHeight="1" x14ac:dyDescent="0.2">
      <c r="A13" s="716" t="s">
        <v>993</v>
      </c>
      <c r="B13" s="1772">
        <f>SUM('Revenues 9-14'!C6:D6)</f>
        <v>86852</v>
      </c>
      <c r="C13" s="585"/>
      <c r="D13" s="1775">
        <f t="shared" si="0"/>
        <v>86852</v>
      </c>
      <c r="E13" s="585">
        <v>67152</v>
      </c>
      <c r="F13" s="1775">
        <f t="shared" si="1"/>
        <v>67152</v>
      </c>
    </row>
    <row r="14" spans="1:6" ht="13.7" customHeight="1" x14ac:dyDescent="0.2">
      <c r="A14" s="716" t="s">
        <v>430</v>
      </c>
      <c r="B14" s="1772">
        <f>SUM('Revenues 9-14'!C7:D7,'Revenues 9-14'!F7:H7)</f>
        <v>36175</v>
      </c>
      <c r="C14" s="585"/>
      <c r="D14" s="1775">
        <f t="shared" si="0"/>
        <v>36175</v>
      </c>
      <c r="E14" s="585">
        <v>36103</v>
      </c>
      <c r="F14" s="1775">
        <f t="shared" si="1"/>
        <v>36103</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83195</v>
      </c>
      <c r="C16" s="585"/>
      <c r="D16" s="1775">
        <f t="shared" si="0"/>
        <v>83195</v>
      </c>
      <c r="E16" s="585">
        <v>70040</v>
      </c>
      <c r="F16" s="1775">
        <f t="shared" si="1"/>
        <v>70040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6987836</v>
      </c>
      <c r="C19" s="1773">
        <f>SUM(C4:C18)</f>
        <v>0</v>
      </c>
      <c r="D19" s="1773">
        <f>SUM(D4:D18)</f>
        <v>6987836</v>
      </c>
      <c r="E19" s="1773">
        <f>SUM(E4:E18)</f>
        <v>6991923</v>
      </c>
      <c r="F19" s="1773">
        <f>SUM(F4:F18)</f>
        <v>6991923</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3" colorId="8" zoomScale="110" zoomScaleNormal="110" workbookViewId="0">
      <selection activeCell="A8" sqref="A8"/>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3" t="s">
        <v>650</v>
      </c>
      <c r="B1" s="2221"/>
      <c r="C1" s="722"/>
    </row>
    <row r="2" spans="1:7" ht="33.75" x14ac:dyDescent="0.2">
      <c r="A2" s="2228" t="s">
        <v>1905</v>
      </c>
      <c r="B2" s="2229"/>
      <c r="C2" s="1909" t="s">
        <v>2036</v>
      </c>
      <c r="D2" s="724" t="s">
        <v>2043</v>
      </c>
      <c r="E2" s="724" t="s">
        <v>2044</v>
      </c>
      <c r="F2" s="1909" t="s">
        <v>2037</v>
      </c>
    </row>
    <row r="3" spans="1:7" ht="15.75" customHeight="1" x14ac:dyDescent="0.2">
      <c r="A3" s="2230" t="s">
        <v>1176</v>
      </c>
      <c r="B3" s="2231"/>
      <c r="C3" s="2224"/>
      <c r="D3" s="2225"/>
      <c r="E3" s="2225"/>
      <c r="F3" s="2226"/>
    </row>
    <row r="4" spans="1:7" ht="12.75" customHeight="1" thickBot="1" x14ac:dyDescent="0.25">
      <c r="A4" s="2218" t="s">
        <v>651</v>
      </c>
      <c r="B4" s="2219"/>
      <c r="C4" s="581"/>
      <c r="D4" s="581"/>
      <c r="E4" s="581"/>
      <c r="F4" s="1777">
        <f>SUM(C4+D4)-E4</f>
        <v>0</v>
      </c>
    </row>
    <row r="5" spans="1:7" ht="15.75" customHeight="1" thickTop="1" x14ac:dyDescent="0.2">
      <c r="A5" s="2222" t="s">
        <v>1172</v>
      </c>
      <c r="B5" s="2217"/>
      <c r="C5" s="2211"/>
      <c r="D5" s="2212"/>
      <c r="E5" s="2212"/>
      <c r="F5" s="2213"/>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4" t="s">
        <v>652</v>
      </c>
      <c r="B15" s="2215"/>
      <c r="C15" s="1777">
        <f>SUM(C6:C14)</f>
        <v>0</v>
      </c>
      <c r="D15" s="1777">
        <f>SUM(D6:D14)</f>
        <v>0</v>
      </c>
      <c r="E15" s="1777">
        <f>SUM(E6:E14)</f>
        <v>0</v>
      </c>
      <c r="F15" s="1777">
        <f>SUM(F6:F14)</f>
        <v>0</v>
      </c>
      <c r="G15" s="552"/>
    </row>
    <row r="16" spans="1:7" s="202" customFormat="1" ht="15.75" customHeight="1" thickTop="1" x14ac:dyDescent="0.2">
      <c r="A16" s="2227" t="s">
        <v>1173</v>
      </c>
      <c r="B16" s="2217"/>
      <c r="C16" s="2211"/>
      <c r="D16" s="2212"/>
      <c r="E16" s="2212"/>
      <c r="F16" s="2213"/>
    </row>
    <row r="17" spans="1:11" ht="12.75" customHeight="1" thickBot="1" x14ac:dyDescent="0.25">
      <c r="A17" s="2209" t="s">
        <v>66</v>
      </c>
      <c r="B17" s="2210"/>
      <c r="C17" s="727"/>
      <c r="D17" s="585"/>
      <c r="E17" s="727"/>
      <c r="F17" s="1777">
        <f>SUM(C17+D17)-E17</f>
        <v>0</v>
      </c>
    </row>
    <row r="18" spans="1:11" ht="12.75" customHeight="1" thickTop="1" thickBot="1" x14ac:dyDescent="0.25">
      <c r="A18" s="2209" t="s">
        <v>6</v>
      </c>
      <c r="B18" s="2210"/>
      <c r="C18" s="727"/>
      <c r="D18" s="585"/>
      <c r="E18" s="727"/>
      <c r="F18" s="1777">
        <f>SUM(C18+D18)-E18</f>
        <v>0</v>
      </c>
    </row>
    <row r="19" spans="1:11" ht="12.75" customHeight="1" thickTop="1" thickBot="1" x14ac:dyDescent="0.25">
      <c r="A19" s="2209" t="s">
        <v>406</v>
      </c>
      <c r="B19" s="2210"/>
      <c r="C19" s="727"/>
      <c r="D19" s="585"/>
      <c r="E19" s="727"/>
      <c r="F19" s="1777">
        <f>SUM(C19+D19)-E19</f>
        <v>0</v>
      </c>
    </row>
    <row r="20" spans="1:11" ht="12.75" customHeight="1" thickTop="1" thickBot="1" x14ac:dyDescent="0.25">
      <c r="A20" s="2209" t="s">
        <v>468</v>
      </c>
      <c r="B20" s="2210"/>
      <c r="C20" s="727"/>
      <c r="D20" s="585"/>
      <c r="E20" s="727"/>
      <c r="F20" s="1777">
        <f>SUM(C20+D20)-E20</f>
        <v>0</v>
      </c>
    </row>
    <row r="21" spans="1:11" ht="14.25" thickTop="1" thickBot="1" x14ac:dyDescent="0.25">
      <c r="A21" s="2214" t="s">
        <v>653</v>
      </c>
      <c r="B21" s="2215"/>
      <c r="C21" s="1777">
        <f>SUM(C17:C20)</f>
        <v>0</v>
      </c>
      <c r="D21" s="1777">
        <f>SUM(D17:D20)</f>
        <v>0</v>
      </c>
      <c r="E21" s="1777">
        <f>SUM(E17:E20)</f>
        <v>0</v>
      </c>
      <c r="F21" s="1777">
        <f>SUM(F17:F20)</f>
        <v>0</v>
      </c>
      <c r="G21" s="552"/>
    </row>
    <row r="22" spans="1:11" ht="15.75" customHeight="1" thickTop="1" x14ac:dyDescent="0.2">
      <c r="A22" s="2216" t="s">
        <v>1174</v>
      </c>
      <c r="B22" s="2217"/>
      <c r="C22" s="2211"/>
      <c r="D22" s="2212"/>
      <c r="E22" s="2212"/>
      <c r="F22" s="2213"/>
    </row>
    <row r="23" spans="1:11" ht="13.5" thickBot="1" x14ac:dyDescent="0.25">
      <c r="A23" s="2218" t="s">
        <v>654</v>
      </c>
      <c r="B23" s="2219"/>
      <c r="C23" s="581"/>
      <c r="D23" s="581"/>
      <c r="E23" s="581"/>
      <c r="F23" s="1777">
        <f>SUM(C23+D23)-E23</f>
        <v>0</v>
      </c>
      <c r="G23" s="552"/>
    </row>
    <row r="24" spans="1:11" ht="15.75" customHeight="1" thickTop="1" x14ac:dyDescent="0.2">
      <c r="A24" s="2216" t="s">
        <v>1175</v>
      </c>
      <c r="B24" s="2217"/>
      <c r="C24" s="2211"/>
      <c r="D24" s="2212"/>
      <c r="E24" s="2212"/>
      <c r="F24" s="2213"/>
    </row>
    <row r="25" spans="1:11" ht="13.5" thickBot="1" x14ac:dyDescent="0.25">
      <c r="A25" s="2218" t="s">
        <v>655</v>
      </c>
      <c r="B25" s="2219"/>
      <c r="C25" s="581"/>
      <c r="D25" s="581"/>
      <c r="E25" s="581"/>
      <c r="F25" s="1777">
        <f>SUM(C25+D25)-E25</f>
        <v>0</v>
      </c>
      <c r="G25" s="552"/>
    </row>
    <row r="26" spans="1:11" ht="15.75" customHeight="1" thickTop="1" x14ac:dyDescent="0.2">
      <c r="A26" s="2222" t="s">
        <v>678</v>
      </c>
      <c r="B26" s="2217"/>
      <c r="C26" s="728"/>
      <c r="D26" s="728"/>
      <c r="E26" s="728"/>
      <c r="F26" s="729"/>
    </row>
    <row r="27" spans="1:11" ht="13.5" thickBot="1" x14ac:dyDescent="0.25">
      <c r="A27" s="2214" t="s">
        <v>1130</v>
      </c>
      <c r="B27" s="2215"/>
      <c r="C27" s="585"/>
      <c r="D27" s="585"/>
      <c r="E27" s="585"/>
      <c r="F27" s="1777">
        <f>SUM(C27+D27)-E27</f>
        <v>0</v>
      </c>
      <c r="G27" s="552"/>
    </row>
    <row r="28" spans="1:11" ht="7.5" customHeight="1" thickTop="1" x14ac:dyDescent="0.2">
      <c r="A28" s="594"/>
    </row>
    <row r="29" spans="1:11" ht="23.25" customHeight="1" x14ac:dyDescent="0.2">
      <c r="A29" s="2220" t="s">
        <v>603</v>
      </c>
      <c r="B29" s="2221"/>
      <c r="C29" s="730"/>
      <c r="D29" s="730"/>
      <c r="E29" s="730"/>
      <c r="F29" s="730"/>
      <c r="G29" s="730"/>
      <c r="H29" s="730"/>
      <c r="I29" s="730"/>
      <c r="J29" s="730"/>
    </row>
    <row r="30" spans="1:11" ht="33.75" x14ac:dyDescent="0.2">
      <c r="A30" s="1551" t="s">
        <v>1131</v>
      </c>
      <c r="B30" s="731" t="s">
        <v>1186</v>
      </c>
      <c r="C30" s="1910" t="s">
        <v>604</v>
      </c>
      <c r="D30" s="1910" t="s">
        <v>1772</v>
      </c>
      <c r="E30" s="1910" t="s">
        <v>2038</v>
      </c>
      <c r="F30" s="1910" t="s">
        <v>2039</v>
      </c>
      <c r="G30" s="1910" t="s">
        <v>2042</v>
      </c>
      <c r="H30" s="1910" t="s">
        <v>2040</v>
      </c>
      <c r="I30" s="1910" t="s">
        <v>2041</v>
      </c>
      <c r="J30" s="1911" t="s">
        <v>2</v>
      </c>
      <c r="K30" s="732"/>
    </row>
    <row r="31" spans="1:11" ht="12" customHeight="1" x14ac:dyDescent="0.2">
      <c r="A31" s="733" t="s">
        <v>2091</v>
      </c>
      <c r="B31" s="734">
        <v>42048</v>
      </c>
      <c r="C31" s="735">
        <v>2000000</v>
      </c>
      <c r="D31" s="736">
        <v>1</v>
      </c>
      <c r="E31" s="735">
        <v>1065000</v>
      </c>
      <c r="F31" s="735"/>
      <c r="G31" s="735"/>
      <c r="H31" s="735">
        <v>580000</v>
      </c>
      <c r="I31" s="1778">
        <f>((E31+F31)-H31)+G31</f>
        <v>485000</v>
      </c>
      <c r="J31" s="735">
        <v>355677</v>
      </c>
      <c r="K31" s="737"/>
    </row>
    <row r="32" spans="1:11" ht="12" customHeight="1" x14ac:dyDescent="0.2">
      <c r="A32" s="733" t="s">
        <v>2092</v>
      </c>
      <c r="B32" s="734">
        <v>42048</v>
      </c>
      <c r="C32" s="735">
        <v>2860000</v>
      </c>
      <c r="D32" s="736">
        <v>3</v>
      </c>
      <c r="E32" s="735">
        <v>1935000</v>
      </c>
      <c r="F32" s="735"/>
      <c r="G32" s="735"/>
      <c r="H32" s="735">
        <v>950000</v>
      </c>
      <c r="I32" s="1778">
        <f>((E32+F32)-H32)+G32</f>
        <v>985000</v>
      </c>
      <c r="J32" s="735">
        <v>985000</v>
      </c>
      <c r="K32" s="737"/>
    </row>
    <row r="33" spans="1:11" ht="12" customHeight="1" x14ac:dyDescent="0.2">
      <c r="A33" s="733" t="s">
        <v>2093</v>
      </c>
      <c r="B33" s="734">
        <v>42104</v>
      </c>
      <c r="C33" s="735">
        <v>245000</v>
      </c>
      <c r="D33" s="736">
        <v>4</v>
      </c>
      <c r="E33" s="735">
        <v>245000</v>
      </c>
      <c r="F33" s="735"/>
      <c r="G33" s="735"/>
      <c r="H33" s="735"/>
      <c r="I33" s="1778">
        <f t="shared" ref="I33:I48" si="1">((E33+F33)-H33)+G33</f>
        <v>245000</v>
      </c>
      <c r="J33" s="735">
        <v>245000</v>
      </c>
      <c r="K33" s="737"/>
    </row>
    <row r="34" spans="1:11" ht="12" customHeight="1" x14ac:dyDescent="0.2">
      <c r="A34" s="733" t="s">
        <v>2094</v>
      </c>
      <c r="B34" s="734">
        <v>42423</v>
      </c>
      <c r="C34" s="735">
        <v>475000</v>
      </c>
      <c r="D34" s="736">
        <v>1</v>
      </c>
      <c r="E34" s="735">
        <v>240000</v>
      </c>
      <c r="F34" s="735"/>
      <c r="G34" s="735"/>
      <c r="H34" s="735">
        <v>240000</v>
      </c>
      <c r="I34" s="1778">
        <f t="shared" si="1"/>
        <v>0</v>
      </c>
      <c r="J34" s="735"/>
      <c r="K34" s="738"/>
    </row>
    <row r="35" spans="1:11" ht="12" customHeight="1" x14ac:dyDescent="0.2">
      <c r="A35" s="733" t="s">
        <v>2094</v>
      </c>
      <c r="B35" s="734">
        <v>43154</v>
      </c>
      <c r="C35" s="739">
        <v>330000</v>
      </c>
      <c r="D35" s="736">
        <v>1</v>
      </c>
      <c r="E35" s="739"/>
      <c r="F35" s="739">
        <v>330000</v>
      </c>
      <c r="G35" s="739"/>
      <c r="H35" s="739"/>
      <c r="I35" s="1778">
        <f t="shared" si="1"/>
        <v>330000</v>
      </c>
      <c r="J35" s="739">
        <v>330000</v>
      </c>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5910000</v>
      </c>
      <c r="D49" s="746"/>
      <c r="E49" s="1778">
        <f t="shared" ref="E49:J49" si="2">SUM(E31:E48)</f>
        <v>3485000</v>
      </c>
      <c r="F49" s="1778">
        <f t="shared" si="2"/>
        <v>330000</v>
      </c>
      <c r="G49" s="1778">
        <f t="shared" si="2"/>
        <v>0</v>
      </c>
      <c r="H49" s="1778">
        <f t="shared" si="2"/>
        <v>1770000</v>
      </c>
      <c r="I49" s="1778">
        <f t="shared" si="2"/>
        <v>2045000</v>
      </c>
      <c r="J49" s="1778">
        <f t="shared" si="2"/>
        <v>1915677</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3" t="s">
        <v>605</v>
      </c>
      <c r="C52" s="2204"/>
      <c r="D52" s="2204"/>
      <c r="E52" s="750" t="s">
        <v>900</v>
      </c>
      <c r="F52" s="2205"/>
      <c r="G52" s="2206"/>
      <c r="H52" s="737"/>
      <c r="I52" s="737"/>
      <c r="J52" s="747"/>
    </row>
    <row r="53" spans="1:11" ht="11.25" customHeight="1" x14ac:dyDescent="0.2">
      <c r="A53" s="751" t="s">
        <v>969</v>
      </c>
      <c r="B53" s="752" t="s">
        <v>1008</v>
      </c>
      <c r="C53" s="747"/>
      <c r="D53" s="738"/>
      <c r="E53" s="750" t="s">
        <v>518</v>
      </c>
      <c r="F53" s="2207"/>
      <c r="G53" s="2208"/>
      <c r="H53" s="737"/>
      <c r="I53" s="737"/>
      <c r="J53" s="747"/>
    </row>
    <row r="54" spans="1:11" ht="11.25" customHeight="1" x14ac:dyDescent="0.2">
      <c r="A54" s="753" t="s">
        <v>970</v>
      </c>
      <c r="B54" s="748" t="s">
        <v>1009</v>
      </c>
      <c r="C54" s="747"/>
      <c r="D54" s="738"/>
      <c r="E54" s="750" t="s">
        <v>519</v>
      </c>
      <c r="F54" s="2207"/>
      <c r="G54" s="220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A8" sqref="A8"/>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2" t="s">
        <v>911</v>
      </c>
      <c r="B1" s="2233"/>
      <c r="C1" s="2233"/>
      <c r="D1" s="2233"/>
      <c r="E1" s="2233"/>
      <c r="F1" s="2233"/>
      <c r="G1" s="2234"/>
      <c r="H1" s="1552"/>
      <c r="I1" s="761"/>
      <c r="J1" s="433"/>
    </row>
    <row r="2" spans="1:11" ht="26.25" x14ac:dyDescent="0.2">
      <c r="A2" s="2251" t="s">
        <v>1776</v>
      </c>
      <c r="B2" s="2252"/>
      <c r="C2" s="2252"/>
      <c r="D2" s="2252"/>
      <c r="E2" s="2253"/>
      <c r="F2" s="762" t="s">
        <v>960</v>
      </c>
      <c r="G2" s="763" t="s">
        <v>1773</v>
      </c>
      <c r="H2" s="763" t="s">
        <v>430</v>
      </c>
      <c r="I2" s="763" t="s">
        <v>1220</v>
      </c>
      <c r="J2" s="763" t="s">
        <v>1919</v>
      </c>
      <c r="K2" s="763" t="s">
        <v>140</v>
      </c>
    </row>
    <row r="3" spans="1:11" x14ac:dyDescent="0.2">
      <c r="A3" s="2254" t="s">
        <v>1698</v>
      </c>
      <c r="B3" s="2255"/>
      <c r="C3" s="2255"/>
      <c r="D3" s="2255"/>
      <c r="E3" s="2256"/>
      <c r="F3" s="764"/>
      <c r="G3" s="765"/>
      <c r="H3" s="765"/>
      <c r="I3" s="765"/>
      <c r="J3" s="766"/>
      <c r="K3" s="766"/>
    </row>
    <row r="4" spans="1:11" x14ac:dyDescent="0.2">
      <c r="A4" s="2257" t="s">
        <v>387</v>
      </c>
      <c r="B4" s="2258"/>
      <c r="C4" s="2258"/>
      <c r="D4" s="2258"/>
      <c r="E4" s="2204"/>
      <c r="F4" s="767"/>
      <c r="G4" s="768"/>
      <c r="H4" s="769"/>
      <c r="I4" s="768"/>
      <c r="J4" s="770"/>
      <c r="K4" s="770"/>
    </row>
    <row r="5" spans="1:11" x14ac:dyDescent="0.2">
      <c r="A5" s="2235" t="s">
        <v>1129</v>
      </c>
      <c r="B5" s="2236"/>
      <c r="C5" s="2236"/>
      <c r="D5" s="2236"/>
      <c r="E5" s="2237"/>
      <c r="F5" s="771" t="s">
        <v>903</v>
      </c>
      <c r="G5" s="772"/>
      <c r="H5" s="765">
        <v>36175</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5" t="s">
        <v>1920</v>
      </c>
      <c r="B10" s="2236"/>
      <c r="C10" s="2236"/>
      <c r="D10" s="2236"/>
      <c r="E10" s="2238"/>
      <c r="F10" s="784" t="s">
        <v>917</v>
      </c>
      <c r="G10" s="783"/>
      <c r="H10" s="785"/>
      <c r="I10" s="765"/>
      <c r="J10" s="766"/>
      <c r="K10" s="766"/>
    </row>
    <row r="11" spans="1:11" x14ac:dyDescent="0.2">
      <c r="A11" s="2235" t="s">
        <v>162</v>
      </c>
      <c r="B11" s="2236"/>
      <c r="C11" s="2236"/>
      <c r="D11" s="2236"/>
      <c r="E11" s="2237"/>
      <c r="F11" s="771" t="s">
        <v>907</v>
      </c>
      <c r="G11" s="772"/>
      <c r="H11" s="765"/>
      <c r="I11" s="765"/>
      <c r="J11" s="766"/>
      <c r="K11" s="774"/>
    </row>
    <row r="12" spans="1:11" ht="13.5" thickBot="1" x14ac:dyDescent="0.25">
      <c r="A12" s="2262" t="s">
        <v>961</v>
      </c>
      <c r="B12" s="2263"/>
      <c r="C12" s="2263"/>
      <c r="D12" s="2263"/>
      <c r="E12" s="2264"/>
      <c r="F12" s="1779"/>
      <c r="G12" s="1780">
        <f>SUM(G5:G11)</f>
        <v>0</v>
      </c>
      <c r="H12" s="1780">
        <f>SUM(H5:H11)</f>
        <v>36175</v>
      </c>
      <c r="I12" s="1780">
        <f>SUM(I5:I11)</f>
        <v>0</v>
      </c>
      <c r="J12" s="1780">
        <f>SUM(J5:J11)</f>
        <v>0</v>
      </c>
      <c r="K12" s="1780">
        <f>SUM(K5:K11)</f>
        <v>0</v>
      </c>
    </row>
    <row r="13" spans="1:11" ht="13.5" thickTop="1" x14ac:dyDescent="0.2">
      <c r="A13" s="2259" t="s">
        <v>388</v>
      </c>
      <c r="B13" s="2260"/>
      <c r="C13" s="2260"/>
      <c r="D13" s="2260"/>
      <c r="E13" s="2261"/>
      <c r="F13" s="786"/>
      <c r="G13" s="787"/>
      <c r="H13" s="788"/>
      <c r="I13" s="789"/>
      <c r="J13" s="789"/>
      <c r="K13" s="789"/>
    </row>
    <row r="14" spans="1:11" x14ac:dyDescent="0.2">
      <c r="A14" s="2242" t="s">
        <v>476</v>
      </c>
      <c r="B14" s="2242"/>
      <c r="C14" s="2242"/>
      <c r="D14" s="2242"/>
      <c r="E14" s="2243"/>
      <c r="F14" s="790" t="s">
        <v>909</v>
      </c>
      <c r="G14" s="783"/>
      <c r="H14" s="765">
        <v>36175</v>
      </c>
      <c r="I14" s="772"/>
      <c r="J14" s="774"/>
      <c r="K14" s="766"/>
    </row>
    <row r="15" spans="1:11" x14ac:dyDescent="0.2">
      <c r="A15" s="2236" t="s">
        <v>4</v>
      </c>
      <c r="B15" s="2236"/>
      <c r="C15" s="2236"/>
      <c r="D15" s="2236"/>
      <c r="E15" s="2237"/>
      <c r="F15" s="790" t="s">
        <v>910</v>
      </c>
      <c r="G15" s="772"/>
      <c r="H15" s="765"/>
      <c r="I15" s="765"/>
      <c r="J15" s="766"/>
      <c r="K15" s="766"/>
    </row>
    <row r="16" spans="1:11" x14ac:dyDescent="0.2">
      <c r="A16" s="2236" t="s">
        <v>316</v>
      </c>
      <c r="B16" s="2236"/>
      <c r="C16" s="2236"/>
      <c r="D16" s="2236"/>
      <c r="E16" s="2237"/>
      <c r="F16" s="790" t="s">
        <v>980</v>
      </c>
      <c r="G16" s="773"/>
      <c r="H16" s="768"/>
      <c r="I16" s="768"/>
      <c r="J16" s="770"/>
      <c r="K16" s="770"/>
    </row>
    <row r="17" spans="1:11" x14ac:dyDescent="0.2">
      <c r="A17" s="2267" t="s">
        <v>992</v>
      </c>
      <c r="B17" s="2267"/>
      <c r="C17" s="2267"/>
      <c r="D17" s="2267"/>
      <c r="E17" s="2268"/>
      <c r="F17" s="791"/>
      <c r="G17" s="792"/>
      <c r="H17" s="793"/>
      <c r="I17" s="793"/>
      <c r="J17" s="794"/>
      <c r="K17" s="795"/>
    </row>
    <row r="18" spans="1:11" x14ac:dyDescent="0.2">
      <c r="A18" s="2246" t="s">
        <v>386</v>
      </c>
      <c r="B18" s="2247"/>
      <c r="C18" s="2247"/>
      <c r="D18" s="2247"/>
      <c r="E18" s="2248"/>
      <c r="F18" s="790" t="s">
        <v>989</v>
      </c>
      <c r="G18" s="783"/>
      <c r="H18" s="783"/>
      <c r="I18" s="783"/>
      <c r="J18" s="766"/>
      <c r="K18" s="796"/>
    </row>
    <row r="19" spans="1:11" ht="21.75" customHeight="1" x14ac:dyDescent="0.2">
      <c r="A19" s="2244" t="s">
        <v>1916</v>
      </c>
      <c r="B19" s="2244"/>
      <c r="C19" s="2244"/>
      <c r="D19" s="2244"/>
      <c r="E19" s="2245"/>
      <c r="F19" s="790" t="s">
        <v>990</v>
      </c>
      <c r="G19" s="783"/>
      <c r="H19" s="783"/>
      <c r="I19" s="783"/>
      <c r="J19" s="766"/>
      <c r="K19" s="796"/>
    </row>
    <row r="20" spans="1:11" x14ac:dyDescent="0.2">
      <c r="A20" s="2246" t="s">
        <v>1921</v>
      </c>
      <c r="B20" s="2247"/>
      <c r="C20" s="2247"/>
      <c r="D20" s="2247"/>
      <c r="E20" s="2248"/>
      <c r="F20" s="790" t="s">
        <v>991</v>
      </c>
      <c r="G20" s="783"/>
      <c r="H20" s="783"/>
      <c r="I20" s="783"/>
      <c r="J20" s="766"/>
      <c r="K20" s="796"/>
    </row>
    <row r="21" spans="1:11" ht="13.5" thickBot="1" x14ac:dyDescent="0.25">
      <c r="A21" s="2265" t="s">
        <v>659</v>
      </c>
      <c r="B21" s="2265"/>
      <c r="C21" s="2265"/>
      <c r="D21" s="2265"/>
      <c r="E21" s="2265"/>
      <c r="F21" s="1781"/>
      <c r="G21" s="793"/>
      <c r="H21" s="797"/>
      <c r="I21" s="797"/>
      <c r="J21" s="1782">
        <f>SUM(J18:J20)</f>
        <v>0</v>
      </c>
      <c r="K21" s="794"/>
    </row>
    <row r="22" spans="1:11" ht="13.5" thickTop="1" x14ac:dyDescent="0.2">
      <c r="A22" s="2236" t="s">
        <v>1922</v>
      </c>
      <c r="B22" s="2236"/>
      <c r="C22" s="2236"/>
      <c r="D22" s="2236"/>
      <c r="E22" s="2237"/>
      <c r="F22" s="790" t="s">
        <v>917</v>
      </c>
      <c r="G22" s="783"/>
      <c r="H22" s="765"/>
      <c r="I22" s="765"/>
      <c r="J22" s="798"/>
      <c r="K22" s="766"/>
    </row>
    <row r="23" spans="1:11" ht="13.5" thickBot="1" x14ac:dyDescent="0.25">
      <c r="A23" s="2266" t="s">
        <v>962</v>
      </c>
      <c r="B23" s="2265"/>
      <c r="C23" s="2265"/>
      <c r="D23" s="2265"/>
      <c r="E23" s="2265"/>
      <c r="F23" s="1783"/>
      <c r="G23" s="1780">
        <f>SUM(G14:G16,G21,G22)</f>
        <v>0</v>
      </c>
      <c r="H23" s="1780">
        <f>SUM(H14:H16,H21,H22)</f>
        <v>36175</v>
      </c>
      <c r="I23" s="1780">
        <f>SUM(I14:I16,I21,I22)</f>
        <v>0</v>
      </c>
      <c r="J23" s="1780">
        <f>SUM(J14:J16,J21,J22)</f>
        <v>0</v>
      </c>
      <c r="K23" s="1780">
        <f>SUM(K14:K16,K21,K22)</f>
        <v>0</v>
      </c>
    </row>
    <row r="24" spans="1:11" ht="14.25" thickTop="1" thickBot="1" x14ac:dyDescent="0.25">
      <c r="A24" s="2266" t="s">
        <v>2024</v>
      </c>
      <c r="B24" s="2265"/>
      <c r="C24" s="2265"/>
      <c r="D24" s="2265"/>
      <c r="E24" s="2265"/>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2034</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9"/>
      <c r="I31" s="2240"/>
      <c r="J31" s="2240"/>
      <c r="K31" s="2240"/>
    </row>
    <row r="32" spans="1:11" x14ac:dyDescent="0.2">
      <c r="A32" s="810"/>
      <c r="B32" s="237"/>
      <c r="C32" s="237"/>
      <c r="D32" s="237"/>
      <c r="E32" s="806"/>
      <c r="F32" s="812" t="s">
        <v>561</v>
      </c>
      <c r="G32" s="765"/>
      <c r="H32" s="2241"/>
      <c r="I32" s="2240"/>
      <c r="J32" s="2240"/>
      <c r="K32" s="2240"/>
    </row>
    <row r="33" spans="1:11" ht="1.5" customHeight="1" x14ac:dyDescent="0.2">
      <c r="A33" s="813" t="s">
        <v>1231</v>
      </c>
      <c r="B33" s="364"/>
      <c r="C33" s="364"/>
      <c r="D33" s="364"/>
      <c r="E33" s="364"/>
      <c r="F33" s="364"/>
      <c r="G33" s="814"/>
      <c r="H33" s="2241"/>
      <c r="I33" s="2240"/>
      <c r="J33" s="2240"/>
      <c r="K33" s="2240"/>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6" t="s">
        <v>562</v>
      </c>
      <c r="B41" s="2249"/>
      <c r="C41" s="2249"/>
      <c r="D41" s="2249"/>
      <c r="E41" s="2249"/>
      <c r="F41" s="2250"/>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8" sqref="A8"/>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1" t="s">
        <v>2033</v>
      </c>
      <c r="B1" s="2272"/>
      <c r="C1" s="2273"/>
      <c r="D1" s="827"/>
      <c r="E1" s="828"/>
      <c r="F1" s="828"/>
      <c r="G1" s="829"/>
      <c r="H1" s="830"/>
      <c r="I1" s="831"/>
      <c r="J1" s="2269"/>
      <c r="K1" s="2270"/>
      <c r="L1" s="2270"/>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393889</v>
      </c>
      <c r="D5" s="842"/>
      <c r="E5" s="842"/>
      <c r="F5" s="1782">
        <f>(C5+D5)-E5</f>
        <v>393889</v>
      </c>
      <c r="G5" s="838"/>
      <c r="H5" s="843"/>
      <c r="I5" s="843"/>
      <c r="J5" s="843"/>
      <c r="K5" s="794"/>
      <c r="L5" s="1791">
        <f>F5-K5</f>
        <v>393889</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27568827</v>
      </c>
      <c r="D8" s="845"/>
      <c r="E8" s="845"/>
      <c r="F8" s="1782">
        <f>(C8+D8)-E8</f>
        <v>27568827</v>
      </c>
      <c r="G8" s="844">
        <v>50</v>
      </c>
      <c r="H8" s="766">
        <v>9660633</v>
      </c>
      <c r="I8" s="766">
        <v>319462</v>
      </c>
      <c r="J8" s="766"/>
      <c r="K8" s="1791">
        <f>(H8+I8)-J8</f>
        <v>9980095</v>
      </c>
      <c r="L8" s="1791">
        <f>F8-K8</f>
        <v>17588732</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1702080</v>
      </c>
      <c r="D10" s="847"/>
      <c r="E10" s="847"/>
      <c r="F10" s="1786">
        <f>(C10+D10)-E10</f>
        <v>1702080</v>
      </c>
      <c r="G10" s="844">
        <v>20</v>
      </c>
      <c r="H10" s="848">
        <v>1040966</v>
      </c>
      <c r="I10" s="848">
        <v>85104</v>
      </c>
      <c r="J10" s="848"/>
      <c r="K10" s="1791">
        <f>(H10+I10)-J10</f>
        <v>1126070</v>
      </c>
      <c r="L10" s="1791">
        <f>F10-K10</f>
        <v>576010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2271650</v>
      </c>
      <c r="D12" s="845">
        <v>38257</v>
      </c>
      <c r="E12" s="845">
        <v>1271264</v>
      </c>
      <c r="F12" s="1782">
        <f>(C12+D12)-E12</f>
        <v>1038643</v>
      </c>
      <c r="G12" s="844">
        <v>10</v>
      </c>
      <c r="H12" s="766">
        <v>2023495</v>
      </c>
      <c r="I12" s="766">
        <v>79706</v>
      </c>
      <c r="J12" s="766">
        <v>1271264</v>
      </c>
      <c r="K12" s="1791">
        <f>(H12+I12)-J12</f>
        <v>831937</v>
      </c>
      <c r="L12" s="1791">
        <f>F12-K12</f>
        <v>206706</v>
      </c>
    </row>
    <row r="13" spans="1:14" ht="14.25" thickTop="1" thickBot="1" x14ac:dyDescent="0.25">
      <c r="A13" s="849" t="s">
        <v>1184</v>
      </c>
      <c r="B13" s="841">
        <v>252</v>
      </c>
      <c r="C13" s="845">
        <v>247317</v>
      </c>
      <c r="D13" s="845"/>
      <c r="E13" s="845">
        <v>123228</v>
      </c>
      <c r="F13" s="1782">
        <f>(C13+D13)-E13</f>
        <v>124089</v>
      </c>
      <c r="G13" s="844">
        <v>5</v>
      </c>
      <c r="H13" s="766">
        <v>220946</v>
      </c>
      <c r="I13" s="766">
        <v>15581</v>
      </c>
      <c r="J13" s="766">
        <v>123228</v>
      </c>
      <c r="K13" s="1791">
        <f>(H13+I13)-J13</f>
        <v>113299</v>
      </c>
      <c r="L13" s="1791">
        <f>F13-K13</f>
        <v>10790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32183763</v>
      </c>
      <c r="D16" s="1782">
        <f>SUM(D3,D5:D6,D8:D10,D12:D15)</f>
        <v>38257</v>
      </c>
      <c r="E16" s="1782">
        <f>SUM(E3,E5:E6,E8:E10,E12:E15)</f>
        <v>1394492</v>
      </c>
      <c r="F16" s="1782">
        <f>SUM(F3,F5:F6,F8:F10,F12:F15)</f>
        <v>30827528</v>
      </c>
      <c r="G16" s="844"/>
      <c r="H16" s="1782">
        <f>SUM(H3,H6,H8:H10,H12:H14,)</f>
        <v>12946040</v>
      </c>
      <c r="I16" s="1782">
        <f>SUM(I3,I6,I8:I10,I12:I14,)</f>
        <v>499853</v>
      </c>
      <c r="J16" s="1782">
        <f>SUM(J3,J6,J8:J10,J12:J14,)</f>
        <v>1394492</v>
      </c>
      <c r="K16" s="1782">
        <f>(H16+I16)-J16</f>
        <v>12051401</v>
      </c>
      <c r="L16" s="1782">
        <f>F16-K16</f>
        <v>18776127</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70485</v>
      </c>
      <c r="G17" s="838">
        <v>10</v>
      </c>
      <c r="H17" s="770"/>
      <c r="I17" s="1791">
        <f>F17/G17</f>
        <v>7048.5</v>
      </c>
      <c r="J17" s="770"/>
      <c r="K17" s="796"/>
      <c r="L17" s="796"/>
    </row>
    <row r="18" spans="1:12" ht="14.25" thickTop="1" thickBot="1" x14ac:dyDescent="0.25">
      <c r="A18" s="1789" t="s">
        <v>706</v>
      </c>
      <c r="B18" s="1790"/>
      <c r="C18" s="772"/>
      <c r="D18" s="772"/>
      <c r="E18" s="772"/>
      <c r="F18" s="851"/>
      <c r="G18" s="852"/>
      <c r="H18" s="774"/>
      <c r="I18" s="1782">
        <f>SUM(I16,I17)</f>
        <v>506901.5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42" activePane="bottomLeft" state="frozen"/>
      <selection activeCell="A8" sqref="A8"/>
      <selection pane="bottomLeft" activeCell="A8" sqref="A8"/>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7" t="s">
        <v>1699</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5785344</v>
      </c>
      <c r="G8" s="866"/>
    </row>
    <row r="9" spans="1:7" x14ac:dyDescent="0.2">
      <c r="A9" s="870" t="s">
        <v>480</v>
      </c>
      <c r="B9" s="871" t="s">
        <v>1988</v>
      </c>
      <c r="C9" s="872"/>
      <c r="D9" s="870" t="s">
        <v>522</v>
      </c>
      <c r="E9" s="869"/>
      <c r="F9" s="1935">
        <f>'Expenditures 15-22'!K151</f>
        <v>1101701</v>
      </c>
      <c r="G9" s="873"/>
    </row>
    <row r="10" spans="1:7" x14ac:dyDescent="0.2">
      <c r="A10" s="870" t="s">
        <v>520</v>
      </c>
      <c r="B10" s="871" t="s">
        <v>1989</v>
      </c>
      <c r="C10" s="872"/>
      <c r="D10" s="870" t="s">
        <v>522</v>
      </c>
      <c r="E10" s="869"/>
      <c r="F10" s="1935">
        <f>'Expenditures 15-22'!K174</f>
        <v>1841037</v>
      </c>
      <c r="G10" s="873"/>
    </row>
    <row r="11" spans="1:7" x14ac:dyDescent="0.2">
      <c r="A11" s="870" t="s">
        <v>481</v>
      </c>
      <c r="B11" s="871" t="s">
        <v>1990</v>
      </c>
      <c r="C11" s="872"/>
      <c r="D11" s="870" t="s">
        <v>522</v>
      </c>
      <c r="E11" s="869"/>
      <c r="F11" s="1935">
        <f>'Expenditures 15-22'!K210</f>
        <v>329184</v>
      </c>
      <c r="G11" s="873"/>
    </row>
    <row r="12" spans="1:7" x14ac:dyDescent="0.2">
      <c r="A12" s="870" t="s">
        <v>482</v>
      </c>
      <c r="B12" s="871" t="s">
        <v>1991</v>
      </c>
      <c r="C12" s="872"/>
      <c r="D12" s="870" t="s">
        <v>522</v>
      </c>
      <c r="E12" s="869"/>
      <c r="F12" s="1935">
        <f>'Expenditures 15-22'!K295</f>
        <v>215563</v>
      </c>
      <c r="G12" s="873"/>
    </row>
    <row r="13" spans="1:7" x14ac:dyDescent="0.2">
      <c r="A13" s="870" t="s">
        <v>108</v>
      </c>
      <c r="B13" s="871" t="s">
        <v>1992</v>
      </c>
      <c r="C13" s="872"/>
      <c r="D13" s="870" t="s">
        <v>522</v>
      </c>
      <c r="E13" s="869"/>
      <c r="F13" s="1935">
        <f>'Expenditures 15-22'!K342</f>
        <v>313604</v>
      </c>
      <c r="G13" s="874"/>
    </row>
    <row r="14" spans="1:7" ht="12" customHeight="1" thickBot="1" x14ac:dyDescent="0.25">
      <c r="A14" s="1792"/>
      <c r="B14" s="1793"/>
      <c r="C14" s="1794"/>
      <c r="D14" s="1795" t="s">
        <v>522</v>
      </c>
      <c r="E14" s="1796" t="s">
        <v>1015</v>
      </c>
      <c r="F14" s="1797">
        <f>SUM(F8:F13)</f>
        <v>9586433</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73606</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1719</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54216</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104608</v>
      </c>
      <c r="G52" s="866"/>
    </row>
    <row r="53" spans="1:7" x14ac:dyDescent="0.2">
      <c r="A53" s="870" t="s">
        <v>479</v>
      </c>
      <c r="B53" s="870" t="s">
        <v>1551</v>
      </c>
      <c r="C53" s="890">
        <f>'Expenditures 15-22'!B102</f>
        <v>4000</v>
      </c>
      <c r="D53" s="889" t="str">
        <f>'Expenditures 15-22'!A102</f>
        <v>Total Payments to Other Govt Units</v>
      </c>
      <c r="E53" s="869"/>
      <c r="F53" s="1939">
        <f>'Expenditures 15-22'!K102</f>
        <v>235435</v>
      </c>
      <c r="G53" s="866"/>
    </row>
    <row r="54" spans="1:7" x14ac:dyDescent="0.2">
      <c r="A54" s="870" t="s">
        <v>479</v>
      </c>
      <c r="B54" s="870" t="s">
        <v>1552</v>
      </c>
      <c r="C54" s="890" t="s">
        <v>1039</v>
      </c>
      <c r="D54" s="886" t="s">
        <v>1157</v>
      </c>
      <c r="E54" s="869"/>
      <c r="F54" s="1939">
        <f>'Expenditures 15-22'!G114</f>
        <v>0</v>
      </c>
      <c r="G54" s="866"/>
    </row>
    <row r="55" spans="1:7" x14ac:dyDescent="0.2">
      <c r="A55" s="870" t="s">
        <v>479</v>
      </c>
      <c r="B55" s="870" t="s">
        <v>1553</v>
      </c>
      <c r="C55" s="890" t="s">
        <v>1039</v>
      </c>
      <c r="D55" s="886" t="s">
        <v>309</v>
      </c>
      <c r="E55" s="869"/>
      <c r="F55" s="1939">
        <f>'Expenditures 15-22'!I114</f>
        <v>70485</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9">
        <f>'Expenditures 15-22'!K139</f>
        <v>0</v>
      </c>
      <c r="G57" s="866"/>
    </row>
    <row r="58" spans="1:7" x14ac:dyDescent="0.2">
      <c r="A58" s="870" t="s">
        <v>480</v>
      </c>
      <c r="B58" s="870" t="s">
        <v>1994</v>
      </c>
      <c r="C58" s="887" t="s">
        <v>1039</v>
      </c>
      <c r="D58" s="886" t="s">
        <v>1157</v>
      </c>
      <c r="E58" s="869"/>
      <c r="F58" s="1941">
        <f>'Expenditures 15-22'!G151</f>
        <v>38257</v>
      </c>
      <c r="G58" s="866"/>
    </row>
    <row r="59" spans="1:7" x14ac:dyDescent="0.2">
      <c r="A59" s="894" t="s">
        <v>480</v>
      </c>
      <c r="B59" s="857" t="s">
        <v>1995</v>
      </c>
      <c r="C59" s="895" t="s">
        <v>1039</v>
      </c>
      <c r="D59" s="857" t="s">
        <v>309</v>
      </c>
      <c r="F59" s="1942">
        <f>'Expenditures 15-22'!I151</f>
        <v>0</v>
      </c>
      <c r="G59" s="866"/>
    </row>
    <row r="60" spans="1:7" x14ac:dyDescent="0.2">
      <c r="A60" s="894" t="s">
        <v>520</v>
      </c>
      <c r="B60" s="857" t="s">
        <v>1996</v>
      </c>
      <c r="C60" s="895">
        <v>4000</v>
      </c>
      <c r="D60" s="857" t="s">
        <v>330</v>
      </c>
      <c r="F60" s="1940">
        <f>'Expenditures 15-22'!K160</f>
        <v>0</v>
      </c>
      <c r="G60" s="866"/>
    </row>
    <row r="61" spans="1:7" x14ac:dyDescent="0.2">
      <c r="A61" s="896" t="s">
        <v>520</v>
      </c>
      <c r="B61" s="896" t="s">
        <v>1997</v>
      </c>
      <c r="C61" s="897" t="str">
        <f>'Expenditures 15-22'!B170</f>
        <v>5300</v>
      </c>
      <c r="D61" s="898" t="s">
        <v>329</v>
      </c>
      <c r="E61" s="880"/>
      <c r="F61" s="1939">
        <f>'Expenditures 15-22'!K170</f>
        <v>1770000</v>
      </c>
      <c r="G61" s="866"/>
    </row>
    <row r="62" spans="1:7" x14ac:dyDescent="0.2">
      <c r="A62" s="870" t="s">
        <v>481</v>
      </c>
      <c r="B62" s="870" t="s">
        <v>1998</v>
      </c>
      <c r="C62" s="887">
        <f>'Expenditures 15-22'!B185</f>
        <v>3000</v>
      </c>
      <c r="D62" s="877" t="s">
        <v>469</v>
      </c>
      <c r="E62" s="869"/>
      <c r="F62" s="1939">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2000</v>
      </c>
      <c r="C64" s="897" t="str">
        <f>'Expenditures 15-22'!B206</f>
        <v>5300</v>
      </c>
      <c r="D64" s="893" t="s">
        <v>329</v>
      </c>
      <c r="E64" s="869"/>
      <c r="F64" s="1939">
        <f>'Expenditures 15-22'!K206</f>
        <v>0</v>
      </c>
      <c r="G64" s="866"/>
    </row>
    <row r="65" spans="1:8" x14ac:dyDescent="0.2">
      <c r="A65" s="870" t="s">
        <v>481</v>
      </c>
      <c r="B65" s="870" t="s">
        <v>2001</v>
      </c>
      <c r="C65" s="887" t="s">
        <v>1039</v>
      </c>
      <c r="D65" s="886" t="s">
        <v>1157</v>
      </c>
      <c r="E65" s="869"/>
      <c r="F65" s="1939">
        <f>'Expenditures 15-22'!G210</f>
        <v>0</v>
      </c>
      <c r="G65" s="866"/>
    </row>
    <row r="66" spans="1:8" x14ac:dyDescent="0.2">
      <c r="A66" s="870" t="s">
        <v>481</v>
      </c>
      <c r="B66" s="870" t="s">
        <v>2002</v>
      </c>
      <c r="C66" s="887" t="s">
        <v>1039</v>
      </c>
      <c r="D66" s="886" t="s">
        <v>309</v>
      </c>
      <c r="E66" s="869"/>
      <c r="F66" s="1939">
        <f>'Expenditures 15-22'!I210</f>
        <v>0</v>
      </c>
      <c r="G66" s="866"/>
    </row>
    <row r="67" spans="1:8" x14ac:dyDescent="0.2">
      <c r="A67" s="870" t="s">
        <v>482</v>
      </c>
      <c r="B67" s="870" t="s">
        <v>2003</v>
      </c>
      <c r="C67" s="887" t="str">
        <f>'Expenditures 15-22'!B216</f>
        <v>1125</v>
      </c>
      <c r="D67" s="893" t="str">
        <f>'Expenditures 15-22'!A216</f>
        <v>Pre-K Programs</v>
      </c>
      <c r="E67" s="869"/>
      <c r="F67" s="1939">
        <f>'Expenditures 15-22'!K216</f>
        <v>9916</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2005</v>
      </c>
      <c r="C70" s="887">
        <f>'Expenditures 15-22'!B221</f>
        <v>1300</v>
      </c>
      <c r="D70" s="888" t="str">
        <f>'Expenditures 15-22'!A221</f>
        <v>Adult/Continuing Education Programs</v>
      </c>
      <c r="E70" s="869"/>
      <c r="F70" s="1939">
        <f>'Expenditures 15-22'!K221</f>
        <v>0</v>
      </c>
      <c r="G70" s="866"/>
    </row>
    <row r="71" spans="1:8" x14ac:dyDescent="0.2">
      <c r="A71" s="870" t="s">
        <v>482</v>
      </c>
      <c r="B71" s="870" t="s">
        <v>2006</v>
      </c>
      <c r="C71" s="887">
        <f>'Expenditures 15-22'!B224</f>
        <v>1600</v>
      </c>
      <c r="D71" s="888" t="str">
        <f>'Expenditures 15-22'!A224</f>
        <v>Summer School Programs</v>
      </c>
      <c r="E71" s="869"/>
      <c r="F71" s="1939">
        <f>'Expenditures 15-22'!K224</f>
        <v>22</v>
      </c>
      <c r="G71" s="866"/>
    </row>
    <row r="72" spans="1:8" x14ac:dyDescent="0.2">
      <c r="A72" s="870" t="s">
        <v>482</v>
      </c>
      <c r="B72" s="870" t="s">
        <v>2007</v>
      </c>
      <c r="C72" s="887">
        <f>'Expenditures 15-22'!B280</f>
        <v>3000</v>
      </c>
      <c r="D72" s="877" t="s">
        <v>469</v>
      </c>
      <c r="E72" s="869"/>
      <c r="F72" s="1939">
        <f>'Expenditures 15-22'!K280</f>
        <v>10356</v>
      </c>
      <c r="G72" s="866"/>
    </row>
    <row r="73" spans="1:8" x14ac:dyDescent="0.2">
      <c r="A73" s="870" t="s">
        <v>482</v>
      </c>
      <c r="B73" s="870" t="s">
        <v>2008</v>
      </c>
      <c r="C73" s="887" t="str">
        <f>'Expenditures 15-22'!B285</f>
        <v>4000</v>
      </c>
      <c r="D73" s="888" t="str">
        <f>'Expenditures 15-22'!A285</f>
        <v>Total Payments to Other Govt Units</v>
      </c>
      <c r="E73" s="869"/>
      <c r="F73" s="1939">
        <f>'Expenditures 15-22'!K285</f>
        <v>1488</v>
      </c>
      <c r="G73" s="866"/>
    </row>
    <row r="74" spans="1:8" x14ac:dyDescent="0.2">
      <c r="A74" s="870" t="s">
        <v>456</v>
      </c>
      <c r="B74" s="870" t="s">
        <v>2009</v>
      </c>
      <c r="C74" s="887" t="s">
        <v>915</v>
      </c>
      <c r="D74" s="888" t="s">
        <v>1567</v>
      </c>
      <c r="E74" s="869"/>
      <c r="F74" s="1943">
        <f>'Expenditures 15-22'!K334</f>
        <v>6012</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1015</v>
      </c>
      <c r="F76" s="1800">
        <f>SUM(F18:F74)</f>
        <v>2376120</v>
      </c>
      <c r="G76" s="866"/>
    </row>
    <row r="77" spans="1:8" s="894" customFormat="1" ht="12" customHeight="1" thickTop="1" thickBot="1" x14ac:dyDescent="0.25">
      <c r="A77" s="1801"/>
      <c r="B77" s="1798"/>
      <c r="C77" s="1794"/>
      <c r="D77" s="1799" t="s">
        <v>2011</v>
      </c>
      <c r="E77" s="1796"/>
      <c r="F77" s="1802">
        <f>(F14-F76)</f>
        <v>7210313</v>
      </c>
      <c r="G77" s="870"/>
    </row>
    <row r="78" spans="1:8" s="894" customFormat="1" ht="12" customHeight="1" thickTop="1" x14ac:dyDescent="0.2">
      <c r="A78" s="1803"/>
      <c r="B78" s="1798"/>
      <c r="C78" s="1794"/>
      <c r="D78" s="1799" t="s">
        <v>2057</v>
      </c>
      <c r="E78" s="1796"/>
      <c r="F78" s="899">
        <v>744.94</v>
      </c>
      <c r="G78" s="900"/>
      <c r="H78" s="870"/>
    </row>
    <row r="79" spans="1:8" s="894" customFormat="1" ht="12" customHeight="1" thickBot="1" x14ac:dyDescent="0.25">
      <c r="A79" s="1804"/>
      <c r="B79" s="1798"/>
      <c r="C79" s="1794"/>
      <c r="D79" s="1799" t="s">
        <v>2012</v>
      </c>
      <c r="E79" s="1796" t="s">
        <v>1015</v>
      </c>
      <c r="F79" s="1805">
        <f>IF(F78&gt;0,F77/F78," Complete Line 78")</f>
        <v>9679.0520041882555</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139591</v>
      </c>
      <c r="G94" s="913"/>
    </row>
    <row r="95" spans="1:7" x14ac:dyDescent="0.2">
      <c r="A95" s="909" t="s">
        <v>142</v>
      </c>
      <c r="B95" s="909" t="s">
        <v>177</v>
      </c>
      <c r="C95" s="911">
        <v>1700</v>
      </c>
      <c r="D95" s="919" t="str">
        <f>'Revenues 9-14'!A82</f>
        <v>Total District/School Activity Income</v>
      </c>
      <c r="E95" s="907"/>
      <c r="F95" s="1811">
        <f>SUM('Revenues 9-14'!C82,'Revenues 9-14'!D82)</f>
        <v>178873</v>
      </c>
      <c r="G95" s="913"/>
    </row>
    <row r="96" spans="1:7" x14ac:dyDescent="0.2">
      <c r="A96" s="909" t="s">
        <v>479</v>
      </c>
      <c r="B96" s="909" t="s">
        <v>178</v>
      </c>
      <c r="C96" s="911">
        <f>'Revenues 9-14'!B84</f>
        <v>1811</v>
      </c>
      <c r="D96" s="912" t="str">
        <f>'Revenues 9-14'!A84</f>
        <v>Rentals - Regular Textbooks</v>
      </c>
      <c r="E96" s="907"/>
      <c r="F96" s="1811">
        <f>'Revenues 9-14'!C84</f>
        <v>92219</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85796</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6000</v>
      </c>
      <c r="G103" s="913"/>
    </row>
    <row r="104" spans="1:7" x14ac:dyDescent="0.2">
      <c r="A104" s="909" t="s">
        <v>479</v>
      </c>
      <c r="B104" s="909" t="s">
        <v>841</v>
      </c>
      <c r="C104" s="911">
        <f>'Revenues 9-14'!B106</f>
        <v>1993</v>
      </c>
      <c r="D104" s="912" t="str">
        <f>'Revenues 9-14'!A106</f>
        <v>Other Local Fees (Describe &amp; Itemize)</v>
      </c>
      <c r="E104" s="907"/>
      <c r="F104" s="1811">
        <f>('Revenues 9-14'!C106)</f>
        <v>97217</v>
      </c>
      <c r="G104" s="913"/>
    </row>
    <row r="105" spans="1:7" x14ac:dyDescent="0.2">
      <c r="A105" s="909" t="s">
        <v>524</v>
      </c>
      <c r="B105" s="909" t="s">
        <v>842</v>
      </c>
      <c r="C105" s="914">
        <v>3100</v>
      </c>
      <c r="D105" s="920" t="str">
        <f>'Revenues 9-14'!A131</f>
        <v>Total Special Education</v>
      </c>
      <c r="E105" s="907"/>
      <c r="F105" s="1811">
        <f>SUM('Revenues 9-14'!C131:D131,'Revenues 9-14'!F131)</f>
        <v>104324</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5880</v>
      </c>
      <c r="G107" s="913"/>
    </row>
    <row r="108" spans="1:7" x14ac:dyDescent="0.2">
      <c r="A108" s="909" t="s">
        <v>479</v>
      </c>
      <c r="B108" s="909" t="s">
        <v>844</v>
      </c>
      <c r="C108" s="921">
        <f>'Revenues 9-14'!B145</f>
        <v>3360</v>
      </c>
      <c r="D108" s="912" t="str">
        <f>'Revenues 9-14'!A145</f>
        <v>State Free Lunch &amp; Breakfast</v>
      </c>
      <c r="E108" s="907"/>
      <c r="F108" s="1811">
        <f>'Revenues 9-14'!C145</f>
        <v>653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202321</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69328</v>
      </c>
      <c r="G129" s="931"/>
    </row>
    <row r="130" spans="1:7" x14ac:dyDescent="0.2">
      <c r="A130" s="928" t="s">
        <v>689</v>
      </c>
      <c r="B130" s="928" t="s">
        <v>804</v>
      </c>
      <c r="C130" s="933">
        <v>4300</v>
      </c>
      <c r="D130" s="934" t="str">
        <f>'Revenues 9-14'!A211</f>
        <v>Total Title I</v>
      </c>
      <c r="E130" s="907"/>
      <c r="F130" s="1811">
        <f>SUM('Revenues 9-14'!C211,'Revenues 9-14'!D211,'Revenues 9-14'!F211,'Revenues 9-14'!G211)</f>
        <v>91938</v>
      </c>
      <c r="G130" s="931"/>
    </row>
    <row r="131" spans="1:7" x14ac:dyDescent="0.2">
      <c r="A131" s="928" t="s">
        <v>689</v>
      </c>
      <c r="B131" s="928" t="s">
        <v>805</v>
      </c>
      <c r="C131" s="933">
        <v>4400</v>
      </c>
      <c r="D131" s="934" t="str">
        <f>'Revenues 9-14'!A216</f>
        <v>Total Title IV</v>
      </c>
      <c r="E131" s="907"/>
      <c r="F131" s="1811">
        <f>SUM('Revenues 9-14'!C216,'Revenues 9-14'!D216,'Revenues 9-14'!F216,'Revenues 9-14'!G216)</f>
        <v>7527</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103985</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5619</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26866</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2056</v>
      </c>
      <c r="C175" s="1946">
        <v>3100</v>
      </c>
      <c r="D175" s="1947" t="s">
        <v>2059</v>
      </c>
      <c r="E175" s="907"/>
      <c r="F175" s="1931"/>
      <c r="G175" s="928"/>
    </row>
    <row r="176" spans="1:7" x14ac:dyDescent="0.2">
      <c r="A176" s="1944" t="s">
        <v>685</v>
      </c>
      <c r="B176" s="1945" t="s">
        <v>2056</v>
      </c>
      <c r="C176" s="1946">
        <v>3300</v>
      </c>
      <c r="D176" s="1947" t="s">
        <v>2060</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1015</v>
      </c>
      <c r="F178" s="1810">
        <f>SUM(F84:F136,F161:F176)</f>
        <v>1218137</v>
      </c>
    </row>
    <row r="179" spans="1:7" ht="12" customHeight="1" x14ac:dyDescent="0.2">
      <c r="A179" s="1792"/>
      <c r="B179" s="1806"/>
      <c r="C179" s="1807"/>
      <c r="D179" s="1808" t="s">
        <v>2014</v>
      </c>
      <c r="E179" s="1809"/>
      <c r="F179" s="1811">
        <f>'PCTC-OEPP 27-28'!F77-F178</f>
        <v>5992176</v>
      </c>
    </row>
    <row r="180" spans="1:7" ht="12" customHeight="1" x14ac:dyDescent="0.2">
      <c r="A180" s="1792"/>
      <c r="B180" s="1806"/>
      <c r="C180" s="1807"/>
      <c r="D180" s="1808" t="s">
        <v>1924</v>
      </c>
      <c r="E180" s="1809"/>
      <c r="F180" s="1811">
        <f>'Cap Outlay Deprec 26'!I18</f>
        <v>506901.5</v>
      </c>
    </row>
    <row r="181" spans="1:7" ht="12" customHeight="1" x14ac:dyDescent="0.2">
      <c r="A181" s="1792"/>
      <c r="B181" s="1806"/>
      <c r="C181" s="1807"/>
      <c r="D181" s="1808" t="s">
        <v>2015</v>
      </c>
      <c r="E181" s="1809"/>
      <c r="F181" s="1811">
        <f>F179+F180</f>
        <v>6499077.5</v>
      </c>
    </row>
    <row r="182" spans="1:7" ht="12" customHeight="1" x14ac:dyDescent="0.2">
      <c r="A182" s="1792"/>
      <c r="B182" s="1812"/>
      <c r="C182" s="1807"/>
      <c r="D182" s="1808" t="str">
        <f>D78</f>
        <v>9 Month ADA from District Average Daily Attendance/Prior General State Aid Inquiry 2017-2018</v>
      </c>
      <c r="E182" s="1809"/>
      <c r="F182" s="1813">
        <f>'PCTC-OEPP 27-28'!F78</f>
        <v>744.94</v>
      </c>
      <c r="G182" s="931"/>
    </row>
    <row r="183" spans="1:7" ht="12" customHeight="1" thickBot="1" x14ac:dyDescent="0.25">
      <c r="A183" s="1792"/>
      <c r="B183" s="1812"/>
      <c r="C183" s="1807"/>
      <c r="D183" s="1808" t="s">
        <v>2016</v>
      </c>
      <c r="E183" s="1809" t="s">
        <v>1626</v>
      </c>
      <c r="F183" s="1814">
        <f>F181/F182</f>
        <v>8724.2965876446415</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8" customFormat="1" ht="12.2" customHeight="1" x14ac:dyDescent="0.2">
      <c r="A186" s="1948" t="s">
        <v>2063</v>
      </c>
      <c r="B186" s="1949"/>
      <c r="C186" s="1950"/>
      <c r="D186" s="1949"/>
      <c r="E186" s="1950"/>
      <c r="F186" s="1949"/>
      <c r="G186" s="1949"/>
    </row>
    <row r="187" spans="1:7" s="1948" customFormat="1" ht="12.2" customHeight="1" x14ac:dyDescent="0.2">
      <c r="A187" s="1951" t="s">
        <v>2064</v>
      </c>
      <c r="C187" s="1950"/>
      <c r="D187" s="1949"/>
      <c r="E187" s="1950"/>
      <c r="F187" s="1949"/>
      <c r="G187" s="1949"/>
    </row>
    <row r="188" spans="1:7" ht="12" customHeight="1" x14ac:dyDescent="0.2">
      <c r="C188" s="950"/>
      <c r="D188" s="931"/>
      <c r="E188" s="950"/>
      <c r="F188" s="931"/>
      <c r="G188" s="931"/>
    </row>
    <row r="189" spans="1:7" x14ac:dyDescent="0.2">
      <c r="A189" s="1952" t="s">
        <v>2062</v>
      </c>
      <c r="B189" s="1953"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A8" sqref="A8"/>
      <selection pane="bottomLeft" activeCell="A8" sqref="A8:G8"/>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56" t="s">
        <v>1926</v>
      </c>
      <c r="B6" s="1557"/>
      <c r="C6" s="1557"/>
      <c r="D6" s="1557"/>
      <c r="E6" s="1557"/>
      <c r="F6" s="1557"/>
      <c r="G6" s="1558"/>
    </row>
    <row r="7" spans="1:7" ht="30.75" customHeight="1" x14ac:dyDescent="0.25">
      <c r="A7" s="2294" t="s">
        <v>2073</v>
      </c>
      <c r="B7" s="2295"/>
      <c r="C7" s="2295"/>
      <c r="D7" s="2295"/>
      <c r="E7" s="2295"/>
      <c r="F7" s="2295"/>
      <c r="G7" s="2296"/>
    </row>
    <row r="8" spans="1:7" ht="15.75" customHeight="1" x14ac:dyDescent="0.25">
      <c r="A8" s="2297" t="s">
        <v>2022</v>
      </c>
      <c r="B8" s="2298"/>
      <c r="C8" s="2298"/>
      <c r="D8" s="2298"/>
      <c r="E8" s="2298"/>
      <c r="F8" s="2298"/>
      <c r="G8" s="2299"/>
    </row>
    <row r="9" spans="1:7" ht="35.25" customHeight="1" x14ac:dyDescent="0.25">
      <c r="A9" s="2294" t="s">
        <v>2076</v>
      </c>
      <c r="B9" s="2295"/>
      <c r="C9" s="2295"/>
      <c r="D9" s="2295"/>
      <c r="E9" s="2295"/>
      <c r="F9" s="2295"/>
      <c r="G9" s="2296"/>
    </row>
    <row r="10" spans="1:7" ht="15" customHeight="1" x14ac:dyDescent="0.25">
      <c r="A10" s="1559" t="s">
        <v>1927</v>
      </c>
      <c r="B10" s="1560"/>
      <c r="C10" s="1560"/>
      <c r="D10" s="1560"/>
      <c r="E10" s="1560"/>
      <c r="F10" s="1560"/>
      <c r="G10" s="1561"/>
    </row>
    <row r="11" spans="1:7" ht="17.25" customHeight="1" x14ac:dyDescent="0.25">
      <c r="A11" s="2294" t="s">
        <v>2075</v>
      </c>
      <c r="B11" s="2295"/>
      <c r="C11" s="2295"/>
      <c r="D11" s="2295"/>
      <c r="E11" s="2295"/>
      <c r="F11" s="2295"/>
      <c r="G11" s="2296"/>
    </row>
    <row r="12" spans="1:7" ht="15" customHeight="1" x14ac:dyDescent="0.25">
      <c r="A12" s="1559" t="s">
        <v>1932</v>
      </c>
      <c r="B12" s="1560"/>
      <c r="C12" s="1560"/>
      <c r="D12" s="1560"/>
      <c r="E12" s="1560"/>
      <c r="F12" s="1560"/>
      <c r="G12" s="1561"/>
    </row>
    <row r="13" spans="1:7" ht="32.25" customHeight="1" x14ac:dyDescent="0.25">
      <c r="A13" s="2285" t="s">
        <v>1933</v>
      </c>
      <c r="B13" s="2286"/>
      <c r="C13" s="2286"/>
      <c r="D13" s="2286"/>
      <c r="E13" s="2286"/>
      <c r="F13" s="2286"/>
      <c r="G13" s="2287"/>
    </row>
    <row r="14" spans="1:7" x14ac:dyDescent="0.25">
      <c r="A14" s="1683" t="s">
        <v>1941</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2095</v>
      </c>
      <c r="B17" s="1957" t="s">
        <v>2096</v>
      </c>
      <c r="C17" s="1958" t="s">
        <v>2097</v>
      </c>
      <c r="D17" s="1867">
        <v>180178</v>
      </c>
      <c r="E17" s="1562">
        <f t="shared" ref="E17:E141" si="1">IF(D17&lt;=25000,D17,IF(D17&gt;25000,25000,0))</f>
        <v>25000</v>
      </c>
      <c r="F17" s="1815">
        <f t="shared" si="0"/>
        <v>25000</v>
      </c>
      <c r="G17" s="1816">
        <f>IF(F17=0,0,D17-F17)</f>
        <v>155178</v>
      </c>
      <c r="H17" s="1669"/>
    </row>
    <row r="18" spans="1:8" x14ac:dyDescent="0.25">
      <c r="A18" s="1956" t="s">
        <v>2098</v>
      </c>
      <c r="B18" s="1957" t="s">
        <v>2099</v>
      </c>
      <c r="C18" s="1958" t="s">
        <v>2100</v>
      </c>
      <c r="D18" s="1867">
        <v>10076</v>
      </c>
      <c r="E18" s="1562">
        <f t="shared" ref="E18:E140" si="2">IF(D18&lt;=25000,D18,IF(D18&gt;25000,25000,0))</f>
        <v>10076</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10076</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190254</v>
      </c>
      <c r="E141" s="1563">
        <f t="shared" si="1"/>
        <v>25000</v>
      </c>
      <c r="F141" s="1817">
        <f>SUM(F17:F140)</f>
        <v>35076</v>
      </c>
      <c r="G141" s="1818">
        <f>SUM(G17:G140)</f>
        <v>155178</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A8" sqref="A8"/>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1778</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v>90881</v>
      </c>
      <c r="F10" s="975"/>
      <c r="G10" s="976"/>
      <c r="H10" s="162"/>
      <c r="I10" s="162"/>
    </row>
    <row r="11" spans="1:9" s="669" customFormat="1" ht="22.5" customHeight="1" x14ac:dyDescent="0.2">
      <c r="A11" s="2305" t="s">
        <v>1944</v>
      </c>
      <c r="B11" s="2306"/>
      <c r="C11" s="2306"/>
      <c r="D11" s="2307"/>
      <c r="E11" s="978">
        <v>21553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4221826</v>
      </c>
      <c r="F19" s="1822"/>
      <c r="G19" s="1824">
        <f>'Expenditures 15-22'!K33-SUM('Expenditures 15-22'!G33,'Expenditures 15-22'!I33)+'Expenditures 15-22'!D229</f>
        <v>4221826</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283521</v>
      </c>
      <c r="F21" s="1825"/>
      <c r="G21" s="1828">
        <f>'Expenditures 15-22'!K42-SUM('Expenditures 15-22'!G42,'Expenditures 15-22'!I42)+'Expenditures 15-22'!K120-SUM('Expenditures 15-22'!G120,'Expenditures 15-22'!I120)+'Expenditures 15-22'!K180-SUM('Expenditures 15-22'!G180,'Expenditures 15-22'!I180)+'Expenditures 15-22'!D238</f>
        <v>283521</v>
      </c>
      <c r="H21" s="988"/>
      <c r="I21" s="162"/>
    </row>
    <row r="22" spans="1:9" s="669" customFormat="1" ht="12" customHeight="1" x14ac:dyDescent="0.2">
      <c r="A22" s="995" t="s">
        <v>585</v>
      </c>
      <c r="B22" s="996"/>
      <c r="C22" s="994">
        <v>2200</v>
      </c>
      <c r="D22" s="1825"/>
      <c r="E22" s="1827">
        <f>'Expenditures 15-22'!K47-SUM('Expenditures 15-22'!G47,'Expenditures 15-22'!I47)+'Expenditures 15-22'!D243</f>
        <v>34483</v>
      </c>
      <c r="F22" s="1825"/>
      <c r="G22" s="1828">
        <f>'Expenditures 15-22'!K47-SUM('Expenditures 15-22'!G47,'Expenditures 15-22'!I47)+'Expenditures 15-22'!D243</f>
        <v>34483</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569674</v>
      </c>
      <c r="F23" s="1825"/>
      <c r="G23" s="1827">
        <f>'Expenditures 15-22'!K53-SUM('Expenditures 15-22'!G53,'Expenditures 15-22'!I53)+'Expenditures 15-22'!D257+'Expenditures 15-22'!K330-SUM('Expenditures 15-22'!G330,'Expenditures 15-22'!I330)</f>
        <v>569674</v>
      </c>
      <c r="H23" s="988"/>
      <c r="I23" s="162"/>
    </row>
    <row r="24" spans="1:9" s="669" customFormat="1" ht="12" customHeight="1" x14ac:dyDescent="0.2">
      <c r="A24" s="995" t="s">
        <v>587</v>
      </c>
      <c r="B24" s="996"/>
      <c r="C24" s="994">
        <v>2400</v>
      </c>
      <c r="D24" s="1825"/>
      <c r="E24" s="1827">
        <f>'Expenditures 15-22'!K57-SUM('Expenditures 15-22'!G57,'Expenditures 15-22'!I57)+'Expenditures 15-22'!D261</f>
        <v>463061</v>
      </c>
      <c r="F24" s="1825"/>
      <c r="G24" s="1828">
        <f>'Expenditures 15-22'!K57-SUM('Expenditures 15-22'!G57,'Expenditures 15-22'!I57)+'Expenditures 15-22'!D261</f>
        <v>463061</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35934</v>
      </c>
      <c r="E27" s="1827">
        <f>E8</f>
        <v>0</v>
      </c>
      <c r="F27" s="1827">
        <f>'Expenditures 15-22'!K60-SUM('Expenditures 15-22'!G60,'Expenditures 15-22'!I60)+'Expenditures 15-22'!D264-E8</f>
        <v>35934</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1152549</v>
      </c>
      <c r="F28" s="1829">
        <f>'Expenditures 15-22'!K61-SUM('Expenditures 15-22'!G61,'Expenditures 15-22'!I61)+'Expenditures 15-22'!K124-SUM('Expenditures 15-22'!G124,'Expenditures 15-22'!I124)+'Expenditures 15-22'!D266-E9</f>
        <v>1152549</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329184</v>
      </c>
      <c r="F29" s="1825"/>
      <c r="G29" s="1828">
        <f>'Expenditures 15-22'!K62-SUM('Expenditures 15-22'!G62,'Expenditures 15-22'!I62)+'Expenditures 15-22'!K125-SUM('Expenditures 15-22'!G125,'Expenditures 15-22'!I125)+'Expenditures 15-22'!K182-SUM('Expenditures 15-22'!G182,'Expenditures 15-22'!I182)+'Expenditures 15-22'!D267</f>
        <v>329184</v>
      </c>
      <c r="H29" s="986"/>
    </row>
    <row r="30" spans="1:9" ht="12" customHeight="1" x14ac:dyDescent="0.2">
      <c r="A30" s="995" t="s">
        <v>102</v>
      </c>
      <c r="B30" s="998"/>
      <c r="C30" s="994">
        <v>2560</v>
      </c>
      <c r="D30" s="1825"/>
      <c r="E30" s="1827">
        <f>'Expenditures 15-22'!K63-SUM('Expenditures 15-22'!G63,'Expenditures 15-22'!I63)+'Expenditures 15-22'!D268-E10</f>
        <v>97642</v>
      </c>
      <c r="F30" s="1825"/>
      <c r="G30" s="1827">
        <f>'Expenditures 15-22'!K63-SUM('Expenditures 15-22'!G63,'Expenditures 15-22'!I63)+'Expenditures 15-22'!D268-E10</f>
        <v>97642</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114964</v>
      </c>
      <c r="F39" s="1825"/>
      <c r="G39" s="1827">
        <f>'Expenditures 15-22'!K75-SUM('Expenditures 15-22'!G75,'Expenditures 15-22'!I75)+'Expenditures 15-22'!K130-SUM('Expenditures 15-22'!G130,'Expenditures 15-22'!I130)+'Expenditures 15-22'!K185-SUM('Expenditures 15-22'!G185,'Expenditures 15-22'!I185)+'Expenditures 15-22'!D280</f>
        <v>114964</v>
      </c>
    </row>
    <row r="40" spans="1:7" ht="12" customHeight="1" x14ac:dyDescent="0.2">
      <c r="A40" s="991" t="s">
        <v>1930</v>
      </c>
      <c r="B40" s="992"/>
      <c r="C40" s="994"/>
      <c r="D40" s="1825"/>
      <c r="E40" s="1829">
        <f>-'Contracts Paid in CY 29'!G141</f>
        <v>-155178</v>
      </c>
      <c r="F40" s="1825"/>
      <c r="G40" s="1829">
        <f>-'Contracts Paid in CY 29'!G141</f>
        <v>-155178</v>
      </c>
    </row>
    <row r="41" spans="1:7" ht="12" customHeight="1" x14ac:dyDescent="0.2">
      <c r="A41" s="999" t="s">
        <v>158</v>
      </c>
      <c r="B41" s="1000"/>
      <c r="C41" s="1001"/>
      <c r="D41" s="1829">
        <f>SUM(D19:D39)</f>
        <v>35934</v>
      </c>
      <c r="E41" s="1829">
        <f>SUM(E19:E40)</f>
        <v>7111726</v>
      </c>
      <c r="F41" s="1829">
        <f>SUM(F19:F39)</f>
        <v>1188483</v>
      </c>
      <c r="G41" s="1829">
        <f>SUM(G19:G40)</f>
        <v>5959177</v>
      </c>
    </row>
    <row r="42" spans="1:7" x14ac:dyDescent="0.2">
      <c r="A42" s="988"/>
      <c r="B42" s="162"/>
      <c r="C42" s="1002"/>
      <c r="D42" s="2303" t="s">
        <v>543</v>
      </c>
      <c r="E42" s="2304"/>
      <c r="F42" s="1003" t="s">
        <v>544</v>
      </c>
      <c r="G42" s="1004"/>
    </row>
    <row r="43" spans="1:7" ht="12" customHeight="1" x14ac:dyDescent="0.2">
      <c r="A43" s="988"/>
      <c r="B43" s="162"/>
      <c r="C43" s="1002"/>
      <c r="D43" s="1830" t="s">
        <v>493</v>
      </c>
      <c r="E43" s="1831">
        <f>D41</f>
        <v>35934</v>
      </c>
      <c r="F43" s="1830" t="s">
        <v>495</v>
      </c>
      <c r="G43" s="1831">
        <f>F41</f>
        <v>1188483</v>
      </c>
    </row>
    <row r="44" spans="1:7" ht="12" customHeight="1" x14ac:dyDescent="0.2">
      <c r="A44" s="988"/>
      <c r="B44" s="162"/>
      <c r="C44" s="1002"/>
      <c r="D44" s="1830" t="s">
        <v>494</v>
      </c>
      <c r="E44" s="1831">
        <f>E41</f>
        <v>7111726</v>
      </c>
      <c r="F44" s="1830" t="s">
        <v>494</v>
      </c>
      <c r="G44" s="1831">
        <f>G41</f>
        <v>5959177</v>
      </c>
    </row>
    <row r="45" spans="1:7" ht="12" customHeight="1" x14ac:dyDescent="0.2">
      <c r="A45" s="988"/>
      <c r="B45" s="162"/>
      <c r="C45" s="162"/>
      <c r="D45" s="1832" t="s">
        <v>1063</v>
      </c>
      <c r="E45" s="1833">
        <f>(E43/E44)</f>
        <v>5.0527818422700758E-3</v>
      </c>
      <c r="F45" s="1832" t="s">
        <v>1063</v>
      </c>
      <c r="G45" s="1833">
        <f>(G43/G44)</f>
        <v>0.19943743909603626</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7" activePane="bottomLeft" state="frozen"/>
      <selection activeCell="A8" sqref="A8"/>
      <selection pane="bottomLeft" activeCell="A8" sqref="A8"/>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2" t="s">
        <v>1446</v>
      </c>
      <c r="B1" s="2322"/>
      <c r="C1" s="2322"/>
      <c r="D1" s="2322"/>
      <c r="E1" s="2322"/>
      <c r="F1" s="2322"/>
    </row>
    <row r="2" spans="1:10" x14ac:dyDescent="0.2">
      <c r="A2" s="1912" t="s">
        <v>2046</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3" t="s">
        <v>1627</v>
      </c>
      <c r="B5" s="2324"/>
      <c r="C5" s="2325"/>
      <c r="D5" s="2325"/>
      <c r="E5" s="2325"/>
      <c r="F5" s="2325"/>
    </row>
    <row r="6" spans="1:10" ht="12" customHeight="1" x14ac:dyDescent="0.25">
      <c r="A6" s="1875"/>
      <c r="B6" s="1876"/>
      <c r="C6" s="2326" t="str">
        <f>COVER!A17</f>
        <v>Wolf Branch SD 113</v>
      </c>
      <c r="D6" s="2326"/>
      <c r="E6" s="2326"/>
      <c r="F6" s="1877"/>
    </row>
    <row r="7" spans="1:10" ht="11.25" customHeight="1" thickBot="1" x14ac:dyDescent="0.3">
      <c r="A7" s="1875"/>
      <c r="B7" s="1876"/>
      <c r="C7" s="2327">
        <f>COVER!A13</f>
        <v>50082113002</v>
      </c>
      <c r="D7" s="2327"/>
      <c r="E7" s="2327"/>
      <c r="F7" s="1877"/>
    </row>
    <row r="8" spans="1:10" ht="25.5" customHeight="1" thickBot="1" x14ac:dyDescent="0.25">
      <c r="A8" s="1918" t="s">
        <v>2023</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2077</v>
      </c>
      <c r="D26" s="1890" t="s">
        <v>2077</v>
      </c>
      <c r="E26" s="1893"/>
      <c r="F26" s="1892" t="s">
        <v>2101</v>
      </c>
      <c r="H26" s="1903">
        <f t="shared" si="0"/>
        <v>5</v>
      </c>
      <c r="I26" s="1903">
        <f t="shared" si="1"/>
        <v>5</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t="s">
        <v>2077</v>
      </c>
      <c r="E30" s="1893"/>
      <c r="F30" s="1892" t="s">
        <v>2102</v>
      </c>
      <c r="H30" s="1903">
        <f t="shared" si="0"/>
        <v>0</v>
      </c>
      <c r="I30" s="1903">
        <f t="shared" si="1"/>
        <v>5</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5</v>
      </c>
      <c r="I34" s="1903">
        <f>SUM(I11:I32)</f>
        <v>10</v>
      </c>
      <c r="J34" s="1903">
        <f>SUM(J11:J32)</f>
        <v>0</v>
      </c>
      <c r="K34" s="1903">
        <f>SUM(H34:J34)</f>
        <v>15</v>
      </c>
    </row>
    <row r="35" spans="1:11" ht="12" customHeight="1" x14ac:dyDescent="0.2">
      <c r="A35" s="1896" t="s">
        <v>1459</v>
      </c>
      <c r="B35" s="1897"/>
      <c r="C35" s="2328"/>
      <c r="D35" s="2328"/>
      <c r="E35" s="2328"/>
      <c r="F35" s="2329"/>
    </row>
    <row r="36" spans="1:11" ht="12" customHeight="1" x14ac:dyDescent="0.2">
      <c r="A36" s="2311"/>
      <c r="B36" s="2312"/>
      <c r="C36" s="2312"/>
      <c r="D36" s="2312"/>
      <c r="E36" s="2312"/>
      <c r="F36" s="2313"/>
    </row>
    <row r="37" spans="1:11" ht="12" customHeight="1" x14ac:dyDescent="0.2">
      <c r="A37" s="2311"/>
      <c r="B37" s="2312"/>
      <c r="C37" s="2312"/>
      <c r="D37" s="2312"/>
      <c r="E37" s="2312"/>
      <c r="F37" s="2313"/>
    </row>
    <row r="38" spans="1:11" ht="12" customHeight="1" x14ac:dyDescent="0.2">
      <c r="A38" s="2314"/>
      <c r="B38" s="2315"/>
      <c r="C38" s="2315"/>
      <c r="D38" s="2315"/>
      <c r="E38" s="2315"/>
      <c r="F38" s="2316"/>
    </row>
    <row r="39" spans="1:11" ht="4.5" hidden="1" customHeight="1" x14ac:dyDescent="0.2">
      <c r="A39" s="1898"/>
      <c r="B39" s="1898"/>
      <c r="C39" s="1898"/>
      <c r="D39" s="1898"/>
      <c r="E39" s="1898"/>
      <c r="F39" s="1898"/>
    </row>
    <row r="40" spans="1:11" s="1895" customFormat="1" ht="12" customHeight="1" x14ac:dyDescent="0.25">
      <c r="A40" s="1899" t="s">
        <v>1458</v>
      </c>
      <c r="B40" s="1900"/>
      <c r="C40" s="2317"/>
      <c r="D40" s="2317"/>
      <c r="E40" s="2317"/>
      <c r="F40" s="2318"/>
      <c r="H40" s="1904"/>
      <c r="I40" s="1904"/>
      <c r="J40" s="1904"/>
      <c r="K40" s="1904"/>
    </row>
    <row r="41" spans="1:11" s="1895" customFormat="1" ht="12" customHeight="1" x14ac:dyDescent="0.25">
      <c r="A41" s="2319"/>
      <c r="B41" s="2320"/>
      <c r="C41" s="2320"/>
      <c r="D41" s="2320"/>
      <c r="E41" s="2320"/>
      <c r="F41" s="2321"/>
      <c r="H41" s="1904"/>
      <c r="I41" s="1904"/>
      <c r="J41" s="1904"/>
      <c r="K41" s="1904"/>
    </row>
    <row r="42" spans="1:11" s="1895" customFormat="1" ht="12" customHeight="1" x14ac:dyDescent="0.25">
      <c r="A42" s="2319"/>
      <c r="B42" s="2320"/>
      <c r="C42" s="2320"/>
      <c r="D42" s="2320"/>
      <c r="E42" s="2320"/>
      <c r="F42" s="2321"/>
      <c r="H42" s="1904"/>
      <c r="I42" s="1904"/>
      <c r="J42" s="1904"/>
      <c r="K42" s="1904"/>
    </row>
    <row r="43" spans="1:11" s="1895" customFormat="1" ht="15" x14ac:dyDescent="0.25">
      <c r="A43" s="2308"/>
      <c r="B43" s="2309"/>
      <c r="C43" s="2309"/>
      <c r="D43" s="2309"/>
      <c r="E43" s="2309"/>
      <c r="F43" s="2310"/>
      <c r="H43" s="1904"/>
      <c r="I43" s="1904"/>
      <c r="J43" s="1904"/>
      <c r="K43" s="1904"/>
    </row>
    <row r="44" spans="1:11" s="1895" customFormat="1" ht="12" hidden="1" customHeight="1" x14ac:dyDescent="0.25">
      <c r="A44" s="2308"/>
      <c r="B44" s="2309"/>
      <c r="C44" s="2309"/>
      <c r="D44" s="2309"/>
      <c r="E44" s="2309"/>
      <c r="F44" s="2310"/>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A8" sqref="A8"/>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5" t="str">
        <f>COVER!A17</f>
        <v>Wolf Branch SD 113</v>
      </c>
      <c r="J6" s="2336"/>
      <c r="Q6" s="1686"/>
    </row>
    <row r="7" spans="1:17" x14ac:dyDescent="0.2">
      <c r="A7" s="2337" t="s">
        <v>924</v>
      </c>
      <c r="B7" s="2338"/>
      <c r="C7" s="2338"/>
      <c r="D7" s="2338"/>
      <c r="E7" s="2339"/>
      <c r="F7" s="1018"/>
      <c r="G7" s="1010"/>
      <c r="H7" s="1017" t="s">
        <v>390</v>
      </c>
      <c r="I7" s="2340">
        <f>COVER!A13</f>
        <v>50082113002</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203461</v>
      </c>
      <c r="F12" s="1040"/>
      <c r="G12" s="1834">
        <f t="shared" ref="G12:G18" si="0">SUM(E12:F12)</f>
        <v>203461</v>
      </c>
      <c r="H12" s="1041"/>
      <c r="I12" s="1040"/>
      <c r="J12" s="1834">
        <f t="shared" ref="J12:J18" si="1">SUM(H12:I12)</f>
        <v>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4" t="s">
        <v>7</v>
      </c>
      <c r="C18" s="2345"/>
      <c r="D18" s="2346"/>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203461</v>
      </c>
      <c r="F19" s="1836">
        <f t="shared" si="2"/>
        <v>0</v>
      </c>
      <c r="G19" s="1836">
        <f t="shared" si="2"/>
        <v>203461</v>
      </c>
      <c r="H19" s="1836">
        <f t="shared" si="2"/>
        <v>0</v>
      </c>
      <c r="I19" s="1836">
        <f t="shared" si="2"/>
        <v>0</v>
      </c>
      <c r="J19" s="1836">
        <f t="shared" si="2"/>
        <v>0</v>
      </c>
    </row>
    <row r="20" spans="1:10" ht="13.5" thickTop="1" x14ac:dyDescent="0.2">
      <c r="A20" s="1036">
        <v>9</v>
      </c>
      <c r="B20" s="2347" t="s">
        <v>1703</v>
      </c>
      <c r="C20" s="2347"/>
      <c r="D20" s="2348"/>
      <c r="E20" s="1047"/>
      <c r="F20" s="1047"/>
      <c r="G20" s="1047"/>
      <c r="H20" s="1047"/>
      <c r="I20" s="1047"/>
      <c r="J20" s="1837" t="str">
        <f>IF(AND(G19&gt;0,J19&gt;0),(((J19-G19)/G19)),"Enter Budget Data")</f>
        <v>Enter Budget Data</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1943</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A8" sqref="A8"/>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2104</v>
      </c>
    </row>
    <row r="6" spans="1:2" x14ac:dyDescent="0.2">
      <c r="A6" s="1069">
        <v>2</v>
      </c>
      <c r="B6" s="329" t="s">
        <v>2103</v>
      </c>
    </row>
    <row r="7" spans="1:2" x14ac:dyDescent="0.2">
      <c r="A7" s="1069">
        <v>3</v>
      </c>
      <c r="B7" s="329" t="s">
        <v>2105</v>
      </c>
    </row>
    <row r="8" spans="1:2" x14ac:dyDescent="0.2">
      <c r="A8" s="1069">
        <v>4</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Wolf Branch SD 113</v>
      </c>
    </row>
    <row r="65" spans="2:2" x14ac:dyDescent="0.2">
      <c r="B65" s="1071">
        <f>COVER!A13</f>
        <v>50082113002</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19" zoomScale="110" zoomScaleNormal="110" workbookViewId="0">
      <selection activeCell="A8" sqref="A8"/>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9" t="s">
        <v>1709</v>
      </c>
    </row>
    <row r="23" spans="1:5" x14ac:dyDescent="0.2">
      <c r="A23" s="168"/>
      <c r="B23" s="162" t="s">
        <v>1968</v>
      </c>
      <c r="D23" s="167" t="s">
        <v>658</v>
      </c>
      <c r="E23" s="1859"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8" sqref="A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8" sqref="B8"/>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4" t="s">
        <v>1784</v>
      </c>
      <c r="B18" s="2354"/>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7</xdr:row>
                <xdr:rowOff>0</xdr:rowOff>
              </from>
              <to>
                <xdr:col>1</xdr:col>
                <xdr:colOff>914400</xdr:colOff>
                <xdr:row>11</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8" sqref="A8"/>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75"/>
      <c r="H2" s="1075"/>
    </row>
    <row r="3" spans="1:8" ht="57" customHeight="1" x14ac:dyDescent="0.2">
      <c r="A3" s="2368" t="s">
        <v>1786</v>
      </c>
      <c r="B3" s="2369"/>
      <c r="C3" s="2369"/>
      <c r="D3" s="2369"/>
      <c r="E3" s="2369"/>
      <c r="F3" s="2370"/>
      <c r="G3" s="1075"/>
      <c r="H3" s="1075"/>
    </row>
    <row r="4" spans="1:8" ht="14.25" customHeight="1" x14ac:dyDescent="0.2">
      <c r="A4" s="2374" t="s">
        <v>2054</v>
      </c>
      <c r="B4" s="2375"/>
      <c r="C4" s="2375"/>
      <c r="D4" s="2375"/>
      <c r="E4" s="2375"/>
      <c r="F4" s="2376"/>
      <c r="G4" s="1075"/>
      <c r="H4" s="1075"/>
    </row>
    <row r="5" spans="1:8" ht="14.25" customHeight="1" x14ac:dyDescent="0.2">
      <c r="A5" s="2377" t="s">
        <v>2055</v>
      </c>
      <c r="B5" s="2378"/>
      <c r="C5" s="2378"/>
      <c r="D5" s="2378"/>
      <c r="E5" s="2378"/>
      <c r="F5" s="2379"/>
      <c r="G5" s="1075"/>
      <c r="H5" s="1075"/>
    </row>
    <row r="6" spans="1:8" s="1076" customFormat="1" ht="41.25" customHeight="1" x14ac:dyDescent="0.2">
      <c r="A6" s="2371" t="s">
        <v>1792</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5468477</v>
      </c>
      <c r="C8" s="1838">
        <f>'Acct Summary 7-8'!D8</f>
        <v>1065088</v>
      </c>
      <c r="D8" s="1838">
        <f>'Acct Summary 7-8'!F8</f>
        <v>410686</v>
      </c>
      <c r="E8" s="1838">
        <f>'Acct Summary 7-8'!I8</f>
        <v>103006</v>
      </c>
      <c r="F8" s="1838">
        <f>SUM(B8:E8)</f>
        <v>7047257</v>
      </c>
    </row>
    <row r="9" spans="1:8" s="1080" customFormat="1" ht="14.25" customHeight="1" thickBot="1" x14ac:dyDescent="0.25">
      <c r="A9" s="1079" t="s">
        <v>1436</v>
      </c>
      <c r="B9" s="1839">
        <f>'Acct Summary 7-8'!C17</f>
        <v>5785344</v>
      </c>
      <c r="C9" s="1839">
        <f>'Acct Summary 7-8'!D17</f>
        <v>1101701</v>
      </c>
      <c r="D9" s="1839">
        <f>'Acct Summary 7-8'!F17</f>
        <v>329184</v>
      </c>
      <c r="E9" s="1838"/>
      <c r="F9" s="1838">
        <f>SUM(B9:E9)</f>
        <v>7216229</v>
      </c>
    </row>
    <row r="10" spans="1:8" s="1080" customFormat="1" ht="14.25" thickTop="1" thickBot="1" x14ac:dyDescent="0.25">
      <c r="A10" s="1081" t="s">
        <v>1437</v>
      </c>
      <c r="B10" s="1840">
        <f>(B8-B9)</f>
        <v>-316867</v>
      </c>
      <c r="C10" s="1840">
        <f>(C8-C9)</f>
        <v>-36613</v>
      </c>
      <c r="D10" s="1840">
        <f>(D8-D9)</f>
        <v>81502</v>
      </c>
      <c r="E10" s="1839">
        <f>(E8-E9)</f>
        <v>103006</v>
      </c>
      <c r="F10" s="1841">
        <f>SUM(F8-F9)</f>
        <v>-168972</v>
      </c>
    </row>
    <row r="11" spans="1:8" s="1080" customFormat="1" ht="14.25" thickTop="1" thickBot="1" x14ac:dyDescent="0.25">
      <c r="A11" s="1082" t="s">
        <v>1785</v>
      </c>
      <c r="B11" s="1842">
        <f>'Acct Summary 7-8'!C81</f>
        <v>56080</v>
      </c>
      <c r="C11" s="1842">
        <f>'Acct Summary 7-8'!D81</f>
        <v>1603431</v>
      </c>
      <c r="D11" s="1842">
        <f>'Acct Summary 7-8'!F81</f>
        <v>513650</v>
      </c>
      <c r="E11" s="1842">
        <f>'Acct Summary 7-8'!I81</f>
        <v>1396161</v>
      </c>
      <c r="F11" s="1843">
        <f>SUM(B11:E11)</f>
        <v>3569322</v>
      </c>
    </row>
    <row r="12" spans="1:8" ht="16.5" customHeight="1" thickTop="1" x14ac:dyDescent="0.2">
      <c r="A12" s="1083"/>
      <c r="B12" s="1084"/>
      <c r="C12" s="2359" t="str">
        <f>IF(AND(F10&lt;0,F11&gt;=0,ABS(F10*3)&gt;ABS(F11)),A16,IF(AND(F10&lt;0,F11&gt;0,ABS(F10*3)&lt;=ABS(F11)),A17,IF(AND(F10&lt;0,F11&lt;0),A16,IF(F11=0,A19,A18))))</f>
        <v>Unbalanced -  however, a deficit reduction plan is not required at this time.</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1787</v>
      </c>
      <c r="B16" s="2358"/>
      <c r="C16" s="2358"/>
      <c r="D16" s="2358"/>
      <c r="E16" s="2358"/>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38"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0" t="s">
        <v>686</v>
      </c>
      <c r="B3" s="2381"/>
      <c r="C3" s="2381"/>
      <c r="D3" s="2382"/>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PLEASE CHECK YES or NO.</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OK</v>
      </c>
    </row>
    <row r="70" spans="1:4" x14ac:dyDescent="0.2">
      <c r="A70" s="1099"/>
      <c r="B70" s="1121">
        <f>B66+1</f>
        <v>9</v>
      </c>
      <c r="C70" s="2389" t="s">
        <v>1797</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ENTER BUDGET DATA!</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50082113002</v>
      </c>
    </row>
    <row r="3" spans="1:2" x14ac:dyDescent="0.2">
      <c r="A3" t="s">
        <v>1013</v>
      </c>
      <c r="B3" s="138" t="str">
        <f>COVER!A15</f>
        <v>St. Clair</v>
      </c>
    </row>
    <row r="4" spans="1:2" x14ac:dyDescent="0.2">
      <c r="A4" t="s">
        <v>1064</v>
      </c>
      <c r="B4" s="138" t="str">
        <f>COVER!A17</f>
        <v>Wolf Branch SD 113</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f>IF(COVER!J30="x","Yes",IF(COVER!L30="x","No",0))</f>
        <v>0</v>
      </c>
    </row>
    <row r="14" spans="1:2" x14ac:dyDescent="0.2">
      <c r="A14" t="s">
        <v>497</v>
      </c>
      <c r="B14" s="138" t="str">
        <f>IF(COVER!J31="x","Yes",IF(COVER!L31="x","No",0))</f>
        <v>Yes</v>
      </c>
    </row>
    <row r="15" spans="1:2" x14ac:dyDescent="0.2">
      <c r="A15" t="s">
        <v>598</v>
      </c>
      <c r="B15" s="138" t="str">
        <f>COVER!T23</f>
        <v>066-005248</v>
      </c>
    </row>
    <row r="16" spans="1:2" x14ac:dyDescent="0.2">
      <c r="A16" t="s">
        <v>442</v>
      </c>
      <c r="B16" s="138" t="str">
        <f>COVER!T13</f>
        <v>Moore &amp; Simonin, PC</v>
      </c>
    </row>
    <row r="17" spans="1:2" x14ac:dyDescent="0.2">
      <c r="A17" t="s">
        <v>939</v>
      </c>
      <c r="B17" s="138" t="str">
        <f>COVER!T15</f>
        <v>Robert E. Moore, CPA</v>
      </c>
    </row>
    <row r="18" spans="1:2" x14ac:dyDescent="0.2">
      <c r="A18" t="s">
        <v>1212</v>
      </c>
      <c r="B18" s="138" t="str">
        <f>COVER!T17</f>
        <v>3636 North Belt West</v>
      </c>
    </row>
    <row r="19" spans="1:2" x14ac:dyDescent="0.2">
      <c r="A19" t="s">
        <v>941</v>
      </c>
      <c r="B19" s="138" t="str">
        <f>COVER!T25</f>
        <v>mooresimonin@mrsaccountants.com</v>
      </c>
    </row>
    <row r="20" spans="1:2" x14ac:dyDescent="0.2">
      <c r="A20" t="s">
        <v>942</v>
      </c>
      <c r="B20" s="138" t="str">
        <f>COVER!T19</f>
        <v>Belleville</v>
      </c>
    </row>
    <row r="21" spans="1:2" x14ac:dyDescent="0.2">
      <c r="A21" t="s">
        <v>500</v>
      </c>
      <c r="B21" s="138" t="str">
        <f>COVER!X19</f>
        <v>IL</v>
      </c>
    </row>
    <row r="22" spans="1:2" x14ac:dyDescent="0.2">
      <c r="A22" t="s">
        <v>943</v>
      </c>
      <c r="B22" s="138">
        <f>COVER!Z19</f>
        <v>62226</v>
      </c>
    </row>
    <row r="23" spans="1:2" x14ac:dyDescent="0.2">
      <c r="A23" t="s">
        <v>1214</v>
      </c>
      <c r="B23" s="138" t="str">
        <f>COVER!T21</f>
        <v>618-233-5049</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t="str">
        <f>IF('FP Info 3'!B51="X","Yes",0)</f>
        <v>Yes</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56973</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893</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893</v>
      </c>
      <c r="C91" s="2" t="s">
        <v>594</v>
      </c>
      <c r="D91" s="2" t="str">
        <f t="shared" si="0"/>
        <v>Error?</v>
      </c>
    </row>
    <row r="92" spans="1:4" x14ac:dyDescent="0.2">
      <c r="A92" s="5">
        <v>31</v>
      </c>
      <c r="B92" s="138">
        <f>'Assets-Liab 5-6'!C39</f>
        <v>-187651</v>
      </c>
      <c r="D92" s="2" t="str">
        <f t="shared" si="0"/>
        <v>Error?</v>
      </c>
    </row>
    <row r="93" spans="1:4" x14ac:dyDescent="0.2">
      <c r="A93" s="5">
        <v>32</v>
      </c>
      <c r="B93" s="138">
        <f>'Assets-Liab 5-6'!C41</f>
        <v>56973</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1603431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1603431</v>
      </c>
      <c r="D123" s="2" t="str">
        <f t="shared" si="0"/>
        <v>Error?</v>
      </c>
    </row>
    <row r="124" spans="1:4" x14ac:dyDescent="0.2">
      <c r="A124" s="5">
        <v>63</v>
      </c>
      <c r="B124" s="138">
        <f>'Assets-Liab 5-6'!D41</f>
        <v>1603431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129323</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129323</v>
      </c>
      <c r="D140" s="2" t="str">
        <f t="shared" si="1"/>
        <v>Error?</v>
      </c>
    </row>
    <row r="141" spans="1:4" x14ac:dyDescent="0.2">
      <c r="A141" s="5">
        <v>80</v>
      </c>
      <c r="B141" s="138">
        <f>'Assets-Liab 5-6'!E41</f>
        <v>129323</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513650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513650</v>
      </c>
      <c r="D170" s="2" t="str">
        <f t="shared" si="1"/>
        <v>Error?</v>
      </c>
    </row>
    <row r="171" spans="1:4" x14ac:dyDescent="0.2">
      <c r="A171" s="5">
        <v>110</v>
      </c>
      <c r="B171" s="138">
        <f>'Assets-Liab 5-6'!F41</f>
        <v>513650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270809</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-6895</v>
      </c>
      <c r="D189" s="2" t="str">
        <f t="shared" si="1"/>
        <v>Error?</v>
      </c>
    </row>
    <row r="190" spans="1:4" x14ac:dyDescent="0.2">
      <c r="A190" s="5">
        <v>129</v>
      </c>
      <c r="B190" s="138">
        <f>'Assets-Liab 5-6'!G41</f>
        <v>270809</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393889</v>
      </c>
      <c r="D273" s="2" t="str">
        <f t="shared" si="3"/>
        <v>Error?</v>
      </c>
    </row>
    <row r="274" spans="1:4" x14ac:dyDescent="0.2">
      <c r="A274" s="5">
        <v>213</v>
      </c>
      <c r="B274" s="138">
        <f>'Assets-Liab 5-6'!M17</f>
        <v>27568827</v>
      </c>
      <c r="D274" s="2" t="str">
        <f t="shared" si="3"/>
        <v>Error?</v>
      </c>
    </row>
    <row r="275" spans="1:4" x14ac:dyDescent="0.2">
      <c r="A275" s="5">
        <v>214</v>
      </c>
      <c r="B275" s="138">
        <f>'Assets-Liab 5-6'!M18</f>
        <v>1702080</v>
      </c>
      <c r="D275" s="2" t="str">
        <f t="shared" si="3"/>
        <v>Error?</v>
      </c>
    </row>
    <row r="276" spans="1:4" x14ac:dyDescent="0.2">
      <c r="A276" s="5">
        <v>215</v>
      </c>
      <c r="B276" s="138">
        <f>'Assets-Liab 5-6'!M19</f>
        <v>1162732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30827528</v>
      </c>
      <c r="C279" s="2" t="s">
        <v>594</v>
      </c>
      <c r="D279" s="2" t="str">
        <f t="shared" si="3"/>
        <v>Error?</v>
      </c>
    </row>
    <row r="280" spans="1:4" x14ac:dyDescent="0.2">
      <c r="A280" s="5">
        <v>219</v>
      </c>
      <c r="B280" s="138">
        <f>'Assets-Liab 5-6'!M40</f>
        <v>30827528</v>
      </c>
      <c r="D280" s="2" t="str">
        <f t="shared" si="3"/>
        <v>Error?</v>
      </c>
    </row>
    <row r="281" spans="1:4" x14ac:dyDescent="0.2">
      <c r="A281" s="5">
        <v>220</v>
      </c>
      <c r="B281" s="138">
        <f>'Assets-Liab 5-6'!M41</f>
        <v>30827528</v>
      </c>
      <c r="C281" s="2" t="s">
        <v>594</v>
      </c>
      <c r="D281" s="2" t="str">
        <f t="shared" si="3"/>
        <v>Error?</v>
      </c>
    </row>
    <row r="282" spans="1:4" x14ac:dyDescent="0.2">
      <c r="A282" s="5">
        <v>221</v>
      </c>
      <c r="B282" s="138">
        <f>'Assets-Liab 5-6'!N21</f>
        <v>129323</v>
      </c>
      <c r="D282" s="2" t="str">
        <f t="shared" si="3"/>
        <v>Error?</v>
      </c>
    </row>
    <row r="283" spans="1:4" x14ac:dyDescent="0.2">
      <c r="A283" s="5">
        <v>222</v>
      </c>
      <c r="B283" s="138">
        <f>'Assets-Liab 5-6'!N22</f>
        <v>1915677</v>
      </c>
      <c r="D283" s="2" t="str">
        <f t="shared" si="3"/>
        <v>Error?</v>
      </c>
    </row>
    <row r="284" spans="1:4" x14ac:dyDescent="0.2">
      <c r="A284" s="5">
        <v>223</v>
      </c>
      <c r="B284" s="138">
        <f>'Assets-Liab 5-6'!N23</f>
        <v>2045000</v>
      </c>
      <c r="C284" s="2" t="s">
        <v>594</v>
      </c>
      <c r="D284" s="2" t="str">
        <f t="shared" si="3"/>
        <v>Error?</v>
      </c>
    </row>
    <row r="285" spans="1:4" x14ac:dyDescent="0.2">
      <c r="A285" s="5">
        <v>224</v>
      </c>
      <c r="B285" s="138">
        <f>'Assets-Liab 5-6'!N36</f>
        <v>2045000</v>
      </c>
      <c r="D285" s="2" t="str">
        <f t="shared" si="3"/>
        <v>Error?</v>
      </c>
    </row>
    <row r="286" spans="1:4" x14ac:dyDescent="0.2">
      <c r="A286" s="10">
        <v>225</v>
      </c>
      <c r="D286" s="2" t="str">
        <f t="shared" si="3"/>
        <v>OK</v>
      </c>
    </row>
    <row r="287" spans="1:4" x14ac:dyDescent="0.2">
      <c r="A287" s="5">
        <v>226</v>
      </c>
      <c r="B287" s="138">
        <f>'Assets-Liab 5-6'!N37</f>
        <v>2045000</v>
      </c>
      <c r="C287" s="2" t="s">
        <v>594</v>
      </c>
      <c r="D287" s="2" t="str">
        <f t="shared" si="3"/>
        <v>Error?</v>
      </c>
    </row>
    <row r="288" spans="1:4" x14ac:dyDescent="0.2">
      <c r="A288" s="5">
        <v>227</v>
      </c>
      <c r="B288" s="138">
        <f>'Assets-Liab 5-6'!N41</f>
        <v>2045000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330000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2607762</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64702</v>
      </c>
      <c r="D718" s="2" t="str">
        <f t="shared" si="10"/>
        <v>Error?</v>
      </c>
    </row>
    <row r="719" spans="1:4" x14ac:dyDescent="0.2">
      <c r="A719" s="5">
        <v>658</v>
      </c>
      <c r="B719" s="138">
        <f>'Expenditures 15-22'!C15</f>
        <v>1525</v>
      </c>
      <c r="D719" s="2" t="str">
        <f t="shared" si="10"/>
        <v>Error?</v>
      </c>
    </row>
    <row r="720" spans="1:4" x14ac:dyDescent="0.2">
      <c r="A720" s="5">
        <v>659</v>
      </c>
      <c r="B720" s="138">
        <f>'Expenditures 15-22'!C33</f>
        <v>3244843</v>
      </c>
      <c r="C720" s="2" t="s">
        <v>594</v>
      </c>
      <c r="D720" s="2" t="str">
        <f t="shared" si="10"/>
        <v>Error?</v>
      </c>
    </row>
    <row r="721" spans="1:4" x14ac:dyDescent="0.2">
      <c r="A721" s="5">
        <v>660</v>
      </c>
      <c r="B721" s="138">
        <f>'Expenditures 15-22'!C36</f>
        <v>78130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28868</v>
      </c>
      <c r="D723" s="2" t="str">
        <f t="shared" si="10"/>
        <v>Error?</v>
      </c>
    </row>
    <row r="724" spans="1:4" x14ac:dyDescent="0.2">
      <c r="A724" s="5">
        <v>663</v>
      </c>
      <c r="B724" s="138">
        <f>'Expenditures 15-22'!C39</f>
        <v>0</v>
      </c>
      <c r="D724" s="2" t="str">
        <f t="shared" si="10"/>
        <v>Error?</v>
      </c>
    </row>
    <row r="725" spans="1:4" x14ac:dyDescent="0.2">
      <c r="A725" s="5">
        <v>664</v>
      </c>
      <c r="B725" s="138">
        <f>'Expenditures 15-22'!C40</f>
        <v>76422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183420</v>
      </c>
      <c r="C727" s="2" t="s">
        <v>594</v>
      </c>
      <c r="D727" s="2" t="str">
        <f t="shared" si="10"/>
        <v>Error?</v>
      </c>
    </row>
    <row r="728" spans="1:4" x14ac:dyDescent="0.2">
      <c r="A728" s="5">
        <v>667</v>
      </c>
      <c r="B728" s="138">
        <f>'Expenditures 15-22'!C44</f>
        <v>13085</v>
      </c>
      <c r="D728" s="2" t="str">
        <f t="shared" si="10"/>
        <v>Error?</v>
      </c>
    </row>
    <row r="729" spans="1:4" x14ac:dyDescent="0.2">
      <c r="A729" s="5">
        <v>668</v>
      </c>
      <c r="B729" s="138">
        <f>'Expenditures 15-22'!C45</f>
        <v>9141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22226</v>
      </c>
      <c r="C731" s="2" t="s">
        <v>594</v>
      </c>
      <c r="D731" s="2" t="str">
        <f t="shared" si="10"/>
        <v>Error?</v>
      </c>
    </row>
    <row r="732" spans="1:4" x14ac:dyDescent="0.2">
      <c r="A732" s="5">
        <v>671</v>
      </c>
      <c r="B732" s="138">
        <f>'Expenditures 15-22'!C49</f>
        <v>1500</v>
      </c>
      <c r="D732" s="2" t="str">
        <f t="shared" si="10"/>
        <v>Error?</v>
      </c>
    </row>
    <row r="733" spans="1:4" x14ac:dyDescent="0.2">
      <c r="A733" s="5">
        <v>672</v>
      </c>
      <c r="B733" s="138">
        <f>'Expenditures 15-22'!C50</f>
        <v>158165</v>
      </c>
      <c r="D733" s="2" t="str">
        <f t="shared" si="10"/>
        <v>Error?</v>
      </c>
    </row>
    <row r="734" spans="1:4" x14ac:dyDescent="0.2">
      <c r="A734" s="5">
        <v>673</v>
      </c>
      <c r="B734" s="138">
        <f>'Expenditures 15-22'!C53</f>
        <v>159665</v>
      </c>
      <c r="C734" s="2" t="s">
        <v>594</v>
      </c>
      <c r="D734" s="2" t="str">
        <f t="shared" si="10"/>
        <v>Error?</v>
      </c>
    </row>
    <row r="735" spans="1:4" x14ac:dyDescent="0.2">
      <c r="A735" s="5">
        <v>674</v>
      </c>
      <c r="B735" s="138">
        <f>'Expenditures 15-22'!C55</f>
        <v>332885</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332885</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28700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6364</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35064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733260</v>
      </c>
      <c r="C755" s="2" t="s">
        <v>594</v>
      </c>
      <c r="D755" s="2" t="str">
        <f t="shared" si="10"/>
        <v>Error?</v>
      </c>
    </row>
    <row r="756" spans="1:4" x14ac:dyDescent="0.2">
      <c r="A756" s="5">
        <v>695</v>
      </c>
      <c r="B756" s="138">
        <f>'Expenditures 15-22'!C75</f>
        <v>88593</v>
      </c>
      <c r="D756" s="2" t="str">
        <f t="shared" si="10"/>
        <v>Error?</v>
      </c>
    </row>
    <row r="757" spans="1:4" x14ac:dyDescent="0.2">
      <c r="A757" s="5">
        <v>696</v>
      </c>
      <c r="B757" s="138">
        <f>'Expenditures 15-22'!C114</f>
        <v>4066696</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620569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5666</v>
      </c>
      <c r="D776" s="2" t="str">
        <f t="shared" si="11"/>
        <v>Error?</v>
      </c>
    </row>
    <row r="777" spans="1:4" x14ac:dyDescent="0.2">
      <c r="A777" s="5">
        <v>716</v>
      </c>
      <c r="B777" s="138">
        <f>'Expenditures 15-22'!D15</f>
        <v>194</v>
      </c>
      <c r="D777" s="2" t="str">
        <f t="shared" si="11"/>
        <v>Error?</v>
      </c>
    </row>
    <row r="778" spans="1:4" x14ac:dyDescent="0.2">
      <c r="A778" s="5">
        <v>717</v>
      </c>
      <c r="B778" s="138">
        <f>'Expenditures 15-22'!D33</f>
        <v>726584</v>
      </c>
      <c r="C778" s="2" t="s">
        <v>594</v>
      </c>
      <c r="D778" s="2" t="str">
        <f t="shared" si="11"/>
        <v>Error?</v>
      </c>
    </row>
    <row r="779" spans="1:4" x14ac:dyDescent="0.2">
      <c r="A779" s="5">
        <v>718</v>
      </c>
      <c r="B779" s="138">
        <f>'Expenditures 15-22'!D36</f>
        <v>26382</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18875</v>
      </c>
      <c r="D783" s="2" t="str">
        <f t="shared" si="11"/>
        <v>Error?</v>
      </c>
    </row>
    <row r="784" spans="1:4" x14ac:dyDescent="0.2">
      <c r="A784" s="5">
        <v>723</v>
      </c>
      <c r="B784" s="138">
        <f>'Expenditures 15-22'!D41</f>
        <v>0</v>
      </c>
      <c r="D784" s="2" t="str">
        <f t="shared" si="11"/>
        <v>Error?</v>
      </c>
    </row>
    <row r="785" spans="1:4" x14ac:dyDescent="0.2">
      <c r="A785" s="5">
        <v>724</v>
      </c>
      <c r="B785" s="138">
        <f>'Expenditures 15-22'!D42</f>
        <v>45257</v>
      </c>
      <c r="C785" s="2" t="s">
        <v>594</v>
      </c>
      <c r="D785" s="2" t="str">
        <f t="shared" si="11"/>
        <v>Error?</v>
      </c>
    </row>
    <row r="786" spans="1:4" x14ac:dyDescent="0.2">
      <c r="A786" s="5">
        <v>725</v>
      </c>
      <c r="B786" s="138">
        <f>'Expenditures 15-22'!D44</f>
        <v>953</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953</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39499</v>
      </c>
      <c r="D791" s="2" t="str">
        <f t="shared" si="11"/>
        <v>Error?</v>
      </c>
    </row>
    <row r="792" spans="1:4" x14ac:dyDescent="0.2">
      <c r="A792" s="5">
        <v>731</v>
      </c>
      <c r="B792" s="138">
        <f>'Expenditures 15-22'!D53</f>
        <v>39499</v>
      </c>
      <c r="C792" s="2" t="s">
        <v>594</v>
      </c>
      <c r="D792" s="2" t="str">
        <f t="shared" si="11"/>
        <v>Error?</v>
      </c>
    </row>
    <row r="793" spans="1:4" x14ac:dyDescent="0.2">
      <c r="A793" s="5">
        <v>732</v>
      </c>
      <c r="B793" s="138">
        <f>'Expenditures 15-22'!D55</f>
        <v>88660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88660</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1000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1000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175369</v>
      </c>
      <c r="C813" s="2" t="s">
        <v>594</v>
      </c>
      <c r="D813" s="2" t="str">
        <f t="shared" si="11"/>
        <v>Error?</v>
      </c>
    </row>
    <row r="814" spans="1:4" x14ac:dyDescent="0.2">
      <c r="A814" s="5">
        <v>753</v>
      </c>
      <c r="B814" s="138">
        <f>'Expenditures 15-22'!D75</f>
        <v>4115</v>
      </c>
      <c r="D814" s="2" t="str">
        <f t="shared" si="11"/>
        <v>Error?</v>
      </c>
    </row>
    <row r="815" spans="1:4" x14ac:dyDescent="0.2">
      <c r="A815" s="5">
        <v>754</v>
      </c>
      <c r="B815" s="138">
        <f>'Expenditures 15-22'!D114</f>
        <v>906068</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8046</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45277</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45277</v>
      </c>
      <c r="C843" s="2" t="s">
        <v>594</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594</v>
      </c>
      <c r="D847" s="2" t="str">
        <f t="shared" si="12"/>
        <v>Error?</v>
      </c>
    </row>
    <row r="848" spans="1:4" x14ac:dyDescent="0.2">
      <c r="A848" s="5">
        <v>787</v>
      </c>
      <c r="B848" s="138">
        <f>'Expenditures 15-22'!E49</f>
        <v>23661</v>
      </c>
      <c r="D848" s="2" t="str">
        <f t="shared" si="12"/>
        <v>Error?</v>
      </c>
    </row>
    <row r="849" spans="1:4" x14ac:dyDescent="0.2">
      <c r="A849" s="5">
        <v>788</v>
      </c>
      <c r="B849" s="138">
        <f>'Expenditures 15-22'!E50</f>
        <v>1485</v>
      </c>
      <c r="D849" s="2" t="str">
        <f t="shared" si="12"/>
        <v>Error?</v>
      </c>
    </row>
    <row r="850" spans="1:4" x14ac:dyDescent="0.2">
      <c r="A850" s="5">
        <v>789</v>
      </c>
      <c r="B850" s="138">
        <f>'Expenditures 15-22'!E53</f>
        <v>25146</v>
      </c>
      <c r="C850" s="2" t="s">
        <v>594</v>
      </c>
      <c r="D850" s="2" t="str">
        <f t="shared" si="12"/>
        <v>Error?</v>
      </c>
    </row>
    <row r="851" spans="1:4" x14ac:dyDescent="0.2">
      <c r="A851" s="5">
        <v>790</v>
      </c>
      <c r="B851" s="138">
        <f>'Expenditures 15-22'!E55</f>
        <v>15401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15401</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32</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180178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180210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266034</v>
      </c>
      <c r="C871" s="2" t="s">
        <v>594</v>
      </c>
      <c r="D871" s="2" t="str">
        <f t="shared" si="12"/>
        <v>Error?</v>
      </c>
    </row>
    <row r="872" spans="1:4" x14ac:dyDescent="0.2">
      <c r="A872" s="5">
        <v>811</v>
      </c>
      <c r="B872" s="138">
        <f>'Expenditures 15-22'!E75</f>
        <v>1421</v>
      </c>
      <c r="D872" s="2" t="str">
        <f t="shared" si="12"/>
        <v>Error?</v>
      </c>
    </row>
    <row r="873" spans="1:4" x14ac:dyDescent="0.2">
      <c r="A873" s="5">
        <v>812</v>
      </c>
      <c r="B873" s="138">
        <f>'Expenditures 15-22'!E114</f>
        <v>290005</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88731</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91626</v>
      </c>
      <c r="C894" s="2" t="s">
        <v>594</v>
      </c>
      <c r="D894" s="2" t="str">
        <f t="shared" si="12"/>
        <v>Error?</v>
      </c>
    </row>
    <row r="895" spans="1:4" x14ac:dyDescent="0.2">
      <c r="A895" s="5">
        <v>834</v>
      </c>
      <c r="B895" s="138">
        <f>'Expenditures 15-22'!F36</f>
        <v>100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3264</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3364</v>
      </c>
      <c r="C901" s="2" t="s">
        <v>594</v>
      </c>
      <c r="D901" s="2" t="str">
        <f t="shared" si="13"/>
        <v>Error?</v>
      </c>
    </row>
    <row r="902" spans="1:4" x14ac:dyDescent="0.2">
      <c r="A902" s="5">
        <v>841</v>
      </c>
      <c r="B902" s="138">
        <f>'Expenditures 15-22'!F44</f>
        <v>7966</v>
      </c>
      <c r="D902" s="2" t="str">
        <f t="shared" si="13"/>
        <v>Error?</v>
      </c>
    </row>
    <row r="903" spans="1:4" x14ac:dyDescent="0.2">
      <c r="A903" s="5">
        <v>842</v>
      </c>
      <c r="B903" s="138">
        <f>'Expenditures 15-22'!F45</f>
        <v>29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7995</v>
      </c>
      <c r="C905" s="2" t="s">
        <v>594</v>
      </c>
      <c r="D905" s="2" t="str">
        <f t="shared" si="13"/>
        <v>Error?</v>
      </c>
    </row>
    <row r="906" spans="1:4" x14ac:dyDescent="0.2">
      <c r="A906" s="5">
        <v>845</v>
      </c>
      <c r="B906" s="138">
        <f>'Expenditures 15-22'!F49</f>
        <v>9802</v>
      </c>
      <c r="D906" s="2" t="str">
        <f t="shared" si="13"/>
        <v>Error?</v>
      </c>
    </row>
    <row r="907" spans="1:4" x14ac:dyDescent="0.2">
      <c r="A907" s="5">
        <v>846</v>
      </c>
      <c r="B907" s="138">
        <f>'Expenditures 15-22'!F50</f>
        <v>3037</v>
      </c>
      <c r="D907" s="2" t="str">
        <f t="shared" si="13"/>
        <v>Error?</v>
      </c>
    </row>
    <row r="908" spans="1:4" x14ac:dyDescent="0.2">
      <c r="A908" s="5">
        <v>847</v>
      </c>
      <c r="B908" s="138">
        <f>'Expenditures 15-22'!F53</f>
        <v>12839</v>
      </c>
      <c r="C908" s="2" t="s">
        <v>594</v>
      </c>
      <c r="D908" s="2" t="str">
        <f t="shared" si="13"/>
        <v>Error?</v>
      </c>
    </row>
    <row r="909" spans="1:4" x14ac:dyDescent="0.2">
      <c r="A909" s="5">
        <v>848</v>
      </c>
      <c r="B909" s="138">
        <f>'Expenditures 15-22'!F55</f>
        <v>6375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6375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965</v>
      </c>
      <c r="D913" s="2" t="str">
        <f t="shared" si="13"/>
        <v>Error?</v>
      </c>
    </row>
    <row r="914" spans="1:4" x14ac:dyDescent="0.2">
      <c r="A914" s="5">
        <v>853</v>
      </c>
      <c r="B914" s="138">
        <f>'Expenditures 15-22'!F61</f>
        <v>31756</v>
      </c>
      <c r="D914" s="2" t="str">
        <f t="shared" si="13"/>
        <v>Error?</v>
      </c>
    </row>
    <row r="915" spans="1:4" x14ac:dyDescent="0.2">
      <c r="A915" s="5">
        <v>854</v>
      </c>
      <c r="B915" s="138">
        <f>'Expenditures 15-22'!F62</f>
        <v>0</v>
      </c>
      <c r="D915" s="2" t="str">
        <f t="shared" si="13"/>
        <v>Error?</v>
      </c>
    </row>
    <row r="916" spans="1:4" x14ac:dyDescent="0.2">
      <c r="A916" s="5">
        <v>855</v>
      </c>
      <c r="B916" s="138">
        <f>'Expenditures 15-22'!F63</f>
        <v>857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33578</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64151</v>
      </c>
      <c r="C929" s="2" t="s">
        <v>594</v>
      </c>
      <c r="D929" s="2" t="str">
        <f t="shared" si="13"/>
        <v>Error?</v>
      </c>
    </row>
    <row r="930" spans="1:4" x14ac:dyDescent="0.2">
      <c r="A930" s="5">
        <v>869</v>
      </c>
      <c r="B930" s="138">
        <f>'Expenditures 15-22'!F75</f>
        <v>10479</v>
      </c>
      <c r="D930" s="2" t="str">
        <f t="shared" si="13"/>
        <v>Error?</v>
      </c>
    </row>
    <row r="931" spans="1:4" x14ac:dyDescent="0.2">
      <c r="A931" s="5">
        <v>870</v>
      </c>
      <c r="B931" s="138">
        <f>'Expenditures 15-22'!F114</f>
        <v>166256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54216</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50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50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8067</v>
      </c>
      <c r="D1022" s="2" t="str">
        <f t="shared" si="14"/>
        <v>Error?</v>
      </c>
    </row>
    <row r="1023" spans="1:4" x14ac:dyDescent="0.2">
      <c r="A1023" s="5">
        <v>962</v>
      </c>
      <c r="B1023" s="138">
        <f>'Expenditures 15-22'!H50</f>
        <v>1275</v>
      </c>
      <c r="D1023" s="2" t="str">
        <f t="shared" ref="D1023:D1086" si="15">IF(ISBLANK(B1023),"OK",IF(A1023-B1023=0,"OK","Error?"))</f>
        <v>Error?</v>
      </c>
    </row>
    <row r="1024" spans="1:4" x14ac:dyDescent="0.2">
      <c r="A1024" s="5">
        <v>963</v>
      </c>
      <c r="B1024" s="138">
        <f>'Expenditures 15-22'!H53</f>
        <v>9342</v>
      </c>
      <c r="C1024" s="2" t="s">
        <v>594</v>
      </c>
      <c r="D1024" s="2" t="str">
        <f t="shared" si="15"/>
        <v>Error?</v>
      </c>
    </row>
    <row r="1025" spans="1:4" x14ac:dyDescent="0.2">
      <c r="A1025" s="5">
        <v>964</v>
      </c>
      <c r="B1025" s="138">
        <f>'Expenditures 15-22'!H55</f>
        <v>1295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1295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10687</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220931</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285834</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3387547</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70368</v>
      </c>
      <c r="C1106" s="2" t="s">
        <v>594</v>
      </c>
      <c r="D1106" s="2" t="str">
        <f t="shared" si="16"/>
        <v>Error?</v>
      </c>
    </row>
    <row r="1107" spans="1:4" x14ac:dyDescent="0.2">
      <c r="A1107" s="5">
        <v>1046</v>
      </c>
      <c r="B1107" s="138">
        <f>'Expenditures 15-22'!K15</f>
        <v>1719</v>
      </c>
      <c r="C1107" s="2" t="s">
        <v>594</v>
      </c>
      <c r="D1107" s="2" t="str">
        <f t="shared" si="16"/>
        <v>Error?</v>
      </c>
    </row>
    <row r="1108" spans="1:4" x14ac:dyDescent="0.2">
      <c r="A1108" s="5">
        <v>1047</v>
      </c>
      <c r="B1108" s="138">
        <f>'Expenditures 15-22'!K33</f>
        <v>4195800</v>
      </c>
      <c r="C1108" s="2" t="s">
        <v>594</v>
      </c>
      <c r="D1108" s="2" t="str">
        <f t="shared" si="16"/>
        <v>Error?</v>
      </c>
    </row>
    <row r="1109" spans="1:4" x14ac:dyDescent="0.2">
      <c r="A1109" s="5">
        <v>1048</v>
      </c>
      <c r="B1109" s="138">
        <f>'Expenditures 15-22'!K36</f>
        <v>104612</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77459</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95297</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277368</v>
      </c>
      <c r="C1115" s="2" t="s">
        <v>594</v>
      </c>
      <c r="D1115" s="2" t="str">
        <f t="shared" si="16"/>
        <v>Error?</v>
      </c>
    </row>
    <row r="1116" spans="1:4" x14ac:dyDescent="0.2">
      <c r="A1116" s="5">
        <v>1055</v>
      </c>
      <c r="B1116" s="138">
        <f>'Expenditures 15-22'!K44</f>
        <v>22004</v>
      </c>
      <c r="C1116" s="2" t="s">
        <v>594</v>
      </c>
      <c r="D1116" s="2" t="str">
        <f t="shared" si="16"/>
        <v>Error?</v>
      </c>
    </row>
    <row r="1117" spans="1:4" x14ac:dyDescent="0.2">
      <c r="A1117" s="5">
        <v>1056</v>
      </c>
      <c r="B1117" s="138">
        <f>'Expenditures 15-22'!K45</f>
        <v>9170</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31174</v>
      </c>
      <c r="C1119" s="2" t="s">
        <v>594</v>
      </c>
      <c r="D1119" s="2" t="str">
        <f t="shared" si="16"/>
        <v>Error?</v>
      </c>
    </row>
    <row r="1120" spans="1:4" x14ac:dyDescent="0.2">
      <c r="A1120" s="5">
        <v>1059</v>
      </c>
      <c r="B1120" s="138">
        <f>'Expenditures 15-22'!K49</f>
        <v>43030</v>
      </c>
      <c r="C1120" s="2" t="s">
        <v>594</v>
      </c>
      <c r="D1120" s="2" t="str">
        <f t="shared" si="16"/>
        <v>Error?</v>
      </c>
    </row>
    <row r="1121" spans="1:4" x14ac:dyDescent="0.2">
      <c r="A1121" s="5">
        <v>1060</v>
      </c>
      <c r="B1121" s="138">
        <f>'Expenditures 15-22'!K50</f>
        <v>203461</v>
      </c>
      <c r="C1121" s="2" t="s">
        <v>594</v>
      </c>
      <c r="D1121" s="2" t="str">
        <f t="shared" si="16"/>
        <v>Error?</v>
      </c>
    </row>
    <row r="1122" spans="1:4" x14ac:dyDescent="0.2">
      <c r="A1122" s="5">
        <v>1061</v>
      </c>
      <c r="B1122" s="138">
        <f>'Expenditures 15-22'!K53</f>
        <v>246491</v>
      </c>
      <c r="C1122" s="2" t="s">
        <v>594</v>
      </c>
      <c r="D1122" s="2" t="str">
        <f t="shared" si="16"/>
        <v>Error?</v>
      </c>
    </row>
    <row r="1123" spans="1:4" x14ac:dyDescent="0.2">
      <c r="A1123" s="5">
        <v>1062</v>
      </c>
      <c r="B1123" s="138">
        <f>'Expenditures 15-22'!K55</f>
        <v>444616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444616</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30697</v>
      </c>
      <c r="C1127" s="2" t="s">
        <v>594</v>
      </c>
      <c r="D1127" s="2" t="str">
        <f t="shared" si="16"/>
        <v>Error?</v>
      </c>
    </row>
    <row r="1128" spans="1:4" x14ac:dyDescent="0.2">
      <c r="A1128" s="5">
        <v>1067</v>
      </c>
      <c r="B1128" s="138">
        <f>'Expenditures 15-22'!K61</f>
        <v>31756</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187399</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249852</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1249501</v>
      </c>
      <c r="C1143" s="2" t="s">
        <v>594</v>
      </c>
      <c r="D1143" s="2" t="str">
        <f t="shared" si="16"/>
        <v>Error?</v>
      </c>
    </row>
    <row r="1144" spans="1:4" x14ac:dyDescent="0.2">
      <c r="A1144" s="5">
        <v>1083</v>
      </c>
      <c r="B1144" s="138">
        <f>'Expenditures 15-22'!K75</f>
        <v>104608</v>
      </c>
      <c r="C1144" s="2" t="s">
        <v>594</v>
      </c>
      <c r="D1144" s="2" t="str">
        <f t="shared" si="16"/>
        <v>Error?</v>
      </c>
    </row>
    <row r="1145" spans="1:4" x14ac:dyDescent="0.2">
      <c r="A1145" s="5">
        <v>1084</v>
      </c>
      <c r="B1145" s="138">
        <f>'Expenditures 15-22'!K102</f>
        <v>235435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5785344</v>
      </c>
      <c r="C1152" s="2" t="s">
        <v>594</v>
      </c>
      <c r="D1152" s="2" t="str">
        <f t="shared" si="17"/>
        <v>Error?</v>
      </c>
    </row>
    <row r="1153" spans="1:4" x14ac:dyDescent="0.2">
      <c r="A1153" s="5">
        <v>1092</v>
      </c>
      <c r="B1153" s="138">
        <f>'Expenditures 15-22'!K115</f>
        <v>-316867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335042</v>
      </c>
      <c r="D1221" s="2" t="str">
        <f t="shared" si="18"/>
        <v>Error?</v>
      </c>
    </row>
    <row r="1222" spans="1:4" x14ac:dyDescent="0.2">
      <c r="A1222" s="10">
        <v>1161</v>
      </c>
      <c r="D1222" s="2" t="str">
        <f t="shared" si="18"/>
        <v>OK</v>
      </c>
    </row>
    <row r="1223" spans="1:4" x14ac:dyDescent="0.2">
      <c r="A1223" s="5">
        <v>1162</v>
      </c>
      <c r="B1223" s="138">
        <f>'Expenditures 15-22'!C127</f>
        <v>335042</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335042</v>
      </c>
      <c r="C1225" s="2" t="s">
        <v>594</v>
      </c>
      <c r="D1225" s="2" t="str">
        <f t="shared" si="18"/>
        <v>Error?</v>
      </c>
    </row>
    <row r="1226" spans="1:4" x14ac:dyDescent="0.2">
      <c r="A1226" s="5">
        <v>1165</v>
      </c>
      <c r="B1226" s="138">
        <f>'Expenditures 15-22'!C151</f>
        <v>335042</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52934</v>
      </c>
      <c r="D1229" s="2" t="str">
        <f t="shared" si="18"/>
        <v>Error?</v>
      </c>
    </row>
    <row r="1230" spans="1:4" x14ac:dyDescent="0.2">
      <c r="A1230" s="10">
        <v>1169</v>
      </c>
      <c r="D1230" s="2" t="str">
        <f t="shared" si="18"/>
        <v>OK</v>
      </c>
    </row>
    <row r="1231" spans="1:4" x14ac:dyDescent="0.2">
      <c r="A1231" s="5">
        <v>1170</v>
      </c>
      <c r="B1231" s="138">
        <f>'Expenditures 15-22'!D127</f>
        <v>52934</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52934</v>
      </c>
      <c r="C1233" s="2" t="s">
        <v>594</v>
      </c>
      <c r="D1233" s="2" t="str">
        <f t="shared" si="18"/>
        <v>Error?</v>
      </c>
    </row>
    <row r="1234" spans="1:4" x14ac:dyDescent="0.2">
      <c r="A1234" s="5">
        <v>1173</v>
      </c>
      <c r="B1234" s="138">
        <f>'Expenditures 15-22'!D151</f>
        <v>52934</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351304</v>
      </c>
      <c r="D1237" s="2" t="str">
        <f t="shared" si="18"/>
        <v>Error?</v>
      </c>
    </row>
    <row r="1238" spans="1:4" x14ac:dyDescent="0.2">
      <c r="A1238" s="10">
        <v>1177</v>
      </c>
      <c r="D1238" s="2" t="str">
        <f t="shared" si="18"/>
        <v>OK</v>
      </c>
    </row>
    <row r="1239" spans="1:4" x14ac:dyDescent="0.2">
      <c r="A1239" s="5">
        <v>1178</v>
      </c>
      <c r="B1239" s="138">
        <f>'Expenditures 15-22'!E127</f>
        <v>351304</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351304</v>
      </c>
      <c r="C1241" s="2" t="s">
        <v>594</v>
      </c>
      <c r="D1241" s="2" t="str">
        <f t="shared" si="18"/>
        <v>Error?</v>
      </c>
    </row>
    <row r="1242" spans="1:4" x14ac:dyDescent="0.2">
      <c r="A1242" s="5">
        <v>1181</v>
      </c>
      <c r="B1242" s="138">
        <f>'Expenditures 15-22'!E151</f>
        <v>351304</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324164</v>
      </c>
      <c r="D1245" s="2" t="str">
        <f t="shared" si="18"/>
        <v>Error?</v>
      </c>
    </row>
    <row r="1246" spans="1:4" x14ac:dyDescent="0.2">
      <c r="A1246" s="10">
        <v>1185</v>
      </c>
      <c r="D1246" s="2" t="str">
        <f t="shared" si="18"/>
        <v>OK</v>
      </c>
    </row>
    <row r="1247" spans="1:4" x14ac:dyDescent="0.2">
      <c r="A1247" s="5">
        <v>1186</v>
      </c>
      <c r="B1247" s="138">
        <f>'Expenditures 15-22'!F127</f>
        <v>324164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324164</v>
      </c>
      <c r="C1249" s="2" t="s">
        <v>594</v>
      </c>
      <c r="D1249" s="2" t="str">
        <f t="shared" si="18"/>
        <v>Error?</v>
      </c>
    </row>
    <row r="1250" spans="1:4" x14ac:dyDescent="0.2">
      <c r="A1250" s="5">
        <v>1189</v>
      </c>
      <c r="B1250" s="138">
        <f>'Expenditures 15-22'!F151</f>
        <v>324164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38257</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38257</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38257</v>
      </c>
      <c r="C1258" s="2" t="s">
        <v>594</v>
      </c>
      <c r="D1258" s="2" t="str">
        <f t="shared" si="18"/>
        <v>Error?</v>
      </c>
    </row>
    <row r="1259" spans="1:4" x14ac:dyDescent="0.2">
      <c r="A1259" s="5">
        <v>1198</v>
      </c>
      <c r="B1259" s="138">
        <f>'Expenditures 15-22'!G151</f>
        <v>38257</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1101701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1101701</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1101701</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1101701</v>
      </c>
      <c r="C1288" s="2" t="s">
        <v>594</v>
      </c>
      <c r="D1288" s="2" t="str">
        <f t="shared" si="19"/>
        <v>Error?</v>
      </c>
    </row>
    <row r="1289" spans="1:4" x14ac:dyDescent="0.2">
      <c r="A1289" s="5">
        <v>1228</v>
      </c>
      <c r="B1289" s="138">
        <f>'Expenditures 15-22'!K152</f>
        <v>-36613</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1219</v>
      </c>
      <c r="D1307" s="2" t="str">
        <f t="shared" si="19"/>
        <v>Error?</v>
      </c>
    </row>
    <row r="1308" spans="1:4" x14ac:dyDescent="0.2">
      <c r="A1308" s="5">
        <v>1247</v>
      </c>
      <c r="B1308" s="138">
        <f>'Expenditures 15-22'!E172</f>
        <v>1219</v>
      </c>
      <c r="C1308" s="2" t="s">
        <v>594</v>
      </c>
      <c r="D1308" s="2" t="str">
        <f t="shared" si="19"/>
        <v>Error?</v>
      </c>
    </row>
    <row r="1309" spans="1:4" x14ac:dyDescent="0.2">
      <c r="A1309" s="5">
        <v>1248</v>
      </c>
      <c r="B1309" s="138">
        <f>'Expenditures 15-22'!E174</f>
        <v>1219</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69818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1770000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1839818</v>
      </c>
      <c r="C1317" s="2" t="s">
        <v>594</v>
      </c>
      <c r="D1317" s="2" t="str">
        <f t="shared" si="19"/>
        <v>Error?</v>
      </c>
    </row>
    <row r="1318" spans="1:4" x14ac:dyDescent="0.2">
      <c r="A1318" s="5">
        <v>1257</v>
      </c>
      <c r="B1318" s="138">
        <f>'Expenditures 15-22'!H174</f>
        <v>1839818</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69818</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1770000</v>
      </c>
      <c r="C1329" s="2" t="s">
        <v>594</v>
      </c>
      <c r="D1329" s="2" t="str">
        <f t="shared" si="19"/>
        <v>Error?</v>
      </c>
    </row>
    <row r="1330" spans="1:4" x14ac:dyDescent="0.2">
      <c r="A1330" s="5">
        <v>1269</v>
      </c>
      <c r="B1330" s="138">
        <f>'Expenditures 15-22'!K171</f>
        <v>1219</v>
      </c>
      <c r="C1330" s="2" t="s">
        <v>594</v>
      </c>
      <c r="D1330" s="2" t="str">
        <f t="shared" si="19"/>
        <v>Error?</v>
      </c>
    </row>
    <row r="1331" spans="1:4" x14ac:dyDescent="0.2">
      <c r="A1331" s="5">
        <v>1270</v>
      </c>
      <c r="B1331" s="138">
        <f>'Expenditures 15-22'!K172</f>
        <v>1841037</v>
      </c>
      <c r="C1331" s="2" t="s">
        <v>594</v>
      </c>
      <c r="D1331" s="2" t="str">
        <f t="shared" si="19"/>
        <v>Error?</v>
      </c>
    </row>
    <row r="1332" spans="1:4" x14ac:dyDescent="0.2">
      <c r="A1332" s="5">
        <v>1271</v>
      </c>
      <c r="B1332" s="138">
        <f>'Expenditures 15-22'!K174</f>
        <v>1841037</v>
      </c>
      <c r="C1332" s="2" t="s">
        <v>594</v>
      </c>
      <c r="D1332" s="2" t="str">
        <f t="shared" si="19"/>
        <v>Error?</v>
      </c>
    </row>
    <row r="1333" spans="1:4" x14ac:dyDescent="0.2">
      <c r="A1333" s="5">
        <v>1272</v>
      </c>
      <c r="B1333" s="138">
        <f>'Expenditures 15-22'!K175</f>
        <v>17125</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329184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329184</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329184</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329184</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329184</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329184</v>
      </c>
      <c r="C1388" s="2" t="s">
        <v>594</v>
      </c>
      <c r="D1388" s="2" t="str">
        <f t="shared" si="20"/>
        <v>Error?</v>
      </c>
    </row>
    <row r="1389" spans="1:4" x14ac:dyDescent="0.2">
      <c r="A1389" s="5">
        <v>1328</v>
      </c>
      <c r="B1389" s="138">
        <f>'Expenditures 15-22'!K211</f>
        <v>81502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2378</v>
      </c>
      <c r="D1408" s="2" t="str">
        <f t="shared" si="21"/>
        <v>Error?</v>
      </c>
    </row>
    <row r="1409" spans="1:4" x14ac:dyDescent="0.2">
      <c r="A1409" s="5">
        <v>1348</v>
      </c>
      <c r="B1409" s="138">
        <f>'Expenditures 15-22'!D224</f>
        <v>22</v>
      </c>
      <c r="D1409" s="2" t="str">
        <f t="shared" si="21"/>
        <v>Error?</v>
      </c>
    </row>
    <row r="1410" spans="1:4" x14ac:dyDescent="0.2">
      <c r="A1410" s="5">
        <v>1349</v>
      </c>
      <c r="B1410" s="138">
        <f>'Expenditures 15-22'!D229</f>
        <v>96511</v>
      </c>
      <c r="C1410" s="2" t="s">
        <v>594</v>
      </c>
      <c r="D1410" s="2" t="str">
        <f t="shared" si="21"/>
        <v>Error?</v>
      </c>
    </row>
    <row r="1411" spans="1:4" x14ac:dyDescent="0.2">
      <c r="A1411" s="5">
        <v>1350</v>
      </c>
      <c r="B1411" s="138">
        <f>'Expenditures 15-22'!D232</f>
        <v>1000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4164</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989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6153</v>
      </c>
      <c r="C1417" s="2" t="s">
        <v>594</v>
      </c>
      <c r="D1417" s="2" t="str">
        <f t="shared" si="21"/>
        <v>Error?</v>
      </c>
    </row>
    <row r="1418" spans="1:4" x14ac:dyDescent="0.2">
      <c r="A1418" s="5">
        <v>1357</v>
      </c>
      <c r="B1418" s="138">
        <f>'Expenditures 15-22'!D240</f>
        <v>1693</v>
      </c>
      <c r="D1418" s="2" t="str">
        <f t="shared" si="21"/>
        <v>Error?</v>
      </c>
    </row>
    <row r="1419" spans="1:4" x14ac:dyDescent="0.2">
      <c r="A1419" s="5">
        <v>1358</v>
      </c>
      <c r="B1419" s="138">
        <f>'Expenditures 15-22'!D241</f>
        <v>1616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3309</v>
      </c>
      <c r="C1421" s="2" t="s">
        <v>594</v>
      </c>
      <c r="D1421" s="2" t="str">
        <f t="shared" si="21"/>
        <v>Error?</v>
      </c>
    </row>
    <row r="1422" spans="1:4" x14ac:dyDescent="0.2">
      <c r="A1422" s="5">
        <v>1361</v>
      </c>
      <c r="B1422" s="138">
        <f>'Expenditures 15-22'!D245</f>
        <v>115</v>
      </c>
      <c r="D1422" s="2" t="str">
        <f t="shared" si="21"/>
        <v>Error?</v>
      </c>
    </row>
    <row r="1423" spans="1:4" x14ac:dyDescent="0.2">
      <c r="A1423" s="5">
        <v>1362</v>
      </c>
      <c r="B1423" s="138">
        <f>'Expenditures 15-22'!D246</f>
        <v>9127</v>
      </c>
      <c r="D1423" s="2" t="str">
        <f t="shared" si="21"/>
        <v>Error?</v>
      </c>
    </row>
    <row r="1424" spans="1:4" x14ac:dyDescent="0.2">
      <c r="A1424" s="5">
        <v>1363</v>
      </c>
      <c r="B1424" s="138">
        <f>'Expenditures 15-22'!D257</f>
        <v>15591</v>
      </c>
      <c r="C1424" s="2" t="s">
        <v>594</v>
      </c>
      <c r="D1424" s="2" t="str">
        <f t="shared" si="21"/>
        <v>Error?</v>
      </c>
    </row>
    <row r="1425" spans="1:4" x14ac:dyDescent="0.2">
      <c r="A1425" s="5">
        <v>1364</v>
      </c>
      <c r="B1425" s="138">
        <f>'Expenditures 15-22'!D259</f>
        <v>18445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18445</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5237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57349</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1124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63710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107208</v>
      </c>
      <c r="C1446" s="2" t="s">
        <v>594</v>
      </c>
      <c r="D1446" s="2" t="str">
        <f t="shared" si="21"/>
        <v>Error?</v>
      </c>
    </row>
    <row r="1447" spans="1:4" x14ac:dyDescent="0.2">
      <c r="A1447" s="5">
        <v>1386</v>
      </c>
      <c r="B1447" s="138">
        <f>'Expenditures 15-22'!D280</f>
        <v>10356</v>
      </c>
      <c r="D1447" s="2" t="str">
        <f t="shared" si="21"/>
        <v>Error?</v>
      </c>
    </row>
    <row r="1448" spans="1:4" x14ac:dyDescent="0.2">
      <c r="A1448" s="5">
        <v>1387</v>
      </c>
      <c r="B1448" s="138">
        <f>'Expenditures 15-22'!D295</f>
        <v>215563</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2378</v>
      </c>
      <c r="C1472" s="2" t="s">
        <v>594</v>
      </c>
      <c r="D1472" s="2" t="str">
        <f t="shared" si="22"/>
        <v>Error?</v>
      </c>
    </row>
    <row r="1473" spans="1:4" x14ac:dyDescent="0.2">
      <c r="A1473" s="5">
        <v>1412</v>
      </c>
      <c r="B1473" s="138">
        <f>'Expenditures 15-22'!K224</f>
        <v>22</v>
      </c>
      <c r="C1473" s="2" t="s">
        <v>594</v>
      </c>
      <c r="D1473" s="2" t="str">
        <f t="shared" si="22"/>
        <v>Error?</v>
      </c>
    </row>
    <row r="1474" spans="1:4" x14ac:dyDescent="0.2">
      <c r="A1474" s="5">
        <v>1413</v>
      </c>
      <c r="B1474" s="138">
        <f>'Expenditures 15-22'!K229</f>
        <v>96511</v>
      </c>
      <c r="C1474" s="2" t="s">
        <v>594</v>
      </c>
      <c r="D1474" s="2" t="str">
        <f t="shared" si="22"/>
        <v>Error?</v>
      </c>
    </row>
    <row r="1475" spans="1:4" x14ac:dyDescent="0.2">
      <c r="A1475" s="5">
        <v>1414</v>
      </c>
      <c r="B1475" s="138">
        <f>'Expenditures 15-22'!K232</f>
        <v>1000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4164</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989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6153</v>
      </c>
      <c r="C1481" s="2" t="s">
        <v>594</v>
      </c>
      <c r="D1481" s="2" t="str">
        <f t="shared" si="22"/>
        <v>Error?</v>
      </c>
    </row>
    <row r="1482" spans="1:4" x14ac:dyDescent="0.2">
      <c r="A1482" s="5">
        <v>1421</v>
      </c>
      <c r="B1482" s="138">
        <f>'Expenditures 15-22'!K240</f>
        <v>1693</v>
      </c>
      <c r="C1482" s="2" t="s">
        <v>594</v>
      </c>
      <c r="D1482" s="2" t="str">
        <f t="shared" si="22"/>
        <v>Error?</v>
      </c>
    </row>
    <row r="1483" spans="1:4" x14ac:dyDescent="0.2">
      <c r="A1483" s="5">
        <v>1422</v>
      </c>
      <c r="B1483" s="138">
        <f>'Expenditures 15-22'!K241</f>
        <v>1616</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3309</v>
      </c>
      <c r="C1485" s="2" t="s">
        <v>594</v>
      </c>
      <c r="D1485" s="2" t="str">
        <f t="shared" si="22"/>
        <v>Error?</v>
      </c>
    </row>
    <row r="1486" spans="1:4" x14ac:dyDescent="0.2">
      <c r="A1486" s="5">
        <v>1425</v>
      </c>
      <c r="B1486" s="138">
        <f>'Expenditures 15-22'!K245</f>
        <v>115</v>
      </c>
      <c r="C1486" s="2" t="s">
        <v>594</v>
      </c>
      <c r="D1486" s="2" t="str">
        <f t="shared" si="22"/>
        <v>Error?</v>
      </c>
    </row>
    <row r="1487" spans="1:4" x14ac:dyDescent="0.2">
      <c r="A1487" s="5">
        <v>1426</v>
      </c>
      <c r="B1487" s="138">
        <f>'Expenditures 15-22'!K246</f>
        <v>9127</v>
      </c>
      <c r="C1487" s="2" t="s">
        <v>594</v>
      </c>
      <c r="D1487" s="2" t="str">
        <f t="shared" si="22"/>
        <v>Error?</v>
      </c>
    </row>
    <row r="1488" spans="1:4" x14ac:dyDescent="0.2">
      <c r="A1488" s="5">
        <v>1427</v>
      </c>
      <c r="B1488" s="138">
        <f>'Expenditures 15-22'!K257</f>
        <v>15591</v>
      </c>
      <c r="C1488" s="2" t="s">
        <v>594</v>
      </c>
      <c r="D1488" s="2" t="str">
        <f t="shared" si="22"/>
        <v>Error?</v>
      </c>
    </row>
    <row r="1489" spans="1:4" x14ac:dyDescent="0.2">
      <c r="A1489" s="5">
        <v>1428</v>
      </c>
      <c r="B1489" s="138">
        <f>'Expenditures 15-22'!K259</f>
        <v>18445</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18445</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5237</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57349</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1124</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63710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107208</v>
      </c>
      <c r="C1510" s="2" t="s">
        <v>594</v>
      </c>
      <c r="D1510" s="2" t="str">
        <f t="shared" si="22"/>
        <v>Error?</v>
      </c>
    </row>
    <row r="1511" spans="1:4" x14ac:dyDescent="0.2">
      <c r="A1511" s="5">
        <v>1450</v>
      </c>
      <c r="B1511" s="138">
        <f>'Expenditures 15-22'!K280</f>
        <v>10356</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215563</v>
      </c>
      <c r="C1517" s="2" t="s">
        <v>594</v>
      </c>
      <c r="D1517" s="2" t="str">
        <f t="shared" si="22"/>
        <v>Error?</v>
      </c>
    </row>
    <row r="1518" spans="1:4" x14ac:dyDescent="0.2">
      <c r="A1518" s="5">
        <v>1457</v>
      </c>
      <c r="B1518" s="138">
        <f>'Expenditures 15-22'!K296</f>
        <v>-22261</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22947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56080</v>
      </c>
      <c r="C1630" s="2" t="s">
        <v>594</v>
      </c>
      <c r="D1630" s="2" t="str">
        <f t="shared" si="24"/>
        <v>Error?</v>
      </c>
    </row>
    <row r="1631" spans="1:4" x14ac:dyDescent="0.2">
      <c r="A1631" s="5">
        <v>1570</v>
      </c>
      <c r="B1631" s="138">
        <f>'Acct Summary 7-8'!D79</f>
        <v>1640044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1603431</v>
      </c>
      <c r="C1644" s="2" t="s">
        <v>594</v>
      </c>
      <c r="D1644" s="2" t="str">
        <f t="shared" si="24"/>
        <v>Error?</v>
      </c>
    </row>
    <row r="1645" spans="1:4" x14ac:dyDescent="0.2">
      <c r="A1645" s="5">
        <v>1584</v>
      </c>
      <c r="B1645" s="138">
        <f>'Acct Summary 7-8'!E79</f>
        <v>112198</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129323</v>
      </c>
      <c r="C1658" s="2" t="s">
        <v>594</v>
      </c>
      <c r="D1658" s="2" t="str">
        <f t="shared" si="24"/>
        <v>Error?</v>
      </c>
    </row>
    <row r="1659" spans="1:4" x14ac:dyDescent="0.2">
      <c r="A1659" s="5">
        <v>1598</v>
      </c>
      <c r="B1659" s="138">
        <f>'Acct Summary 7-8'!F79</f>
        <v>432148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513650</v>
      </c>
      <c r="C1672" s="2" t="s">
        <v>594</v>
      </c>
      <c r="D1672" s="2" t="str">
        <f t="shared" si="25"/>
        <v>Error?</v>
      </c>
    </row>
    <row r="1673" spans="1:4" x14ac:dyDescent="0.2">
      <c r="A1673" s="5">
        <v>1612</v>
      </c>
      <c r="B1673" s="138">
        <f>'Acct Summary 7-8'!G79</f>
        <v>293070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270809</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3165036</v>
      </c>
      <c r="C1744" s="2" t="s">
        <v>594</v>
      </c>
      <c r="D1744" s="2" t="str">
        <f t="shared" si="26"/>
        <v>Error?</v>
      </c>
    </row>
    <row r="1745" spans="1:5" x14ac:dyDescent="0.2">
      <c r="A1745" s="5">
        <v>1684</v>
      </c>
      <c r="B1745" s="138">
        <f>'Tax Sched 23'!B5</f>
        <v>941374</v>
      </c>
      <c r="C1745" s="2" t="s">
        <v>594</v>
      </c>
      <c r="D1745" s="2" t="str">
        <f t="shared" si="26"/>
        <v>Error?</v>
      </c>
    </row>
    <row r="1746" spans="1:5" x14ac:dyDescent="0.2">
      <c r="A1746" s="5">
        <v>1685</v>
      </c>
      <c r="B1746" s="138">
        <f>'Tax Sched 23'!B6</f>
        <v>1852365</v>
      </c>
      <c r="C1746" s="2" t="s">
        <v>594</v>
      </c>
      <c r="D1746" s="2" t="str">
        <f t="shared" si="26"/>
        <v>Error?</v>
      </c>
    </row>
    <row r="1747" spans="1:5" x14ac:dyDescent="0.2">
      <c r="A1747" s="5">
        <v>1686</v>
      </c>
      <c r="B1747" s="138">
        <f>'Tax Sched 23'!B7</f>
        <v>200756</v>
      </c>
      <c r="C1747" s="2" t="s">
        <v>594</v>
      </c>
      <c r="D1747" s="2" t="str">
        <f t="shared" si="26"/>
        <v>Error?</v>
      </c>
    </row>
    <row r="1748" spans="1:5" x14ac:dyDescent="0.2">
      <c r="A1748" s="5">
        <v>1687</v>
      </c>
      <c r="B1748" s="138">
        <f>'Tax Sched 23'!B8</f>
        <v>77948</v>
      </c>
      <c r="C1748" s="2" t="s">
        <v>594</v>
      </c>
      <c r="D1748" s="2" t="str">
        <f t="shared" si="26"/>
        <v>Error?</v>
      </c>
    </row>
    <row r="1749" spans="1:5" x14ac:dyDescent="0.2">
      <c r="A1749" s="5">
        <v>1688</v>
      </c>
      <c r="B1749" s="138">
        <f>'Tax Sched 23'!B10</f>
        <v>90428</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363279</v>
      </c>
      <c r="C1752" s="2" t="s">
        <v>594</v>
      </c>
      <c r="D1752" s="2" t="str">
        <f t="shared" si="26"/>
        <v>Error?</v>
      </c>
    </row>
    <row r="1753" spans="1:5" x14ac:dyDescent="0.2">
      <c r="A1753" s="5">
        <v>1692</v>
      </c>
      <c r="B1753" s="138">
        <f>'Tax Sched 23'!B12</f>
        <v>90428</v>
      </c>
      <c r="C1753" s="2" t="s">
        <v>594</v>
      </c>
      <c r="D1753" s="2" t="str">
        <f t="shared" si="26"/>
        <v>Error?</v>
      </c>
    </row>
    <row r="1754" spans="1:5" x14ac:dyDescent="0.2">
      <c r="A1754" s="5">
        <v>1693</v>
      </c>
      <c r="B1754" s="138">
        <f>'Tax Sched 23'!B14</f>
        <v>36175</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6987836</v>
      </c>
      <c r="C1759" s="2" t="s">
        <v>594</v>
      </c>
      <c r="D1759" s="2" t="str">
        <f t="shared" si="26"/>
        <v>Error?</v>
      </c>
    </row>
    <row r="1760" spans="1:5" x14ac:dyDescent="0.2">
      <c r="A1760" s="5">
        <v>1699</v>
      </c>
      <c r="B1760" s="138">
        <f>'Tax Sched 23'!D4</f>
        <v>3165036</v>
      </c>
      <c r="C1760" s="2" t="s">
        <v>594</v>
      </c>
      <c r="D1760" s="2" t="str">
        <f t="shared" si="26"/>
        <v>Error?</v>
      </c>
    </row>
    <row r="1761" spans="1:5" x14ac:dyDescent="0.2">
      <c r="A1761" s="5">
        <v>1700</v>
      </c>
      <c r="B1761" s="138">
        <f>'Tax Sched 23'!D5</f>
        <v>941374</v>
      </c>
      <c r="C1761" s="2" t="s">
        <v>594</v>
      </c>
      <c r="D1761" s="2" t="str">
        <f t="shared" si="26"/>
        <v>Error?</v>
      </c>
    </row>
    <row r="1762" spans="1:5" s="8" customFormat="1" x14ac:dyDescent="0.2">
      <c r="A1762" s="5">
        <v>1701</v>
      </c>
      <c r="B1762" s="138">
        <f>'Tax Sched 23'!D6</f>
        <v>1852365</v>
      </c>
      <c r="C1762" s="2" t="s">
        <v>594</v>
      </c>
      <c r="D1762" s="2" t="str">
        <f t="shared" si="26"/>
        <v>Error?</v>
      </c>
      <c r="E1762" s="9"/>
    </row>
    <row r="1763" spans="1:5" x14ac:dyDescent="0.2">
      <c r="A1763" s="5">
        <v>1702</v>
      </c>
      <c r="B1763" s="138">
        <f>'Tax Sched 23'!D7</f>
        <v>200756</v>
      </c>
      <c r="C1763" s="2" t="s">
        <v>594</v>
      </c>
      <c r="D1763" s="2" t="str">
        <f t="shared" si="26"/>
        <v>Error?</v>
      </c>
    </row>
    <row r="1764" spans="1:5" x14ac:dyDescent="0.2">
      <c r="A1764" s="5">
        <v>1703</v>
      </c>
      <c r="B1764" s="138">
        <f>'Tax Sched 23'!D8</f>
        <v>77948</v>
      </c>
      <c r="C1764" s="2" t="s">
        <v>594</v>
      </c>
      <c r="D1764" s="2" t="str">
        <f t="shared" si="26"/>
        <v>Error?</v>
      </c>
    </row>
    <row r="1765" spans="1:5" x14ac:dyDescent="0.2">
      <c r="A1765" s="5">
        <v>1704</v>
      </c>
      <c r="B1765" s="138">
        <f>'Tax Sched 23'!D10</f>
        <v>90428</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363279</v>
      </c>
      <c r="C1768" s="2" t="s">
        <v>594</v>
      </c>
      <c r="D1768" s="2" t="str">
        <f t="shared" si="26"/>
        <v>Error?</v>
      </c>
    </row>
    <row r="1769" spans="1:5" x14ac:dyDescent="0.2">
      <c r="A1769" s="5">
        <v>1708</v>
      </c>
      <c r="B1769" s="138">
        <f>'Tax Sched 23'!D12</f>
        <v>90428</v>
      </c>
      <c r="C1769" s="2" t="s">
        <v>594</v>
      </c>
      <c r="D1769" s="2" t="str">
        <f t="shared" si="26"/>
        <v>Error?</v>
      </c>
    </row>
    <row r="1770" spans="1:5" x14ac:dyDescent="0.2">
      <c r="A1770" s="5">
        <v>1709</v>
      </c>
      <c r="B1770" s="138">
        <f>'Tax Sched 23'!D14</f>
        <v>36175</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6987836</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3159029</v>
      </c>
      <c r="C1792" s="2" t="s">
        <v>594</v>
      </c>
      <c r="D1792" s="2" t="str">
        <f t="shared" si="27"/>
        <v>Error?</v>
      </c>
    </row>
    <row r="1793" spans="1:4" x14ac:dyDescent="0.2">
      <c r="A1793" s="5">
        <v>1732</v>
      </c>
      <c r="B1793" s="138">
        <f>'Tax Sched 23'!F5</f>
        <v>992838</v>
      </c>
      <c r="C1793" s="2" t="s">
        <v>594</v>
      </c>
      <c r="D1793" s="2" t="str">
        <f t="shared" si="27"/>
        <v>Error?</v>
      </c>
    </row>
    <row r="1794" spans="1:4" x14ac:dyDescent="0.2">
      <c r="A1794" s="5">
        <v>1733</v>
      </c>
      <c r="B1794" s="138">
        <f>'Tax Sched 23'!F6</f>
        <v>1836930</v>
      </c>
      <c r="C1794" s="2" t="s">
        <v>594</v>
      </c>
      <c r="D1794" s="2" t="str">
        <f t="shared" si="27"/>
        <v>Error?</v>
      </c>
    </row>
    <row r="1795" spans="1:4" x14ac:dyDescent="0.2">
      <c r="A1795" s="5">
        <v>1734</v>
      </c>
      <c r="B1795" s="138">
        <f>'Tax Sched 23'!F7</f>
        <v>216619</v>
      </c>
      <c r="C1795" s="2" t="s">
        <v>594</v>
      </c>
      <c r="D1795" s="2" t="str">
        <f t="shared" si="27"/>
        <v>Error?</v>
      </c>
    </row>
    <row r="1796" spans="1:4" x14ac:dyDescent="0.2">
      <c r="A1796" s="5">
        <v>1735</v>
      </c>
      <c r="B1796" s="138">
        <f>'Tax Sched 23'!F8</f>
        <v>67693</v>
      </c>
      <c r="C1796" s="2" t="s">
        <v>594</v>
      </c>
      <c r="D1796" s="2" t="str">
        <f t="shared" si="27"/>
        <v>Error?</v>
      </c>
    </row>
    <row r="1797" spans="1:4" x14ac:dyDescent="0.2">
      <c r="A1797" s="5">
        <v>1736</v>
      </c>
      <c r="B1797" s="138">
        <f>'Tax Sched 23'!F10</f>
        <v>90258</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365003</v>
      </c>
      <c r="C1800" s="2" t="s">
        <v>594</v>
      </c>
      <c r="D1800" s="2" t="str">
        <f t="shared" si="27"/>
        <v>Error?</v>
      </c>
    </row>
    <row r="1801" spans="1:4" x14ac:dyDescent="0.2">
      <c r="A1801" s="5">
        <v>1740</v>
      </c>
      <c r="B1801" s="138">
        <f>'Tax Sched 23'!F12</f>
        <v>90258</v>
      </c>
      <c r="C1801" s="2" t="s">
        <v>594</v>
      </c>
      <c r="D1801" s="2" t="str">
        <f t="shared" si="27"/>
        <v>Error?</v>
      </c>
    </row>
    <row r="1802" spans="1:4" x14ac:dyDescent="0.2">
      <c r="A1802" s="5">
        <v>1741</v>
      </c>
      <c r="B1802" s="138">
        <f>'Tax Sched 23'!F14</f>
        <v>36103</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6991923</v>
      </c>
      <c r="C1807" s="2" t="s">
        <v>594</v>
      </c>
      <c r="D1807" s="2" t="str">
        <f t="shared" si="27"/>
        <v>Error?</v>
      </c>
    </row>
    <row r="1808" spans="1:4" x14ac:dyDescent="0.2">
      <c r="A1808" s="5">
        <v>1747</v>
      </c>
      <c r="B1808" s="138">
        <f>'Tax Sched 23'!E4</f>
        <v>3159029</v>
      </c>
      <c r="D1808" s="2" t="str">
        <f t="shared" si="27"/>
        <v>Error?</v>
      </c>
    </row>
    <row r="1809" spans="1:4" x14ac:dyDescent="0.2">
      <c r="A1809" s="5">
        <v>1748</v>
      </c>
      <c r="B1809" s="138">
        <f>'Tax Sched 23'!E5</f>
        <v>992838</v>
      </c>
      <c r="D1809" s="2" t="str">
        <f t="shared" si="27"/>
        <v>Error?</v>
      </c>
    </row>
    <row r="1810" spans="1:4" x14ac:dyDescent="0.2">
      <c r="A1810" s="5">
        <v>1749</v>
      </c>
      <c r="B1810" s="138">
        <f>'Tax Sched 23'!E6</f>
        <v>1836930</v>
      </c>
      <c r="D1810" s="2" t="str">
        <f t="shared" si="27"/>
        <v>Error?</v>
      </c>
    </row>
    <row r="1811" spans="1:4" x14ac:dyDescent="0.2">
      <c r="A1811" s="5">
        <v>1750</v>
      </c>
      <c r="B1811" s="138">
        <f>'Tax Sched 23'!E7</f>
        <v>216619</v>
      </c>
      <c r="D1811" s="2" t="str">
        <f t="shared" si="27"/>
        <v>Error?</v>
      </c>
    </row>
    <row r="1812" spans="1:4" x14ac:dyDescent="0.2">
      <c r="A1812" s="5">
        <v>1751</v>
      </c>
      <c r="B1812" s="138">
        <f>'Tax Sched 23'!E8</f>
        <v>67693</v>
      </c>
      <c r="D1812" s="2" t="str">
        <f t="shared" si="27"/>
        <v>Error?</v>
      </c>
    </row>
    <row r="1813" spans="1:4" x14ac:dyDescent="0.2">
      <c r="A1813" s="5">
        <v>1752</v>
      </c>
      <c r="B1813" s="138">
        <f>'Tax Sched 23'!E10</f>
        <v>90258</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365003</v>
      </c>
      <c r="D1816" s="2" t="str">
        <f t="shared" si="27"/>
        <v>Error?</v>
      </c>
    </row>
    <row r="1817" spans="1:4" x14ac:dyDescent="0.2">
      <c r="A1817" s="5">
        <v>1756</v>
      </c>
      <c r="B1817" s="138">
        <f>'Tax Sched 23'!E12</f>
        <v>90258</v>
      </c>
      <c r="D1817" s="2" t="str">
        <f t="shared" si="27"/>
        <v>Error?</v>
      </c>
    </row>
    <row r="1818" spans="1:4" x14ac:dyDescent="0.2">
      <c r="A1818" s="5">
        <v>1757</v>
      </c>
      <c r="B1818" s="138">
        <f>'Tax Sched 23'!E14</f>
        <v>36103</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6991923</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3485000</v>
      </c>
      <c r="C1939" s="2" t="s">
        <v>594</v>
      </c>
      <c r="D1939" s="2" t="str">
        <f t="shared" si="29"/>
        <v>Error?</v>
      </c>
    </row>
    <row r="1940" spans="1:5" x14ac:dyDescent="0.2">
      <c r="A1940" s="5">
        <v>1879</v>
      </c>
      <c r="B1940" s="138">
        <f>'Short-Term Long-Term Debt 24'!F49</f>
        <v>330000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36175</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36175</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36175</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393889</v>
      </c>
      <c r="D2008" s="2" t="str">
        <f t="shared" si="30"/>
        <v>Error?</v>
      </c>
    </row>
    <row r="2009" spans="1:4" x14ac:dyDescent="0.2">
      <c r="A2009" s="5">
        <v>1948</v>
      </c>
      <c r="B2009" s="138">
        <f>'Cap Outlay Deprec 26'!C8</f>
        <v>27568827</v>
      </c>
      <c r="D2009" s="2" t="str">
        <f t="shared" si="30"/>
        <v>Error?</v>
      </c>
    </row>
    <row r="2010" spans="1:4" x14ac:dyDescent="0.2">
      <c r="A2010" s="5">
        <v>1949</v>
      </c>
      <c r="B2010" s="138">
        <f>'Cap Outlay Deprec 26'!C10</f>
        <v>1702080</v>
      </c>
      <c r="D2010" s="2" t="str">
        <f t="shared" si="30"/>
        <v>Error?</v>
      </c>
    </row>
    <row r="2011" spans="1:4" x14ac:dyDescent="0.2">
      <c r="A2011" s="5">
        <v>1950</v>
      </c>
      <c r="B2011" s="138">
        <f>'Cap Outlay Deprec 26'!C12</f>
        <v>2271650</v>
      </c>
      <c r="D2011" s="2" t="str">
        <f t="shared" si="30"/>
        <v>Error?</v>
      </c>
    </row>
    <row r="2012" spans="1:4" x14ac:dyDescent="0.2">
      <c r="A2012" s="5">
        <v>1951</v>
      </c>
      <c r="B2012" s="138">
        <f>'Cap Outlay Deprec 26'!C13</f>
        <v>247317</v>
      </c>
      <c r="D2012" s="2" t="str">
        <f t="shared" si="30"/>
        <v>Error?</v>
      </c>
    </row>
    <row r="2013" spans="1:4" x14ac:dyDescent="0.2">
      <c r="A2013" s="5">
        <v>1952</v>
      </c>
      <c r="B2013" s="138">
        <f>'Cap Outlay Deprec 26'!C16</f>
        <v>32183763</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38257</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38257</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1271264</v>
      </c>
      <c r="D2023" s="2" t="str">
        <f t="shared" si="30"/>
        <v>Error?</v>
      </c>
    </row>
    <row r="2024" spans="1:4" x14ac:dyDescent="0.2">
      <c r="A2024" s="5">
        <v>1963</v>
      </c>
      <c r="B2024" s="138">
        <f>'Cap Outlay Deprec 26'!E13</f>
        <v>123228</v>
      </c>
      <c r="D2024" s="2" t="str">
        <f t="shared" si="30"/>
        <v>Error?</v>
      </c>
    </row>
    <row r="2025" spans="1:4" x14ac:dyDescent="0.2">
      <c r="A2025" s="5">
        <v>1964</v>
      </c>
      <c r="B2025" s="138">
        <f>'Cap Outlay Deprec 26'!E16</f>
        <v>1394492</v>
      </c>
      <c r="C2025" s="2" t="s">
        <v>594</v>
      </c>
      <c r="D2025" s="2" t="str">
        <f t="shared" si="30"/>
        <v>Error?</v>
      </c>
    </row>
    <row r="2026" spans="1:4" x14ac:dyDescent="0.2">
      <c r="A2026" s="5">
        <v>1965</v>
      </c>
      <c r="B2026" s="138">
        <f>'Cap Outlay Deprec 26'!F5</f>
        <v>393889</v>
      </c>
      <c r="C2026" s="2" t="s">
        <v>594</v>
      </c>
      <c r="D2026" s="2" t="str">
        <f t="shared" si="30"/>
        <v>Error?</v>
      </c>
    </row>
    <row r="2027" spans="1:4" x14ac:dyDescent="0.2">
      <c r="A2027" s="5">
        <v>1966</v>
      </c>
      <c r="B2027" s="138">
        <f>'Cap Outlay Deprec 26'!F8</f>
        <v>27568827</v>
      </c>
      <c r="C2027" s="2" t="s">
        <v>594</v>
      </c>
      <c r="D2027" s="2" t="str">
        <f t="shared" si="30"/>
        <v>Error?</v>
      </c>
    </row>
    <row r="2028" spans="1:4" x14ac:dyDescent="0.2">
      <c r="A2028" s="5">
        <v>1967</v>
      </c>
      <c r="B2028" s="138">
        <f>'Cap Outlay Deprec 26'!F10</f>
        <v>1702080</v>
      </c>
      <c r="C2028" s="2" t="s">
        <v>594</v>
      </c>
      <c r="D2028" s="2" t="str">
        <f t="shared" si="30"/>
        <v>Error?</v>
      </c>
    </row>
    <row r="2029" spans="1:4" x14ac:dyDescent="0.2">
      <c r="A2029" s="5">
        <v>1968</v>
      </c>
      <c r="B2029" s="138">
        <f>'Cap Outlay Deprec 26'!F12</f>
        <v>1038643</v>
      </c>
      <c r="C2029" s="2" t="s">
        <v>594</v>
      </c>
      <c r="D2029" s="2" t="str">
        <f t="shared" si="30"/>
        <v>Error?</v>
      </c>
    </row>
    <row r="2030" spans="1:4" x14ac:dyDescent="0.2">
      <c r="A2030" s="5">
        <v>1969</v>
      </c>
      <c r="B2030" s="138">
        <f>'Cap Outlay Deprec 26'!F13</f>
        <v>124089</v>
      </c>
      <c r="C2030" s="2" t="s">
        <v>594</v>
      </c>
      <c r="D2030" s="2" t="str">
        <f t="shared" si="30"/>
        <v>Error?</v>
      </c>
    </row>
    <row r="2031" spans="1:4" x14ac:dyDescent="0.2">
      <c r="A2031" s="5">
        <v>1970</v>
      </c>
      <c r="B2031" s="138">
        <f>'Cap Outlay Deprec 26'!F16</f>
        <v>30827528</v>
      </c>
      <c r="C2031" s="2" t="s">
        <v>594</v>
      </c>
      <c r="D2031" s="2" t="str">
        <f t="shared" si="30"/>
        <v>Error?</v>
      </c>
    </row>
    <row r="2032" spans="1:4" x14ac:dyDescent="0.2">
      <c r="A2032" s="10">
        <v>1971</v>
      </c>
      <c r="D2032" s="2" t="str">
        <f t="shared" si="30"/>
        <v>OK</v>
      </c>
    </row>
    <row r="2033" spans="1:4" x14ac:dyDescent="0.2">
      <c r="A2033" s="5">
        <v>1972</v>
      </c>
      <c r="B2033" s="138">
        <f>'Cap Outlay Deprec 26'!H8</f>
        <v>9660633</v>
      </c>
      <c r="D2033" s="2" t="str">
        <f t="shared" si="30"/>
        <v>Error?</v>
      </c>
    </row>
    <row r="2034" spans="1:4" x14ac:dyDescent="0.2">
      <c r="A2034" s="5">
        <v>1973</v>
      </c>
      <c r="B2034" s="138">
        <f>'Cap Outlay Deprec 26'!H10</f>
        <v>1040966</v>
      </c>
      <c r="D2034" s="2" t="str">
        <f t="shared" si="30"/>
        <v>Error?</v>
      </c>
    </row>
    <row r="2035" spans="1:4" x14ac:dyDescent="0.2">
      <c r="A2035" s="5">
        <v>1974</v>
      </c>
      <c r="B2035" s="138">
        <f>'Cap Outlay Deprec 26'!H12</f>
        <v>2023495</v>
      </c>
      <c r="D2035" s="2" t="str">
        <f t="shared" si="30"/>
        <v>Error?</v>
      </c>
    </row>
    <row r="2036" spans="1:4" x14ac:dyDescent="0.2">
      <c r="A2036" s="5">
        <v>1975</v>
      </c>
      <c r="B2036" s="138">
        <f>'Cap Outlay Deprec 26'!H13</f>
        <v>220946</v>
      </c>
      <c r="D2036" s="2" t="str">
        <f t="shared" si="30"/>
        <v>Error?</v>
      </c>
    </row>
    <row r="2037" spans="1:4" x14ac:dyDescent="0.2">
      <c r="A2037" s="5">
        <v>1976</v>
      </c>
      <c r="B2037" s="138">
        <f>'Cap Outlay Deprec 26'!H16</f>
        <v>12946040</v>
      </c>
      <c r="C2037" s="2" t="s">
        <v>594</v>
      </c>
      <c r="D2037" s="2" t="str">
        <f t="shared" si="30"/>
        <v>Error?</v>
      </c>
    </row>
    <row r="2038" spans="1:4" x14ac:dyDescent="0.2">
      <c r="A2038" s="10">
        <v>1977</v>
      </c>
      <c r="D2038" s="2" t="str">
        <f t="shared" si="30"/>
        <v>OK</v>
      </c>
    </row>
    <row r="2039" spans="1:4" x14ac:dyDescent="0.2">
      <c r="A2039" s="5">
        <v>1978</v>
      </c>
      <c r="B2039" s="138">
        <f>'Cap Outlay Deprec 26'!I8</f>
        <v>319462</v>
      </c>
      <c r="D2039" s="2" t="str">
        <f t="shared" si="30"/>
        <v>Error?</v>
      </c>
    </row>
    <row r="2040" spans="1:4" x14ac:dyDescent="0.2">
      <c r="A2040" s="5">
        <v>1979</v>
      </c>
      <c r="B2040" s="138">
        <f>'Cap Outlay Deprec 26'!I10</f>
        <v>85104</v>
      </c>
      <c r="D2040" s="2" t="str">
        <f t="shared" si="30"/>
        <v>Error?</v>
      </c>
    </row>
    <row r="2041" spans="1:4" x14ac:dyDescent="0.2">
      <c r="A2041" s="5">
        <v>1980</v>
      </c>
      <c r="B2041" s="138">
        <f>'Cap Outlay Deprec 26'!I12</f>
        <v>79706</v>
      </c>
      <c r="D2041" s="2" t="str">
        <f t="shared" si="30"/>
        <v>Error?</v>
      </c>
    </row>
    <row r="2042" spans="1:4" x14ac:dyDescent="0.2">
      <c r="A2042" s="5">
        <v>1981</v>
      </c>
      <c r="B2042" s="138">
        <f>'Cap Outlay Deprec 26'!I13</f>
        <v>15581</v>
      </c>
      <c r="D2042" s="2" t="str">
        <f t="shared" si="30"/>
        <v>Error?</v>
      </c>
    </row>
    <row r="2043" spans="1:4" x14ac:dyDescent="0.2">
      <c r="A2043" s="5">
        <v>1982</v>
      </c>
      <c r="B2043" s="138">
        <f>'Cap Outlay Deprec 26'!I16</f>
        <v>499853</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1271264</v>
      </c>
      <c r="D2047" s="2" t="str">
        <f t="shared" ref="D2047:D2110" si="31">IF(ISBLANK(B2047),"OK",IF(A2047-B2047=0,"OK","Error?"))</f>
        <v>Error?</v>
      </c>
    </row>
    <row r="2048" spans="1:4" x14ac:dyDescent="0.2">
      <c r="A2048" s="5">
        <v>1987</v>
      </c>
      <c r="B2048" s="138">
        <f>'Cap Outlay Deprec 26'!J13</f>
        <v>123228</v>
      </c>
      <c r="D2048" s="2" t="str">
        <f t="shared" si="31"/>
        <v>Error?</v>
      </c>
    </row>
    <row r="2049" spans="1:4" x14ac:dyDescent="0.2">
      <c r="A2049" s="5">
        <v>1988</v>
      </c>
      <c r="B2049" s="138">
        <f>'Cap Outlay Deprec 26'!J16</f>
        <v>1394492</v>
      </c>
      <c r="C2049" s="2" t="s">
        <v>594</v>
      </c>
      <c r="D2049" s="2" t="str">
        <f t="shared" si="31"/>
        <v>Error?</v>
      </c>
    </row>
    <row r="2050" spans="1:4" x14ac:dyDescent="0.2">
      <c r="A2050" s="10">
        <v>1989</v>
      </c>
      <c r="D2050" s="2" t="str">
        <f t="shared" si="31"/>
        <v>OK</v>
      </c>
    </row>
    <row r="2051" spans="1:4" x14ac:dyDescent="0.2">
      <c r="A2051" s="5">
        <v>1990</v>
      </c>
      <c r="B2051" s="138">
        <f>'Cap Outlay Deprec 26'!K8</f>
        <v>9980095</v>
      </c>
      <c r="C2051" s="2" t="s">
        <v>594</v>
      </c>
      <c r="D2051" s="2" t="str">
        <f t="shared" si="31"/>
        <v>Error?</v>
      </c>
    </row>
    <row r="2052" spans="1:4" x14ac:dyDescent="0.2">
      <c r="A2052" s="5">
        <v>1991</v>
      </c>
      <c r="B2052" s="138">
        <f>'Cap Outlay Deprec 26'!K10</f>
        <v>1126070</v>
      </c>
      <c r="C2052" s="2" t="s">
        <v>594</v>
      </c>
      <c r="D2052" s="2" t="str">
        <f t="shared" si="31"/>
        <v>Error?</v>
      </c>
    </row>
    <row r="2053" spans="1:4" x14ac:dyDescent="0.2">
      <c r="A2053" s="5">
        <v>1992</v>
      </c>
      <c r="B2053" s="138">
        <f>'Cap Outlay Deprec 26'!K12</f>
        <v>831937</v>
      </c>
      <c r="C2053" s="2" t="s">
        <v>594</v>
      </c>
      <c r="D2053" s="2" t="str">
        <f t="shared" si="31"/>
        <v>Error?</v>
      </c>
    </row>
    <row r="2054" spans="1:4" x14ac:dyDescent="0.2">
      <c r="A2054" s="5">
        <v>1993</v>
      </c>
      <c r="B2054" s="138">
        <f>'Cap Outlay Deprec 26'!K13</f>
        <v>113299</v>
      </c>
      <c r="C2054" s="2" t="s">
        <v>594</v>
      </c>
      <c r="D2054" s="2" t="str">
        <f t="shared" si="31"/>
        <v>Error?</v>
      </c>
    </row>
    <row r="2055" spans="1:4" x14ac:dyDescent="0.2">
      <c r="A2055" s="5">
        <v>1994</v>
      </c>
      <c r="B2055" s="138">
        <f>'Cap Outlay Deprec 26'!K16</f>
        <v>12051401</v>
      </c>
      <c r="C2055" s="2" t="s">
        <v>594</v>
      </c>
      <c r="D2055" s="2" t="str">
        <f t="shared" si="31"/>
        <v>Error?</v>
      </c>
    </row>
    <row r="2056" spans="1:4" x14ac:dyDescent="0.2">
      <c r="A2056" s="5">
        <v>1995</v>
      </c>
      <c r="B2056" s="138">
        <f>'Cap Outlay Deprec 26'!L5</f>
        <v>393889</v>
      </c>
      <c r="C2056" s="2" t="s">
        <v>594</v>
      </c>
      <c r="D2056" s="2" t="str">
        <f t="shared" si="31"/>
        <v>Error?</v>
      </c>
    </row>
    <row r="2057" spans="1:4" x14ac:dyDescent="0.2">
      <c r="A2057" s="5">
        <v>1996</v>
      </c>
      <c r="B2057" s="138">
        <f>'Cap Outlay Deprec 26'!L8</f>
        <v>17588732</v>
      </c>
      <c r="C2057" s="2" t="s">
        <v>594</v>
      </c>
      <c r="D2057" s="2" t="str">
        <f t="shared" si="31"/>
        <v>Error?</v>
      </c>
    </row>
    <row r="2058" spans="1:4" x14ac:dyDescent="0.2">
      <c r="A2058" s="5">
        <v>1997</v>
      </c>
      <c r="B2058" s="138">
        <f>'Cap Outlay Deprec 26'!L10</f>
        <v>576010</v>
      </c>
      <c r="C2058" s="2" t="s">
        <v>594</v>
      </c>
      <c r="D2058" s="2" t="str">
        <f t="shared" si="31"/>
        <v>Error?</v>
      </c>
    </row>
    <row r="2059" spans="1:4" x14ac:dyDescent="0.2">
      <c r="A2059" s="5">
        <v>1998</v>
      </c>
      <c r="B2059" s="138">
        <f>'Cap Outlay Deprec 26'!L12</f>
        <v>206706</v>
      </c>
      <c r="C2059" s="2" t="s">
        <v>594</v>
      </c>
      <c r="D2059" s="2" t="str">
        <f t="shared" si="31"/>
        <v>Error?</v>
      </c>
    </row>
    <row r="2060" spans="1:4" x14ac:dyDescent="0.2">
      <c r="A2060" s="5">
        <v>1999</v>
      </c>
      <c r="B2060" s="138">
        <f>'Cap Outlay Deprec 26'!L13</f>
        <v>10790</v>
      </c>
      <c r="C2060" s="2" t="s">
        <v>594</v>
      </c>
      <c r="D2060" s="2" t="str">
        <f t="shared" si="31"/>
        <v>Error?</v>
      </c>
    </row>
    <row r="2061" spans="1:4" x14ac:dyDescent="0.2">
      <c r="A2061" s="5">
        <v>2000</v>
      </c>
      <c r="B2061" s="138">
        <f>'Cap Outlay Deprec 26'!L16</f>
        <v>18776127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14504</v>
      </c>
      <c r="C2088" s="2" t="s">
        <v>594</v>
      </c>
      <c r="D2088" s="2" t="str">
        <f t="shared" si="31"/>
        <v>Error?</v>
      </c>
    </row>
    <row r="2089" spans="1:4" x14ac:dyDescent="0.2">
      <c r="A2089" s="5">
        <v>2028</v>
      </c>
      <c r="B2089" s="138">
        <f>'Expenditures 15-22'!K92</f>
        <v>220931</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350000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243731</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277704</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3848353</v>
      </c>
      <c r="C2551" s="2" t="s">
        <v>594</v>
      </c>
      <c r="D2551" s="2" t="str">
        <f t="shared" si="38"/>
        <v>Error?</v>
      </c>
    </row>
    <row r="2552" spans="1:4" x14ac:dyDescent="0.2">
      <c r="A2552" s="10">
        <v>2491</v>
      </c>
      <c r="D2552" s="2" t="str">
        <f t="shared" si="38"/>
        <v>OK</v>
      </c>
    </row>
    <row r="2553" spans="1:4" x14ac:dyDescent="0.2">
      <c r="A2553" s="5">
        <v>2492</v>
      </c>
      <c r="B2553" s="138">
        <f>'Acct Summary 7-8'!C6</f>
        <v>1291449</v>
      </c>
      <c r="C2553" s="2" t="s">
        <v>594</v>
      </c>
      <c r="D2553" s="2" t="str">
        <f t="shared" si="38"/>
        <v>Error?</v>
      </c>
    </row>
    <row r="2554" spans="1:4" x14ac:dyDescent="0.2">
      <c r="A2554" s="5">
        <v>2493</v>
      </c>
      <c r="B2554" s="138">
        <f>'Acct Summary 7-8'!C7</f>
        <v>328675</v>
      </c>
      <c r="C2554" s="2" t="s">
        <v>594</v>
      </c>
      <c r="D2554" s="2" t="str">
        <f t="shared" si="38"/>
        <v>Error?</v>
      </c>
    </row>
    <row r="2555" spans="1:4" x14ac:dyDescent="0.2">
      <c r="A2555" s="5">
        <v>2494</v>
      </c>
      <c r="B2555" s="138">
        <f>'Acct Summary 7-8'!C8</f>
        <v>5468477</v>
      </c>
      <c r="C2555" s="2" t="s">
        <v>594</v>
      </c>
      <c r="D2555" s="2" t="str">
        <f t="shared" si="38"/>
        <v>Error?</v>
      </c>
    </row>
    <row r="2556" spans="1:4" x14ac:dyDescent="0.2">
      <c r="A2556" s="5">
        <v>2495</v>
      </c>
      <c r="B2556" s="138">
        <f>'Acct Summary 7-8'!C12</f>
        <v>4195800</v>
      </c>
      <c r="C2556" s="2" t="s">
        <v>594</v>
      </c>
      <c r="D2556" s="2" t="str">
        <f t="shared" si="38"/>
        <v>Error?</v>
      </c>
    </row>
    <row r="2557" spans="1:4" x14ac:dyDescent="0.2">
      <c r="A2557" s="5">
        <v>2496</v>
      </c>
      <c r="B2557" s="138">
        <f>'Acct Summary 7-8'!C13</f>
        <v>1249501</v>
      </c>
      <c r="C2557" s="2" t="s">
        <v>594</v>
      </c>
      <c r="D2557" s="2" t="str">
        <f t="shared" si="38"/>
        <v>Error?</v>
      </c>
    </row>
    <row r="2558" spans="1:4" x14ac:dyDescent="0.2">
      <c r="A2558" s="5">
        <v>2497</v>
      </c>
      <c r="B2558" s="138">
        <f>'Acct Summary 7-8'!C14</f>
        <v>104608</v>
      </c>
      <c r="C2558" s="2" t="s">
        <v>594</v>
      </c>
      <c r="D2558" s="2" t="str">
        <f t="shared" si="38"/>
        <v>Error?</v>
      </c>
    </row>
    <row r="2559" spans="1:4" x14ac:dyDescent="0.2">
      <c r="A2559" s="5">
        <v>2498</v>
      </c>
      <c r="B2559" s="138">
        <f>'Acct Summary 7-8'!C15</f>
        <v>235435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5785344</v>
      </c>
      <c r="C2561" s="2" t="s">
        <v>594</v>
      </c>
      <c r="D2561" s="2" t="str">
        <f t="shared" si="39"/>
        <v>Error?</v>
      </c>
    </row>
    <row r="2562" spans="1:4" x14ac:dyDescent="0.2">
      <c r="A2562" s="5">
        <v>2501</v>
      </c>
      <c r="B2562" s="138">
        <f>'Acct Summary 7-8'!C20</f>
        <v>-316867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1065088</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1065088</v>
      </c>
      <c r="C2568" s="2" t="s">
        <v>594</v>
      </c>
      <c r="D2568" s="2" t="str">
        <f t="shared" si="39"/>
        <v>Error?</v>
      </c>
    </row>
    <row r="2569" spans="1:4" x14ac:dyDescent="0.2">
      <c r="A2569" s="5">
        <v>2508</v>
      </c>
      <c r="B2569" s="138">
        <f>'Acct Summary 7-8'!D13</f>
        <v>1101701</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1101701</v>
      </c>
      <c r="C2573" s="2" t="s">
        <v>594</v>
      </c>
      <c r="D2573" s="2" t="str">
        <f t="shared" si="39"/>
        <v>Error?</v>
      </c>
    </row>
    <row r="2574" spans="1:4" x14ac:dyDescent="0.2">
      <c r="A2574" s="5">
        <v>2513</v>
      </c>
      <c r="B2574" s="138">
        <f>'Acct Summary 7-8'!D20</f>
        <v>-36613</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208365</v>
      </c>
      <c r="C2591" s="2" t="s">
        <v>594</v>
      </c>
      <c r="D2591" s="2" t="str">
        <f t="shared" si="39"/>
        <v>Error?</v>
      </c>
    </row>
    <row r="2592" spans="1:4" x14ac:dyDescent="0.2">
      <c r="A2592" s="10">
        <v>2531</v>
      </c>
      <c r="D2592" s="2" t="str">
        <f t="shared" si="39"/>
        <v>OK</v>
      </c>
    </row>
    <row r="2593" spans="1:4" x14ac:dyDescent="0.2">
      <c r="A2593" s="5">
        <v>2532</v>
      </c>
      <c r="B2593" s="138">
        <f>'Acct Summary 7-8'!F6</f>
        <v>202321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410686</v>
      </c>
      <c r="C2595" s="2" t="s">
        <v>594</v>
      </c>
      <c r="D2595" s="2" t="str">
        <f t="shared" si="39"/>
        <v>Error?</v>
      </c>
    </row>
    <row r="2596" spans="1:4" x14ac:dyDescent="0.2">
      <c r="A2596" s="5">
        <v>2535</v>
      </c>
      <c r="B2596" s="138">
        <f>'Acct Summary 7-8'!F13</f>
        <v>329184</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329184</v>
      </c>
      <c r="C2600" s="2" t="s">
        <v>594</v>
      </c>
      <c r="D2600" s="2" t="str">
        <f t="shared" si="39"/>
        <v>Error?</v>
      </c>
    </row>
    <row r="2601" spans="1:4" x14ac:dyDescent="0.2">
      <c r="A2601" s="5">
        <v>2540</v>
      </c>
      <c r="B2601" s="138">
        <f>'Acct Summary 7-8'!F20</f>
        <v>81502</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193302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193302</v>
      </c>
      <c r="C2606" s="2" t="s">
        <v>594</v>
      </c>
      <c r="D2606" s="2" t="str">
        <f t="shared" si="39"/>
        <v>Error?</v>
      </c>
    </row>
    <row r="2607" spans="1:4" x14ac:dyDescent="0.2">
      <c r="A2607" s="5">
        <v>2546</v>
      </c>
      <c r="B2607" s="138">
        <f>'Acct Summary 7-8'!G12</f>
        <v>96511</v>
      </c>
      <c r="C2607" s="2" t="s">
        <v>594</v>
      </c>
      <c r="D2607" s="2" t="str">
        <f t="shared" si="39"/>
        <v>Error?</v>
      </c>
    </row>
    <row r="2608" spans="1:4" x14ac:dyDescent="0.2">
      <c r="A2608" s="5">
        <v>2547</v>
      </c>
      <c r="B2608" s="138">
        <f>'Acct Summary 7-8'!G13</f>
        <v>107208</v>
      </c>
      <c r="C2608" s="2" t="s">
        <v>594</v>
      </c>
      <c r="D2608" s="2" t="str">
        <f t="shared" si="39"/>
        <v>Error?</v>
      </c>
    </row>
    <row r="2609" spans="1:4" x14ac:dyDescent="0.2">
      <c r="A2609" s="5">
        <v>2548</v>
      </c>
      <c r="B2609" s="138">
        <f>'Acct Summary 7-8'!G14</f>
        <v>10356</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215563</v>
      </c>
      <c r="C2612" s="2" t="s">
        <v>594</v>
      </c>
      <c r="D2612" s="2" t="str">
        <f t="shared" si="39"/>
        <v>Error?</v>
      </c>
    </row>
    <row r="2613" spans="1:4" x14ac:dyDescent="0.2">
      <c r="A2613" s="5">
        <v>2552</v>
      </c>
      <c r="B2613" s="138">
        <f>'Acct Summary 7-8'!G20</f>
        <v>-22261</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1858162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1858162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1841037</v>
      </c>
      <c r="C2634" s="2" t="s">
        <v>594</v>
      </c>
      <c r="D2634" s="2" t="str">
        <f t="shared" si="40"/>
        <v>Error?</v>
      </c>
    </row>
    <row r="2635" spans="1:4" x14ac:dyDescent="0.2">
      <c r="A2635" s="5">
        <v>2574</v>
      </c>
      <c r="B2635" s="138">
        <f>'Acct Summary 7-8'!E17</f>
        <v>1841037</v>
      </c>
      <c r="C2635" s="2" t="s">
        <v>594</v>
      </c>
      <c r="D2635" s="2" t="str">
        <f t="shared" si="40"/>
        <v>Error?</v>
      </c>
    </row>
    <row r="2636" spans="1:4" x14ac:dyDescent="0.2">
      <c r="A2636" s="5">
        <v>2575</v>
      </c>
      <c r="B2636" s="138">
        <f>'Acct Summary 7-8'!E20</f>
        <v>17125</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14504</v>
      </c>
      <c r="C2789" s="2" t="s">
        <v>594</v>
      </c>
      <c r="D2789" s="2" t="str">
        <f t="shared" si="42"/>
        <v>Error?</v>
      </c>
    </row>
    <row r="2790" spans="1:4" x14ac:dyDescent="0.2">
      <c r="A2790" s="5">
        <v>2729</v>
      </c>
      <c r="B2790" s="138">
        <f>'Expenditures 15-22'!E102</f>
        <v>14504</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1396161</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110533</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1396161</v>
      </c>
      <c r="D2912" s="2" t="str">
        <f t="shared" si="44"/>
        <v>Error?</v>
      </c>
    </row>
    <row r="2913" spans="1:4" x14ac:dyDescent="0.2">
      <c r="A2913" s="5">
        <v>2852</v>
      </c>
      <c r="B2913" s="138">
        <f>'Assets-Liab 5-6'!I41</f>
        <v>1396161</v>
      </c>
      <c r="C2913" s="2" t="s">
        <v>594</v>
      </c>
      <c r="D2913" s="2" t="str">
        <f t="shared" si="44"/>
        <v>Error?</v>
      </c>
    </row>
    <row r="2914" spans="1:4" x14ac:dyDescent="0.2">
      <c r="A2914" s="5">
        <v>2853</v>
      </c>
      <c r="B2914" s="138">
        <f>'Assets-Liab 5-6'!L33</f>
        <v>110533</v>
      </c>
      <c r="D2914" s="2" t="str">
        <f t="shared" si="44"/>
        <v>Error?</v>
      </c>
    </row>
    <row r="2915" spans="1:4" x14ac:dyDescent="0.2">
      <c r="A2915" s="10">
        <v>2854</v>
      </c>
      <c r="D2915" s="2" t="str">
        <f t="shared" si="44"/>
        <v>OK</v>
      </c>
    </row>
    <row r="2916" spans="1:4" x14ac:dyDescent="0.2">
      <c r="A2916" s="5">
        <v>2855</v>
      </c>
      <c r="B2916" s="138">
        <f>'Assets-Liab 5-6'!L34</f>
        <v>110533</v>
      </c>
      <c r="C2916" s="2" t="s">
        <v>594</v>
      </c>
      <c r="D2916" s="2" t="str">
        <f t="shared" si="44"/>
        <v>Error?</v>
      </c>
    </row>
    <row r="2917" spans="1:4" x14ac:dyDescent="0.2">
      <c r="A2917" s="5">
        <v>2856</v>
      </c>
      <c r="B2917" s="138">
        <f>'Assets-Liab 5-6'!L41</f>
        <v>110533</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14504</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14504</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80307</v>
      </c>
      <c r="D3055" s="2" t="str">
        <f t="shared" si="46"/>
        <v>Error?</v>
      </c>
    </row>
    <row r="3056" spans="1:4" x14ac:dyDescent="0.2">
      <c r="A3056" s="5">
        <v>2995</v>
      </c>
      <c r="B3056" s="138">
        <f>'Expenditures 15-22'!D10</f>
        <v>3570</v>
      </c>
      <c r="D3056" s="2" t="str">
        <f t="shared" si="46"/>
        <v>Error?</v>
      </c>
    </row>
    <row r="3057" spans="1:4" x14ac:dyDescent="0.2">
      <c r="A3057" s="5">
        <v>2996</v>
      </c>
      <c r="B3057" s="138">
        <f>'Expenditures 15-22'!E10</f>
        <v>8046</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91923</v>
      </c>
      <c r="C3062" s="2" t="s">
        <v>594</v>
      </c>
      <c r="D3062" s="2" t="str">
        <f t="shared" si="46"/>
        <v>Error?</v>
      </c>
    </row>
    <row r="3063" spans="1:4" x14ac:dyDescent="0.2">
      <c r="A3063" s="10">
        <v>3002</v>
      </c>
      <c r="D3063" s="2" t="str">
        <f t="shared" si="46"/>
        <v>OK</v>
      </c>
    </row>
    <row r="3064" spans="1:4" x14ac:dyDescent="0.2">
      <c r="A3064" s="5">
        <v>3003</v>
      </c>
      <c r="B3064" s="138">
        <f>'Expenditures 15-22'!D219</f>
        <v>14141</v>
      </c>
      <c r="D3064" s="2" t="str">
        <f t="shared" si="46"/>
        <v>Error?</v>
      </c>
    </row>
    <row r="3065" spans="1:4" x14ac:dyDescent="0.2">
      <c r="A3065" s="5">
        <v>3004</v>
      </c>
      <c r="B3065" s="138">
        <f>'Expenditures 15-22'!K219</f>
        <v>14141</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103006</v>
      </c>
      <c r="C3225" s="2" t="s">
        <v>594</v>
      </c>
      <c r="D3225" s="2" t="str">
        <f t="shared" si="49"/>
        <v>Error?</v>
      </c>
    </row>
    <row r="3226" spans="1:4" x14ac:dyDescent="0.2">
      <c r="A3226" s="5">
        <v>3165</v>
      </c>
      <c r="B3226" s="138">
        <f>'Acct Summary 7-8'!I8</f>
        <v>103006</v>
      </c>
      <c r="C3226" s="2" t="s">
        <v>594</v>
      </c>
      <c r="D3226" s="2" t="str">
        <f t="shared" si="49"/>
        <v>Error?</v>
      </c>
    </row>
    <row r="3227" spans="1:4" x14ac:dyDescent="0.2">
      <c r="A3227" s="5">
        <v>3166</v>
      </c>
      <c r="B3227" s="138">
        <f>'Acct Summary 7-8'!I20</f>
        <v>103006</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350000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350000</v>
      </c>
      <c r="C3232" s="2" t="s">
        <v>594</v>
      </c>
      <c r="D3232" s="2" t="str">
        <f t="shared" si="49"/>
        <v>Error?</v>
      </c>
    </row>
    <row r="3233" spans="1:4" x14ac:dyDescent="0.2">
      <c r="A3233" s="5">
        <v>3172</v>
      </c>
      <c r="B3233" s="138">
        <f>'Acct Summary 7-8'!C78</f>
        <v>33133</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-36613</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81502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-22261</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17125</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330000</v>
      </c>
      <c r="C3317" s="2" t="s">
        <v>594</v>
      </c>
      <c r="D3317" s="2" t="str">
        <f t="shared" si="50"/>
        <v>Error?</v>
      </c>
    </row>
    <row r="3318" spans="1:4" x14ac:dyDescent="0.2">
      <c r="A3318" s="5">
        <v>3257</v>
      </c>
      <c r="B3318" s="138">
        <f>'Acct Summary 7-8'!I76</f>
        <v>356300</v>
      </c>
      <c r="C3318" s="2" t="s">
        <v>594</v>
      </c>
      <c r="D3318" s="2" t="str">
        <f t="shared" si="50"/>
        <v>Error?</v>
      </c>
    </row>
    <row r="3319" spans="1:4" x14ac:dyDescent="0.2">
      <c r="A3319" s="5">
        <v>3258</v>
      </c>
      <c r="B3319" s="138">
        <f>'Acct Summary 7-8'!I77</f>
        <v>-26300</v>
      </c>
      <c r="C3319" s="2" t="s">
        <v>594</v>
      </c>
      <c r="D3319" s="2" t="str">
        <f t="shared" si="50"/>
        <v>Error?</v>
      </c>
    </row>
    <row r="3320" spans="1:4" x14ac:dyDescent="0.2">
      <c r="A3320" s="5">
        <v>3259</v>
      </c>
      <c r="B3320" s="138">
        <f>'Acct Summary 7-8'!I78</f>
        <v>76706</v>
      </c>
      <c r="C3320" s="2" t="s">
        <v>594</v>
      </c>
      <c r="D3320" s="2" t="str">
        <f t="shared" si="50"/>
        <v>Error?</v>
      </c>
    </row>
    <row r="3321" spans="1:4" x14ac:dyDescent="0.2">
      <c r="A3321" s="5">
        <v>3260</v>
      </c>
      <c r="B3321" s="138">
        <f>'Acct Summary 7-8'!I79</f>
        <v>1319455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1396161</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428217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87816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388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516421</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40979</v>
      </c>
      <c r="D3387" s="2" t="str">
        <f t="shared" si="51"/>
        <v>Error?</v>
      </c>
    </row>
    <row r="3388" spans="1:4" x14ac:dyDescent="0.2">
      <c r="A3388" s="5">
        <v>3327</v>
      </c>
      <c r="B3388" s="138">
        <f>'Expenditures 15-22'!D217</f>
        <v>29075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40979</v>
      </c>
      <c r="C3390" s="2" t="s">
        <v>594</v>
      </c>
      <c r="D3390" s="2" t="str">
        <f t="shared" si="51"/>
        <v>Error?</v>
      </c>
    </row>
    <row r="3391" spans="1:4" x14ac:dyDescent="0.2">
      <c r="A3391" s="5">
        <v>3330</v>
      </c>
      <c r="B3391" s="138">
        <f>'Expenditures 15-22'!K217</f>
        <v>29075</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56973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1603431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129323</v>
      </c>
      <c r="D3417" s="2" t="str">
        <f t="shared" si="52"/>
        <v>Error?</v>
      </c>
    </row>
    <row r="3418" spans="1:4" x14ac:dyDescent="0.2">
      <c r="A3418" s="10">
        <v>3357</v>
      </c>
      <c r="D3418" s="2" t="str">
        <f t="shared" si="52"/>
        <v>OK</v>
      </c>
    </row>
    <row r="3419" spans="1:4" x14ac:dyDescent="0.2">
      <c r="A3419" s="5">
        <v>3358</v>
      </c>
      <c r="B3419" s="138">
        <f>'Assets-Liab 5-6'!F4</f>
        <v>513650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270809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1396161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110533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83195</v>
      </c>
      <c r="C3446" s="2" t="s">
        <v>594</v>
      </c>
      <c r="D3446" s="2" t="str">
        <f t="shared" si="52"/>
        <v>Error?</v>
      </c>
    </row>
    <row r="3447" spans="1:4" x14ac:dyDescent="0.2">
      <c r="A3447" s="5">
        <v>3386</v>
      </c>
      <c r="B3447" s="138">
        <f>'Tax Sched 23'!D16</f>
        <v>83195</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70040</v>
      </c>
      <c r="C3449" s="2" t="s">
        <v>594</v>
      </c>
      <c r="D3449" s="2" t="str">
        <f t="shared" si="52"/>
        <v>Error?</v>
      </c>
    </row>
    <row r="3450" spans="1:4" x14ac:dyDescent="0.2">
      <c r="A3450" s="5">
        <v>3389</v>
      </c>
      <c r="B3450" s="138">
        <f>'Tax Sched 23'!E16</f>
        <v>70040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292090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292090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292090</v>
      </c>
      <c r="D3567" s="2" t="str">
        <f t="shared" si="54"/>
        <v>Error?</v>
      </c>
    </row>
    <row r="3568" spans="1:4" x14ac:dyDescent="0.2">
      <c r="A3568" s="5">
        <v>3507</v>
      </c>
      <c r="B3568" s="138">
        <f>'Assets-Liab 5-6'!K41</f>
        <v>292090</v>
      </c>
      <c r="C3568" s="2" t="s">
        <v>594</v>
      </c>
      <c r="D3568" s="2" t="str">
        <f t="shared" si="54"/>
        <v>Error?</v>
      </c>
    </row>
    <row r="3569" spans="1:4" x14ac:dyDescent="0.2">
      <c r="A3569" s="5">
        <v>3508</v>
      </c>
      <c r="B3569" s="138">
        <f>'Acct Summary 7-8'!K4</f>
        <v>92974</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92974</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92974</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92974</v>
      </c>
      <c r="C3588" s="2" t="s">
        <v>594</v>
      </c>
      <c r="D3588" s="2" t="str">
        <f t="shared" si="55"/>
        <v>Error?</v>
      </c>
    </row>
    <row r="3589" spans="1:4" x14ac:dyDescent="0.2">
      <c r="A3589" s="5">
        <v>3528</v>
      </c>
      <c r="B3589" s="138">
        <f>'Acct Summary 7-8'!K79</f>
        <v>199116</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292090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92974</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1488</v>
      </c>
      <c r="D3721" s="2" t="str">
        <f t="shared" si="57"/>
        <v>Error?</v>
      </c>
    </row>
    <row r="3722" spans="1:4" x14ac:dyDescent="0.2">
      <c r="A3722" s="5">
        <v>3661</v>
      </c>
      <c r="B3722" s="138">
        <f>'Expenditures 15-22'!D285</f>
        <v>1488</v>
      </c>
      <c r="C3722" s="2" t="s">
        <v>594</v>
      </c>
      <c r="D3722" s="2" t="str">
        <f t="shared" si="57"/>
        <v>Error?</v>
      </c>
    </row>
    <row r="3723" spans="1:4" x14ac:dyDescent="0.2">
      <c r="A3723" s="5">
        <v>3662</v>
      </c>
      <c r="B3723" s="138">
        <f>'Expenditures 15-22'!K283</f>
        <v>1488</v>
      </c>
      <c r="C3723" s="2" t="s">
        <v>594</v>
      </c>
      <c r="D3723" s="2" t="str">
        <f t="shared" si="57"/>
        <v>Error?</v>
      </c>
    </row>
    <row r="3724" spans="1:4" x14ac:dyDescent="0.2">
      <c r="A3724" s="5">
        <v>3663</v>
      </c>
      <c r="B3724" s="138">
        <f>'Expenditures 15-22'!K285</f>
        <v>1488</v>
      </c>
      <c r="C3724" s="2" t="s">
        <v>594</v>
      </c>
      <c r="D3724" s="2" t="str">
        <f t="shared" si="57"/>
        <v>Error?</v>
      </c>
    </row>
    <row r="3725" spans="1:4" x14ac:dyDescent="0.2">
      <c r="A3725" s="5">
        <v>3664</v>
      </c>
      <c r="B3725" s="138">
        <f>'Tax Sched 23'!B13</f>
        <v>86852</v>
      </c>
      <c r="C3725" s="2" t="s">
        <v>594</v>
      </c>
      <c r="D3725" s="2" t="str">
        <f t="shared" si="57"/>
        <v>Error?</v>
      </c>
    </row>
    <row r="3726" spans="1:4" x14ac:dyDescent="0.2">
      <c r="A3726" s="5">
        <v>3665</v>
      </c>
      <c r="B3726" s="138">
        <f>'Tax Sched 23'!D13</f>
        <v>86852</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67152</v>
      </c>
      <c r="C3728" s="2" t="s">
        <v>594</v>
      </c>
      <c r="D3728" s="2" t="str">
        <f t="shared" si="57"/>
        <v>Error?</v>
      </c>
    </row>
    <row r="3729" spans="1:4" x14ac:dyDescent="0.2">
      <c r="A3729" s="5">
        <v>3668</v>
      </c>
      <c r="B3729" s="138">
        <f>'Tax Sched 23'!E13</f>
        <v>67152</v>
      </c>
      <c r="D3729" s="2" t="str">
        <f t="shared" si="57"/>
        <v>Error?</v>
      </c>
    </row>
    <row r="3730" spans="1:4" x14ac:dyDescent="0.2">
      <c r="A3730" s="5">
        <v>3669</v>
      </c>
      <c r="B3730" s="138">
        <f>'ICR Computation 30'!E10</f>
        <v>90881</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2843074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8311551</v>
      </c>
      <c r="C4122" s="2" t="s">
        <v>594</v>
      </c>
      <c r="D4122" s="2" t="str">
        <f t="shared" si="63"/>
        <v>Error?</v>
      </c>
    </row>
    <row r="4123" spans="1:4" x14ac:dyDescent="0.2">
      <c r="A4123" s="5">
        <v>4062</v>
      </c>
      <c r="B4123" s="138">
        <f>'Acct Summary 7-8'!D10</f>
        <v>1065088</v>
      </c>
      <c r="C4123" s="2" t="s">
        <v>594</v>
      </c>
      <c r="D4123" s="2" t="str">
        <f t="shared" si="63"/>
        <v>Error?</v>
      </c>
    </row>
    <row r="4124" spans="1:4" x14ac:dyDescent="0.2">
      <c r="A4124" s="5">
        <v>4063</v>
      </c>
      <c r="B4124" s="138">
        <f>'Acct Summary 7-8'!E10</f>
        <v>1858162</v>
      </c>
      <c r="C4124" s="2" t="s">
        <v>594</v>
      </c>
      <c r="D4124" s="2" t="str">
        <f t="shared" si="63"/>
        <v>Error?</v>
      </c>
    </row>
    <row r="4125" spans="1:4" x14ac:dyDescent="0.2">
      <c r="A4125" s="5">
        <v>4064</v>
      </c>
      <c r="B4125" s="138">
        <f>'Acct Summary 7-8'!F10</f>
        <v>410686</v>
      </c>
      <c r="C4125" s="2" t="s">
        <v>594</v>
      </c>
      <c r="D4125" s="2" t="str">
        <f t="shared" si="63"/>
        <v>Error?</v>
      </c>
    </row>
    <row r="4126" spans="1:4" x14ac:dyDescent="0.2">
      <c r="A4126" s="5">
        <v>4065</v>
      </c>
      <c r="B4126" s="138">
        <f>'Acct Summary 7-8'!G10</f>
        <v>193302</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103006</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92974</v>
      </c>
      <c r="C4130" s="2" t="s">
        <v>594</v>
      </c>
      <c r="D4130" s="2" t="str">
        <f t="shared" si="63"/>
        <v>Error?</v>
      </c>
    </row>
    <row r="4131" spans="1:4" x14ac:dyDescent="0.2">
      <c r="A4131" s="5">
        <v>4070</v>
      </c>
      <c r="B4131" s="138">
        <f>'Acct Summary 7-8'!C18</f>
        <v>2843074</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8628418</v>
      </c>
      <c r="C4136" s="2" t="s">
        <v>594</v>
      </c>
      <c r="D4136" s="2" t="str">
        <f t="shared" si="63"/>
        <v>Error?</v>
      </c>
    </row>
    <row r="4137" spans="1:4" x14ac:dyDescent="0.2">
      <c r="A4137" s="5">
        <v>4076</v>
      </c>
      <c r="B4137" s="138">
        <f>'Acct Summary 7-8'!D19</f>
        <v>1101701</v>
      </c>
      <c r="C4137" s="2" t="s">
        <v>594</v>
      </c>
      <c r="D4137" s="2" t="str">
        <f t="shared" si="63"/>
        <v>Error?</v>
      </c>
    </row>
    <row r="4138" spans="1:4" x14ac:dyDescent="0.2">
      <c r="A4138" s="5">
        <v>4077</v>
      </c>
      <c r="B4138" s="138">
        <f>'Acct Summary 7-8'!E19</f>
        <v>1841037</v>
      </c>
      <c r="C4138" s="2" t="s">
        <v>594</v>
      </c>
      <c r="D4138" s="2" t="str">
        <f t="shared" si="63"/>
        <v>Error?</v>
      </c>
    </row>
    <row r="4139" spans="1:4" x14ac:dyDescent="0.2">
      <c r="A4139" s="5">
        <v>4078</v>
      </c>
      <c r="B4139" s="138">
        <f>'Acct Summary 7-8'!F19</f>
        <v>329184</v>
      </c>
      <c r="C4139" s="2" t="s">
        <v>594</v>
      </c>
      <c r="D4139" s="2" t="str">
        <f t="shared" si="63"/>
        <v>Error?</v>
      </c>
    </row>
    <row r="4140" spans="1:4" x14ac:dyDescent="0.2">
      <c r="A4140" s="5">
        <v>4079</v>
      </c>
      <c r="B4140" s="138">
        <f>'Acct Summary 7-8'!G19</f>
        <v>215563</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2045000</v>
      </c>
      <c r="C4171" s="2" t="s">
        <v>594</v>
      </c>
      <c r="D4171" s="2" t="str">
        <f t="shared" si="64"/>
        <v>Error?</v>
      </c>
    </row>
    <row r="4172" spans="1:4" x14ac:dyDescent="0.2">
      <c r="A4172" s="5">
        <v>4111</v>
      </c>
      <c r="B4172" s="138">
        <f>'Short-Term Long-Term Debt 24'!J49</f>
        <v>1915677</v>
      </c>
      <c r="C4172" s="2" t="s">
        <v>594</v>
      </c>
      <c r="D4172" s="2" t="str">
        <f t="shared" si="64"/>
        <v>Error?</v>
      </c>
    </row>
    <row r="4173" spans="1:4" x14ac:dyDescent="0.2">
      <c r="A4173" s="5">
        <v>4112</v>
      </c>
      <c r="B4173" s="138">
        <f>'Short-Term Long-Term Debt 24'!H49</f>
        <v>1770000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1750.0000000000002</v>
      </c>
      <c r="C4265" s="2" t="s">
        <v>594</v>
      </c>
      <c r="D4265" s="2" t="str">
        <f t="shared" si="65"/>
        <v>Error?</v>
      </c>
      <c r="E4265" s="128"/>
    </row>
    <row r="4266" spans="1:5" x14ac:dyDescent="0.2">
      <c r="A4266" s="12">
        <v>4205</v>
      </c>
      <c r="B4266" s="138">
        <f>('FP Info 3'!F10)*100000</f>
        <v>550</v>
      </c>
      <c r="C4266" s="2" t="s">
        <v>594</v>
      </c>
      <c r="D4266" s="2" t="str">
        <f t="shared" si="65"/>
        <v>Error?</v>
      </c>
      <c r="E4266" s="128"/>
    </row>
    <row r="4267" spans="1:5" x14ac:dyDescent="0.2">
      <c r="A4267" s="12">
        <v>4206</v>
      </c>
      <c r="B4267" s="138">
        <f>('FP Info 3'!H10)*100000</f>
        <v>119.99999999999999</v>
      </c>
      <c r="C4267" s="2" t="s">
        <v>594</v>
      </c>
      <c r="D4267" s="2" t="str">
        <f t="shared" si="65"/>
        <v>Error?</v>
      </c>
      <c r="E4267" s="128"/>
    </row>
    <row r="4268" spans="1:5" x14ac:dyDescent="0.2">
      <c r="A4268" s="12">
        <v>4207</v>
      </c>
      <c r="B4268" s="138">
        <f>('FP Info 3'!J10)*100000</f>
        <v>2420</v>
      </c>
      <c r="C4268" s="2" t="s">
        <v>594</v>
      </c>
      <c r="D4268" s="2" t="str">
        <f t="shared" si="65"/>
        <v>Error?</v>
      </c>
    </row>
    <row r="4269" spans="1:5" x14ac:dyDescent="0.2">
      <c r="A4269" s="12">
        <v>4208</v>
      </c>
      <c r="B4269" s="138">
        <f>'FP Info 3'!J16</f>
        <v>3569322</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26866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7527</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5619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6000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180515936</v>
      </c>
      <c r="D4995" s="2" t="str">
        <f t="shared" si="77"/>
        <v>Error?</v>
      </c>
    </row>
    <row r="4996" spans="1:4" x14ac:dyDescent="0.2">
      <c r="A4996" s="12">
        <v>4935</v>
      </c>
      <c r="B4996" s="138">
        <f>'FP Info 3'!H31</f>
        <v>12455599.584000001</v>
      </c>
      <c r="D4996" s="2" t="str">
        <f t="shared" si="77"/>
        <v>Error?</v>
      </c>
    </row>
    <row r="4997" spans="1:4" x14ac:dyDescent="0.2">
      <c r="A4997" s="12">
        <v>4936</v>
      </c>
      <c r="B4997" s="138">
        <f>'FP Info 3'!H37</f>
        <v>2045000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71922</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3165036</v>
      </c>
      <c r="D5061" s="2" t="str">
        <f t="shared" si="78"/>
        <v>Error?</v>
      </c>
    </row>
    <row r="5062" spans="1:4" x14ac:dyDescent="0.2">
      <c r="A5062" s="10">
        <v>5001</v>
      </c>
      <c r="D5062" s="2" t="str">
        <f t="shared" si="78"/>
        <v>OK</v>
      </c>
    </row>
    <row r="5063" spans="1:4" x14ac:dyDescent="0.2">
      <c r="A5063" s="5">
        <v>5002</v>
      </c>
      <c r="B5063" s="138">
        <f>'Revenues 9-14'!C7</f>
        <v>36175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3273133</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17473</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17473</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1452</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1452</v>
      </c>
      <c r="C5087" s="2" t="s">
        <v>594</v>
      </c>
      <c r="D5087" s="2" t="str">
        <f t="shared" si="78"/>
        <v>Error?</v>
      </c>
    </row>
    <row r="5088" spans="1:4" x14ac:dyDescent="0.2">
      <c r="A5088" s="5">
        <v>5027</v>
      </c>
      <c r="B5088" s="138">
        <f>'Revenues 9-14'!C65</f>
        <v>7620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7620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4200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139591</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178873</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178873</v>
      </c>
      <c r="C5102" s="2" t="s">
        <v>594</v>
      </c>
      <c r="D5102" s="2" t="str">
        <f t="shared" si="78"/>
        <v>Error?</v>
      </c>
    </row>
    <row r="5103" spans="1:4" x14ac:dyDescent="0.2">
      <c r="A5103" s="5">
        <v>5042</v>
      </c>
      <c r="B5103" s="138">
        <f>'Revenues 9-14'!C84</f>
        <v>92219</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92219</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21932</v>
      </c>
      <c r="D5114" s="2" t="str">
        <f t="shared" si="78"/>
        <v>Error?</v>
      </c>
    </row>
    <row r="5115" spans="1:4" x14ac:dyDescent="0.2">
      <c r="A5115" s="5">
        <v>5054</v>
      </c>
      <c r="B5115" s="138">
        <f>'Revenues 9-14'!C98</f>
        <v>0</v>
      </c>
      <c r="D5115" s="2" t="str">
        <f t="shared" si="78"/>
        <v>Error?</v>
      </c>
    </row>
    <row r="5116" spans="1:4" x14ac:dyDescent="0.2">
      <c r="A5116" s="5">
        <v>5055</v>
      </c>
      <c r="B5116" s="138">
        <f>'Revenues 9-14'!C99</f>
        <v>2850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97217</v>
      </c>
      <c r="D5118" s="2" t="str">
        <f t="shared" si="78"/>
        <v>Error?</v>
      </c>
    </row>
    <row r="5119" spans="1:4" x14ac:dyDescent="0.2">
      <c r="A5119" s="5">
        <v>5058</v>
      </c>
      <c r="B5119" s="138">
        <f>'Revenues 9-14'!C107</f>
        <v>4024</v>
      </c>
      <c r="D5119" s="2" t="str">
        <f t="shared" ref="D5119:D5182" si="79">IF(ISBLANK(B5119),"OK",IF(A5119-B5119=0,"OK","Error?"))</f>
        <v>Error?</v>
      </c>
    </row>
    <row r="5120" spans="1:4" x14ac:dyDescent="0.2">
      <c r="A5120" s="5">
        <v>5059</v>
      </c>
      <c r="B5120" s="138">
        <f>'Revenues 9-14'!C108</f>
        <v>137992</v>
      </c>
      <c r="C5120" s="2" t="s">
        <v>594</v>
      </c>
      <c r="D5120" s="2" t="str">
        <f t="shared" si="79"/>
        <v>Error?</v>
      </c>
    </row>
    <row r="5121" spans="1:4" x14ac:dyDescent="0.2">
      <c r="A5121" s="5">
        <v>5060</v>
      </c>
      <c r="B5121" s="138">
        <f>'Revenues 9-14'!C109</f>
        <v>3848353</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1180592</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1180592</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49054</v>
      </c>
      <c r="D5134" s="2" t="str">
        <f t="shared" si="79"/>
        <v>Error?</v>
      </c>
    </row>
    <row r="5135" spans="1:4" x14ac:dyDescent="0.2">
      <c r="A5135" s="5">
        <v>5074</v>
      </c>
      <c r="B5135" s="138">
        <f>'Revenues 9-14'!C126</f>
        <v>54524</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746</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104324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5880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5880</v>
      </c>
      <c r="C5165" s="2" t="s">
        <v>594</v>
      </c>
      <c r="D5165" s="2" t="str">
        <f t="shared" si="79"/>
        <v>Error?</v>
      </c>
    </row>
    <row r="5166" spans="1:4" x14ac:dyDescent="0.2">
      <c r="A5166" s="10">
        <v>5105</v>
      </c>
      <c r="D5166" s="2" t="str">
        <f t="shared" si="79"/>
        <v>OK</v>
      </c>
    </row>
    <row r="5167" spans="1:4" x14ac:dyDescent="0.2">
      <c r="A5167" s="5">
        <v>5106</v>
      </c>
      <c r="B5167" s="138">
        <f>'Revenues 9-14'!C145</f>
        <v>653</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110857</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1291449</v>
      </c>
      <c r="C5223" s="2" t="s">
        <v>594</v>
      </c>
      <c r="D5223" s="2" t="str">
        <f t="shared" si="80"/>
        <v>Error?</v>
      </c>
    </row>
    <row r="5224" spans="1:4" x14ac:dyDescent="0.2">
      <c r="A5224" s="5">
        <v>5163</v>
      </c>
      <c r="B5224" s="138">
        <f>'Revenues 9-14'!C176</f>
        <v>23412</v>
      </c>
      <c r="D5224" s="2" t="str">
        <f t="shared" si="80"/>
        <v>Error?</v>
      </c>
    </row>
    <row r="5225" spans="1:4" x14ac:dyDescent="0.2">
      <c r="A5225" s="5">
        <v>5164</v>
      </c>
      <c r="B5225" s="138">
        <f>'Revenues 9-14'!C178</f>
        <v>23412</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69328</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69328</v>
      </c>
      <c r="C5246" s="2" t="s">
        <v>594</v>
      </c>
      <c r="D5246" s="2" t="str">
        <f t="shared" si="80"/>
        <v>Error?</v>
      </c>
    </row>
    <row r="5247" spans="1:4" x14ac:dyDescent="0.2">
      <c r="A5247" s="5">
        <v>5186</v>
      </c>
      <c r="B5247" s="138">
        <f>'Revenues 9-14'!C203</f>
        <v>91938</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7527</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91938</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103985</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103985</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305263</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328675</v>
      </c>
      <c r="C5326" s="2" t="s">
        <v>594</v>
      </c>
      <c r="D5326" s="2" t="str">
        <f t="shared" si="82"/>
        <v>Error?</v>
      </c>
    </row>
    <row r="5327" spans="1:4" x14ac:dyDescent="0.2">
      <c r="A5327" s="5">
        <v>5266</v>
      </c>
      <c r="B5327" s="138">
        <f>'Revenues 9-14'!C275</f>
        <v>5468477</v>
      </c>
      <c r="C5327" s="2" t="s">
        <v>594</v>
      </c>
      <c r="D5327" s="2" t="str">
        <f t="shared" si="82"/>
        <v>Error?</v>
      </c>
    </row>
    <row r="5328" spans="1:4" x14ac:dyDescent="0.2">
      <c r="A5328" s="5">
        <v>5267</v>
      </c>
      <c r="B5328" s="138">
        <f>'Revenues 9-14'!D5</f>
        <v>941374</v>
      </c>
      <c r="D5328" s="2" t="str">
        <f t="shared" si="82"/>
        <v>Error?</v>
      </c>
    </row>
    <row r="5329" spans="1:4" x14ac:dyDescent="0.2">
      <c r="A5329" s="10">
        <v>5268</v>
      </c>
      <c r="D5329" s="2" t="str">
        <f t="shared" si="82"/>
        <v>OK</v>
      </c>
    </row>
    <row r="5330" spans="1:4" x14ac:dyDescent="0.2">
      <c r="A5330" s="5">
        <v>5269</v>
      </c>
      <c r="B5330" s="138">
        <f>'Revenues 9-14'!D6</f>
        <v>14930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956304</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22343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22343</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85796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645</v>
      </c>
      <c r="D5354" s="2" t="str">
        <f t="shared" si="82"/>
        <v>Error?</v>
      </c>
    </row>
    <row r="5355" spans="1:4" x14ac:dyDescent="0.2">
      <c r="A5355" s="5">
        <v>5294</v>
      </c>
      <c r="B5355" s="138">
        <f>'Revenues 9-14'!D108</f>
        <v>86441</v>
      </c>
      <c r="C5355" s="2" t="s">
        <v>594</v>
      </c>
      <c r="D5355" s="2" t="str">
        <f t="shared" si="82"/>
        <v>Error?</v>
      </c>
    </row>
    <row r="5356" spans="1:4" x14ac:dyDescent="0.2">
      <c r="A5356" s="5">
        <v>5295</v>
      </c>
      <c r="B5356" s="138">
        <f>'Revenues 9-14'!D109</f>
        <v>1065088</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1065088</v>
      </c>
      <c r="C5508" s="2" t="s">
        <v>594</v>
      </c>
      <c r="D5508" s="2" t="str">
        <f t="shared" si="85"/>
        <v>Error?</v>
      </c>
    </row>
    <row r="5509" spans="1:4" x14ac:dyDescent="0.2">
      <c r="A5509" s="5">
        <v>5448</v>
      </c>
      <c r="B5509" s="138">
        <f>'Revenues 9-14'!E5</f>
        <v>1852365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1852365</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5797</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5797</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1858162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1858162</v>
      </c>
      <c r="C5552" s="2" t="s">
        <v>594</v>
      </c>
      <c r="D5552" s="2" t="str">
        <f t="shared" si="85"/>
        <v>Error?</v>
      </c>
    </row>
    <row r="5553" spans="1:4" x14ac:dyDescent="0.2">
      <c r="A5553" s="5">
        <v>5492</v>
      </c>
      <c r="B5553" s="138">
        <f>'Revenues 9-14'!F5</f>
        <v>200756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200756</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7609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7609</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208365</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21989</v>
      </c>
      <c r="D5615" s="2" t="str">
        <f t="shared" si="86"/>
        <v>Error?</v>
      </c>
    </row>
    <row r="5616" spans="1:4" x14ac:dyDescent="0.2">
      <c r="A5616" s="10">
        <v>5555</v>
      </c>
      <c r="D5616" s="2" t="str">
        <f t="shared" si="86"/>
        <v>OK</v>
      </c>
    </row>
    <row r="5617" spans="1:4" x14ac:dyDescent="0.2">
      <c r="A5617" s="5">
        <v>5556</v>
      </c>
      <c r="B5617" s="138">
        <f>'Revenues 9-14'!F152</f>
        <v>180332</v>
      </c>
      <c r="D5617" s="2" t="str">
        <f t="shared" si="86"/>
        <v>Error?</v>
      </c>
    </row>
    <row r="5618" spans="1:4" x14ac:dyDescent="0.2">
      <c r="A5618" s="5">
        <v>5557</v>
      </c>
      <c r="B5618" s="138">
        <f>'Revenues 9-14'!F154</f>
        <v>202321</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202321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202321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410686</v>
      </c>
      <c r="C5720" s="2" t="s">
        <v>594</v>
      </c>
      <c r="D5720" s="2" t="str">
        <f t="shared" si="88"/>
        <v>Error?</v>
      </c>
    </row>
    <row r="5721" spans="1:4" x14ac:dyDescent="0.2">
      <c r="A5721" s="5">
        <v>5660</v>
      </c>
      <c r="B5721" s="138">
        <f>'Revenues 9-14'!G5</f>
        <v>77948</v>
      </c>
      <c r="D5721" s="2" t="str">
        <f t="shared" si="88"/>
        <v>Error?</v>
      </c>
    </row>
    <row r="5722" spans="1:4" x14ac:dyDescent="0.2">
      <c r="A5722" s="5">
        <v>5661</v>
      </c>
      <c r="B5722" s="138">
        <f>'Revenues 9-14'!G7</f>
        <v>0</v>
      </c>
      <c r="D5722" s="2" t="str">
        <f t="shared" si="88"/>
        <v>Error?</v>
      </c>
    </row>
    <row r="5723" spans="1:4" x14ac:dyDescent="0.2">
      <c r="A5723" s="5">
        <v>5662</v>
      </c>
      <c r="B5723" s="138">
        <f>'Revenues 9-14'!G8</f>
        <v>83195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161143</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6800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6800</v>
      </c>
      <c r="C5730" s="2" t="s">
        <v>594</v>
      </c>
      <c r="D5730" s="2" t="str">
        <f t="shared" si="88"/>
        <v>Error?</v>
      </c>
    </row>
    <row r="5731" spans="1:4" x14ac:dyDescent="0.2">
      <c r="A5731" s="5">
        <v>5670</v>
      </c>
      <c r="B5731" s="138">
        <f>'Revenues 9-14'!G65</f>
        <v>5084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5084</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20275</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193302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90428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90428</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12578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12578</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103006</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90428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90428</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2546</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2546</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92974</v>
      </c>
      <c r="C6023" s="2" t="s">
        <v>594</v>
      </c>
      <c r="D6023" s="2" t="str">
        <f t="shared" si="93"/>
        <v>Error?</v>
      </c>
    </row>
    <row r="6024" spans="1:5" x14ac:dyDescent="0.2">
      <c r="A6024" s="5">
        <v>5963</v>
      </c>
      <c r="B6024" s="138">
        <f>'Revenues 9-14'!G109</f>
        <v>193302</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103006</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92974</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135391</v>
      </c>
      <c r="D6031" s="2" t="str">
        <f t="shared" si="93"/>
        <v>Error?</v>
      </c>
    </row>
    <row r="6032" spans="1:5" x14ac:dyDescent="0.2">
      <c r="A6032" s="5">
        <v>5971</v>
      </c>
      <c r="B6032" s="138">
        <f>'Acct Summary 7-8'!G15</f>
        <v>1488</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21553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744.94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147806</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147806</v>
      </c>
      <c r="D6215" s="2" t="str">
        <f t="shared" si="96"/>
        <v>Error?</v>
      </c>
      <c r="E6215" s="2" t="s">
        <v>199</v>
      </c>
    </row>
    <row r="6216" spans="1:5" x14ac:dyDescent="0.2">
      <c r="A6216">
        <v>6155</v>
      </c>
      <c r="B6216" s="138">
        <f>'Assets-Liab 5-6'!J41</f>
        <v>147806</v>
      </c>
      <c r="D6216" s="2" t="str">
        <f t="shared" si="96"/>
        <v>Error?</v>
      </c>
      <c r="E6216" s="2" t="s">
        <v>199</v>
      </c>
    </row>
    <row r="6217" spans="1:5" x14ac:dyDescent="0.2">
      <c r="A6217">
        <v>6156</v>
      </c>
      <c r="B6217" s="138">
        <f>'Assets-Liab 5-6'!J4</f>
        <v>147806</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365313</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365313</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365313</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313604</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313604</v>
      </c>
      <c r="D6229" s="2" t="str">
        <f t="shared" si="96"/>
        <v>Error?</v>
      </c>
      <c r="E6229" s="2" t="s">
        <v>199</v>
      </c>
    </row>
    <row r="6230" spans="1:5" x14ac:dyDescent="0.2">
      <c r="A6230">
        <v>6169</v>
      </c>
      <c r="B6230" s="138">
        <f>'Acct Summary 7-8'!J20</f>
        <v>51709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6300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51709</v>
      </c>
      <c r="D6263" s="2" t="str">
        <f t="shared" si="96"/>
        <v>Error?</v>
      </c>
      <c r="E6263" s="2" t="s">
        <v>199</v>
      </c>
    </row>
    <row r="6264" spans="1:5" x14ac:dyDescent="0.2">
      <c r="A6264">
        <v>6203</v>
      </c>
      <c r="B6264" s="138">
        <f>'Acct Summary 7-8'!J79</f>
        <v>96097</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147806</v>
      </c>
      <c r="D6266" s="2" t="str">
        <f t="shared" si="96"/>
        <v>Error?</v>
      </c>
      <c r="E6266" s="2" t="s">
        <v>199</v>
      </c>
    </row>
    <row r="6267" spans="1:5" x14ac:dyDescent="0.2">
      <c r="A6267">
        <v>6206</v>
      </c>
      <c r="B6267" s="138">
        <f>'Acct Summary 7-8'!C82</f>
        <v>33133</v>
      </c>
      <c r="D6267" s="2" t="str">
        <f t="shared" si="96"/>
        <v>Error?</v>
      </c>
      <c r="E6267" s="2" t="s">
        <v>199</v>
      </c>
    </row>
    <row r="6268" spans="1:5" x14ac:dyDescent="0.2">
      <c r="A6268">
        <v>6207</v>
      </c>
      <c r="B6268" s="138">
        <f>'Acct Summary 7-8'!D82</f>
        <v>-36613</v>
      </c>
      <c r="D6268" s="2" t="str">
        <f t="shared" si="96"/>
        <v>Error?</v>
      </c>
      <c r="E6268" s="2" t="s">
        <v>199</v>
      </c>
    </row>
    <row r="6269" spans="1:5" x14ac:dyDescent="0.2">
      <c r="A6269">
        <v>6208</v>
      </c>
      <c r="B6269" s="138">
        <f>'Acct Summary 7-8'!E82</f>
        <v>17125</v>
      </c>
      <c r="D6269" s="2" t="str">
        <f t="shared" si="96"/>
        <v>Error?</v>
      </c>
      <c r="E6269" s="2" t="s">
        <v>199</v>
      </c>
    </row>
    <row r="6270" spans="1:5" x14ac:dyDescent="0.2">
      <c r="A6270">
        <v>6209</v>
      </c>
      <c r="B6270" s="138">
        <f>'Acct Summary 7-8'!F82</f>
        <v>81502</v>
      </c>
      <c r="D6270" s="2" t="str">
        <f t="shared" si="96"/>
        <v>Error?</v>
      </c>
      <c r="E6270" s="2" t="s">
        <v>199</v>
      </c>
    </row>
    <row r="6271" spans="1:5" x14ac:dyDescent="0.2">
      <c r="A6271">
        <v>6210</v>
      </c>
      <c r="B6271" s="138">
        <f>'Acct Summary 7-8'!G82</f>
        <v>-22261</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76706</v>
      </c>
      <c r="D6273" s="2" t="str">
        <f t="shared" si="97"/>
        <v>Error?</v>
      </c>
      <c r="E6273" s="2" t="s">
        <v>199</v>
      </c>
    </row>
    <row r="6274" spans="1:5" x14ac:dyDescent="0.2">
      <c r="A6274">
        <v>6213</v>
      </c>
      <c r="B6274" s="138">
        <f>'Acct Summary 7-8'!J82</f>
        <v>51709</v>
      </c>
      <c r="D6274" s="2" t="str">
        <f t="shared" si="97"/>
        <v>Error?</v>
      </c>
      <c r="E6274" s="2" t="s">
        <v>199</v>
      </c>
    </row>
    <row r="6275" spans="1:5" x14ac:dyDescent="0.2">
      <c r="A6275">
        <v>6214</v>
      </c>
      <c r="B6275" s="138">
        <f>'Acct Summary 7-8'!K82</f>
        <v>92974</v>
      </c>
      <c r="D6275" s="2" t="str">
        <f t="shared" si="97"/>
        <v>Error?</v>
      </c>
      <c r="E6275" s="2" t="s">
        <v>199</v>
      </c>
    </row>
    <row r="6276" spans="1:5" x14ac:dyDescent="0.2">
      <c r="A6276">
        <v>6215</v>
      </c>
      <c r="B6276" s="138">
        <f>'Acct Summary 7-8'!C83</f>
        <v>0.5908166904422254</v>
      </c>
      <c r="D6276" s="2" t="str">
        <f t="shared" si="97"/>
        <v>Error?</v>
      </c>
      <c r="E6276" s="2" t="s">
        <v>199</v>
      </c>
    </row>
    <row r="6277" spans="1:5" x14ac:dyDescent="0.2">
      <c r="A6277">
        <v>6216</v>
      </c>
      <c r="B6277" s="138">
        <f>'Acct Summary 7-8'!D83</f>
        <v>-2.2834159998153958E-2</v>
      </c>
      <c r="D6277" s="2" t="str">
        <f t="shared" si="97"/>
        <v>Error?</v>
      </c>
      <c r="E6277" s="2" t="s">
        <v>199</v>
      </c>
    </row>
    <row r="6278" spans="1:5" x14ac:dyDescent="0.2">
      <c r="A6278">
        <v>6217</v>
      </c>
      <c r="B6278" s="138">
        <f>'Acct Summary 7-8'!E83</f>
        <v>0.13242037379275148</v>
      </c>
      <c r="D6278" s="2" t="str">
        <f t="shared" si="97"/>
        <v>Error?</v>
      </c>
      <c r="E6278" s="2" t="s">
        <v>199</v>
      </c>
    </row>
    <row r="6279" spans="1:5" x14ac:dyDescent="0.2">
      <c r="A6279">
        <v>6218</v>
      </c>
      <c r="B6279" s="138">
        <f>'Acct Summary 7-8'!F83</f>
        <v>0.15867224763944321</v>
      </c>
      <c r="D6279" s="2" t="str">
        <f t="shared" si="97"/>
        <v>Error?</v>
      </c>
      <c r="E6279" s="2" t="s">
        <v>199</v>
      </c>
    </row>
    <row r="6280" spans="1:5" x14ac:dyDescent="0.2">
      <c r="A6280">
        <v>6219</v>
      </c>
      <c r="B6280" s="138">
        <f>'Acct Summary 7-8'!G83</f>
        <v>-8.2201847058258767E-2</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5.4940655125017814E-2</v>
      </c>
      <c r="D6282" s="2" t="str">
        <f t="shared" si="97"/>
        <v>Error?</v>
      </c>
      <c r="E6282" s="2" t="s">
        <v>199</v>
      </c>
    </row>
    <row r="6283" spans="1:5" x14ac:dyDescent="0.2">
      <c r="A6283">
        <v>6222</v>
      </c>
      <c r="B6283" s="138">
        <f>'Acct Summary 7-8'!J83</f>
        <v>0.34984371405761605</v>
      </c>
      <c r="D6283" s="2" t="str">
        <f t="shared" si="97"/>
        <v>Error?</v>
      </c>
      <c r="E6283" s="2" t="s">
        <v>199</v>
      </c>
    </row>
    <row r="6284" spans="1:5" x14ac:dyDescent="0.2">
      <c r="A6284">
        <v>6223</v>
      </c>
      <c r="B6284" s="138">
        <f>'Acct Summary 7-8'!K83</f>
        <v>0.31830600157485706</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363279</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363279</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2034</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2034</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5969</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365313</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62330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70485</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73606</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54216</v>
      </c>
      <c r="D6880" s="2" t="str">
        <f t="shared" si="106"/>
        <v>Error?</v>
      </c>
    </row>
    <row r="6881" spans="1:4" x14ac:dyDescent="0.2">
      <c r="A6881">
        <v>6820</v>
      </c>
      <c r="B6881" s="138">
        <f>'Expenditures 15-22'!K22</f>
        <v>54216</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70485</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220931</v>
      </c>
      <c r="D6983" s="2" t="str">
        <f t="shared" si="108"/>
        <v>Error?</v>
      </c>
    </row>
    <row r="6984" spans="1:4" x14ac:dyDescent="0.2">
      <c r="A6984">
        <v>6923</v>
      </c>
      <c r="B6984" s="138">
        <f>'Expenditures 15-22'!K86</f>
        <v>220931</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220931</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70485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307592</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365313</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9916</v>
      </c>
      <c r="D7073" s="2" t="str">
        <f t="shared" si="109"/>
        <v>Error?</v>
      </c>
    </row>
    <row r="7074" spans="1:4" x14ac:dyDescent="0.2">
      <c r="A7074">
        <v>7013</v>
      </c>
      <c r="B7074" s="138">
        <f>'Expenditures 15-22'!K216</f>
        <v>9916</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6349</v>
      </c>
      <c r="D7089" s="2" t="str">
        <f t="shared" si="109"/>
        <v>Error?</v>
      </c>
    </row>
    <row r="7090" spans="1:4" x14ac:dyDescent="0.2">
      <c r="A7090">
        <v>7029</v>
      </c>
      <c r="B7090" s="138">
        <f>'Expenditures 15-22'!K252</f>
        <v>6349</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32649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32649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3288</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3288</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36511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36511</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170358</v>
      </c>
      <c r="D7172" s="2" t="str">
        <f t="shared" si="111"/>
        <v>Error?</v>
      </c>
    </row>
    <row r="7173" spans="1:4" x14ac:dyDescent="0.2">
      <c r="A7173">
        <v>7112</v>
      </c>
      <c r="B7173" s="138">
        <f>'Expenditures 15-22'!D325</f>
        <v>18900</v>
      </c>
      <c r="D7173" s="2" t="str">
        <f t="shared" si="111"/>
        <v>Error?</v>
      </c>
    </row>
    <row r="7174" spans="1:4" x14ac:dyDescent="0.2">
      <c r="A7174">
        <v>7113</v>
      </c>
      <c r="B7174" s="138">
        <f>'Expenditures 15-22'!E325</f>
        <v>8009</v>
      </c>
      <c r="D7174" s="2" t="str">
        <f t="shared" si="111"/>
        <v>Error?</v>
      </c>
    </row>
    <row r="7175" spans="1:4" x14ac:dyDescent="0.2">
      <c r="A7175">
        <v>7114</v>
      </c>
      <c r="B7175" s="138">
        <f>'Expenditures 15-22'!F325</f>
        <v>5903</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203170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31974</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31974</v>
      </c>
      <c r="D7198" s="2" t="str">
        <f t="shared" si="111"/>
        <v>Error?</v>
      </c>
    </row>
    <row r="7199" spans="1:4" x14ac:dyDescent="0.2">
      <c r="A7199">
        <v>7138</v>
      </c>
      <c r="B7199" s="138">
        <f>'Expenditures 15-22'!C330</f>
        <v>170358</v>
      </c>
      <c r="D7199" s="2" t="str">
        <f t="shared" si="111"/>
        <v>Error?</v>
      </c>
    </row>
    <row r="7200" spans="1:4" x14ac:dyDescent="0.2">
      <c r="A7200">
        <v>7139</v>
      </c>
      <c r="B7200" s="138">
        <f>'Expenditures 15-22'!D330</f>
        <v>18900</v>
      </c>
      <c r="D7200" s="2" t="str">
        <f t="shared" si="111"/>
        <v>Error?</v>
      </c>
    </row>
    <row r="7201" spans="1:4" x14ac:dyDescent="0.2">
      <c r="A7201">
        <v>7140</v>
      </c>
      <c r="B7201" s="138">
        <f>'Expenditures 15-22'!E330</f>
        <v>112431</v>
      </c>
      <c r="D7201" s="2" t="str">
        <f t="shared" si="111"/>
        <v>Error?</v>
      </c>
    </row>
    <row r="7202" spans="1:4" x14ac:dyDescent="0.2">
      <c r="A7202">
        <v>7141</v>
      </c>
      <c r="B7202" s="138">
        <f>'Expenditures 15-22'!F330</f>
        <v>5903</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307592</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170358</v>
      </c>
      <c r="D7216" s="2" t="str">
        <f t="shared" si="111"/>
        <v>Error?</v>
      </c>
    </row>
    <row r="7217" spans="1:4" x14ac:dyDescent="0.2">
      <c r="A7217">
        <v>7156</v>
      </c>
      <c r="B7217" s="138">
        <f>'Expenditures 15-22'!D342</f>
        <v>18900</v>
      </c>
      <c r="D7217" s="2" t="str">
        <f t="shared" si="111"/>
        <v>Error?</v>
      </c>
    </row>
    <row r="7218" spans="1:4" x14ac:dyDescent="0.2">
      <c r="A7218">
        <v>7157</v>
      </c>
      <c r="B7218" s="138">
        <f>'Expenditures 15-22'!E342</f>
        <v>112431</v>
      </c>
      <c r="D7218" s="2" t="str">
        <f t="shared" si="111"/>
        <v>Error?</v>
      </c>
    </row>
    <row r="7219" spans="1:4" x14ac:dyDescent="0.2">
      <c r="A7219">
        <v>7158</v>
      </c>
      <c r="B7219" s="138">
        <f>'Expenditures 15-22'!F342</f>
        <v>5903</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6012</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313604</v>
      </c>
      <c r="D7224" s="2" t="str">
        <f t="shared" si="111"/>
        <v>Error?</v>
      </c>
    </row>
    <row r="7225" spans="1:4" x14ac:dyDescent="0.2">
      <c r="A7225">
        <v>7164</v>
      </c>
      <c r="B7225" s="138">
        <f>'Expenditures 15-22'!K343</f>
        <v>51709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8769</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2507</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70485</v>
      </c>
      <c r="D7624" s="2" t="str">
        <f t="shared" si="124"/>
        <v>Error?</v>
      </c>
      <c r="E7624" s="2" t="s">
        <v>19</v>
      </c>
    </row>
    <row r="7625" spans="1:5" x14ac:dyDescent="0.2">
      <c r="A7625">
        <f t="shared" si="123"/>
        <v>7564</v>
      </c>
      <c r="B7625" s="138">
        <f>'Cap Outlay Deprec 26'!I17</f>
        <v>7048.5</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506901.5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20275</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36175</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350000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6012</v>
      </c>
      <c r="D7787" s="2" t="str">
        <f t="shared" si="127"/>
        <v>Error?</v>
      </c>
      <c r="E7787" s="4" t="s">
        <v>1966</v>
      </c>
    </row>
    <row r="7788" spans="1:5" x14ac:dyDescent="0.2">
      <c r="A7788">
        <v>7727</v>
      </c>
      <c r="B7788" s="138">
        <f>'Expenditures 15-22'!K333</f>
        <v>6012</v>
      </c>
      <c r="D7788" s="2" t="str">
        <f t="shared" si="127"/>
        <v>Error?</v>
      </c>
      <c r="E7788" s="4" t="s">
        <v>1966</v>
      </c>
    </row>
    <row r="7789" spans="1:5" x14ac:dyDescent="0.2">
      <c r="A7789">
        <v>7728</v>
      </c>
      <c r="B7789" s="138">
        <f>'Expenditures 15-22'!H334</f>
        <v>6012</v>
      </c>
      <c r="D7789" s="2" t="str">
        <f t="shared" si="127"/>
        <v>Error?</v>
      </c>
      <c r="E7789" s="4" t="s">
        <v>1966</v>
      </c>
    </row>
    <row r="7790" spans="1:5" x14ac:dyDescent="0.2">
      <c r="A7790">
        <v>7729</v>
      </c>
      <c r="B7790" s="138">
        <f>'Expenditures 15-22'!K334</f>
        <v>6012</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6012</v>
      </c>
      <c r="D7796" s="2" t="str">
        <f t="shared" si="127"/>
        <v>Error?</v>
      </c>
      <c r="E7796" s="4" t="s">
        <v>1966</v>
      </c>
    </row>
    <row r="7797" spans="1:5" x14ac:dyDescent="0.2">
      <c r="A7797">
        <v>7736</v>
      </c>
      <c r="B7797" s="138">
        <f>'Contracts Paid in CY 29'!D141</f>
        <v>190254</v>
      </c>
      <c r="D7797" s="2" t="str">
        <f t="shared" si="127"/>
        <v>Error?</v>
      </c>
      <c r="E7797" s="4" t="s">
        <v>2019</v>
      </c>
    </row>
    <row r="7798" spans="1:5" x14ac:dyDescent="0.2">
      <c r="A7798">
        <v>7737</v>
      </c>
      <c r="B7798" s="138">
        <f>'Contracts Paid in CY 29'!F141</f>
        <v>35076</v>
      </c>
      <c r="D7798" s="2" t="str">
        <f t="shared" si="127"/>
        <v>Error?</v>
      </c>
      <c r="E7798" s="4" t="s">
        <v>2019</v>
      </c>
    </row>
    <row r="7799" spans="1:5" x14ac:dyDescent="0.2">
      <c r="A7799">
        <v>7738</v>
      </c>
      <c r="B7799" s="138">
        <f>'Contracts Paid in CY 29'!G141</f>
        <v>155178</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2" t="s">
        <v>1253</v>
      </c>
      <c r="B2" s="2422"/>
      <c r="C2" s="2422"/>
      <c r="D2" s="2422"/>
      <c r="E2" s="2422"/>
      <c r="F2" s="2422"/>
      <c r="G2" s="2422"/>
      <c r="H2" s="2422"/>
      <c r="I2" s="2422"/>
      <c r="J2" s="2422"/>
      <c r="K2" s="2422"/>
      <c r="L2" s="2422"/>
    </row>
    <row r="3" spans="1:29" ht="13.5" customHeight="1" x14ac:dyDescent="0.2">
      <c r="A3" s="2408" t="s">
        <v>1252</v>
      </c>
      <c r="B3" s="2408"/>
      <c r="C3" s="2408"/>
      <c r="D3" s="2408"/>
      <c r="E3" s="2408"/>
      <c r="F3" s="2408"/>
      <c r="G3" s="2408"/>
      <c r="H3" s="2408"/>
      <c r="I3" s="2408"/>
      <c r="J3" s="2408"/>
      <c r="K3" s="2408"/>
      <c r="L3" s="2408"/>
    </row>
    <row r="4" spans="1:29" ht="13.5" customHeight="1" x14ac:dyDescent="0.2">
      <c r="A4" s="2422" t="s">
        <v>1799</v>
      </c>
      <c r="B4" s="2439"/>
      <c r="C4" s="2439"/>
      <c r="D4" s="2439"/>
      <c r="E4" s="2439"/>
      <c r="F4" s="2439"/>
      <c r="G4" s="2439"/>
      <c r="H4" s="2439"/>
      <c r="I4" s="2439"/>
      <c r="J4" s="2439"/>
      <c r="K4" s="2439"/>
      <c r="L4" s="2439"/>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2" t="str">
        <f>COVER!A17</f>
        <v>Wolf Branch SD 113</v>
      </c>
      <c r="B7" s="2403"/>
      <c r="C7" s="2403"/>
      <c r="D7" s="2440"/>
      <c r="E7" s="2441">
        <f>COVER!A13</f>
        <v>50082113002</v>
      </c>
      <c r="F7" s="2442"/>
      <c r="G7" s="2409" t="str">
        <f>COVER!T23</f>
        <v>066-005248</v>
      </c>
      <c r="H7" s="2410"/>
      <c r="I7" s="2410"/>
      <c r="J7" s="2410"/>
      <c r="K7" s="2410"/>
      <c r="L7" s="2411"/>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2"/>
      <c r="B9" s="2413"/>
      <c r="C9" s="2413"/>
      <c r="D9" s="2413"/>
      <c r="E9" s="2413"/>
      <c r="F9" s="2414"/>
      <c r="G9" s="2415" t="str">
        <f>COVER!T13</f>
        <v>Moore &amp; Simonin, PC</v>
      </c>
      <c r="H9" s="2416"/>
      <c r="I9" s="2416"/>
      <c r="J9" s="2416"/>
      <c r="K9" s="2416"/>
      <c r="L9" s="2417"/>
    </row>
    <row r="10" spans="1:29" ht="13.5" customHeight="1" x14ac:dyDescent="0.2">
      <c r="A10" s="2399">
        <f>COVER!A38</f>
        <v>0</v>
      </c>
      <c r="B10" s="2400"/>
      <c r="C10" s="2400"/>
      <c r="D10" s="2400"/>
      <c r="E10" s="2400"/>
      <c r="F10" s="2401"/>
      <c r="G10" s="2415" t="str">
        <f>COVER!T17</f>
        <v>3636 North Belt West</v>
      </c>
      <c r="H10" s="2428"/>
      <c r="I10" s="2428"/>
      <c r="J10" s="2428"/>
      <c r="K10" s="2428"/>
      <c r="L10" s="2429"/>
    </row>
    <row r="11" spans="1:29" ht="13.5" customHeight="1" x14ac:dyDescent="0.2">
      <c r="A11" s="1185" t="s">
        <v>1599</v>
      </c>
      <c r="B11" s="1186"/>
      <c r="C11" s="1187"/>
      <c r="D11" s="1192"/>
      <c r="E11" s="1187"/>
      <c r="F11" s="1191"/>
      <c r="G11" s="2415" t="str">
        <f>COVER!T19</f>
        <v>Belleville</v>
      </c>
      <c r="H11" s="2428"/>
      <c r="I11" s="2428"/>
      <c r="J11" s="2428"/>
      <c r="K11" s="2428"/>
      <c r="L11" s="2429"/>
    </row>
    <row r="12" spans="1:29" ht="13.5" customHeight="1" x14ac:dyDescent="0.2">
      <c r="A12" s="2433" t="s">
        <v>1598</v>
      </c>
      <c r="B12" s="2434"/>
      <c r="C12" s="2434"/>
      <c r="D12" s="2434"/>
      <c r="E12" s="2434"/>
      <c r="F12" s="2435"/>
      <c r="G12" s="2430"/>
      <c r="H12" s="2431"/>
      <c r="I12" s="2431"/>
      <c r="J12" s="2431"/>
      <c r="K12" s="2431"/>
      <c r="L12" s="2432"/>
    </row>
    <row r="13" spans="1:29" ht="13.5" customHeight="1" x14ac:dyDescent="0.2">
      <c r="A13" s="2415"/>
      <c r="B13" s="2428"/>
      <c r="C13" s="2428"/>
      <c r="D13" s="2428"/>
      <c r="E13" s="2428"/>
      <c r="F13" s="2429"/>
      <c r="G13" s="2423" t="s">
        <v>1600</v>
      </c>
      <c r="H13" s="2424"/>
      <c r="I13" s="2436" t="str">
        <f>COVER!T25</f>
        <v>mooresimonin@mrsaccountants.com</v>
      </c>
      <c r="J13" s="2437"/>
      <c r="K13" s="2437"/>
      <c r="L13" s="2438"/>
    </row>
    <row r="14" spans="1:29" ht="13.5" customHeight="1" x14ac:dyDescent="0.2">
      <c r="A14" s="2415" t="str">
        <f>COVER!A19</f>
        <v>410 Huntwood Drive</v>
      </c>
      <c r="B14" s="2428"/>
      <c r="C14" s="2428"/>
      <c r="D14" s="2428"/>
      <c r="E14" s="2428"/>
      <c r="F14" s="2429"/>
      <c r="G14" s="1196" t="s">
        <v>1247</v>
      </c>
      <c r="H14" s="1194"/>
      <c r="I14" s="1194"/>
      <c r="J14" s="1194"/>
      <c r="K14" s="1194"/>
      <c r="L14" s="1195"/>
    </row>
    <row r="15" spans="1:29" ht="13.5" customHeight="1" x14ac:dyDescent="0.2">
      <c r="A15" s="2415" t="str">
        <f>COVER!A21</f>
        <v>Swansea</v>
      </c>
      <c r="B15" s="2428"/>
      <c r="C15" s="2428"/>
      <c r="D15" s="2428"/>
      <c r="E15" s="2428"/>
      <c r="F15" s="2429"/>
      <c r="G15" s="2425" t="str">
        <f>COVER!T15</f>
        <v>Robert E. Moore, CPA</v>
      </c>
      <c r="H15" s="2426"/>
      <c r="I15" s="2426"/>
      <c r="J15" s="2426"/>
      <c r="K15" s="2426"/>
      <c r="L15" s="2427"/>
    </row>
    <row r="16" spans="1:29" ht="12.2" customHeight="1" x14ac:dyDescent="0.2">
      <c r="A16" s="2405">
        <f>COVER!A25</f>
        <v>62226</v>
      </c>
      <c r="B16" s="2406"/>
      <c r="C16" s="2406"/>
      <c r="D16" s="2406"/>
      <c r="E16" s="2406"/>
      <c r="F16" s="2407"/>
      <c r="G16" s="2418"/>
      <c r="H16" s="2419"/>
      <c r="I16" s="2419"/>
      <c r="J16" s="2419"/>
      <c r="K16" s="2419"/>
      <c r="L16" s="2420"/>
    </row>
    <row r="17" spans="1:13" ht="12.2" customHeight="1" x14ac:dyDescent="0.2">
      <c r="A17" s="2421"/>
      <c r="B17" s="2406"/>
      <c r="C17" s="2406"/>
      <c r="D17" s="2406"/>
      <c r="E17" s="2406"/>
      <c r="F17" s="2407"/>
      <c r="G17" s="1196" t="s">
        <v>1246</v>
      </c>
      <c r="H17" s="1194"/>
      <c r="I17" s="1194"/>
      <c r="J17" s="1194"/>
      <c r="K17" s="1198" t="s">
        <v>1245</v>
      </c>
      <c r="L17" s="1191"/>
      <c r="M17" s="1184"/>
    </row>
    <row r="18" spans="1:13" ht="12.2" customHeight="1" x14ac:dyDescent="0.2">
      <c r="A18" s="2399"/>
      <c r="B18" s="2400"/>
      <c r="C18" s="2400"/>
      <c r="D18" s="2400"/>
      <c r="E18" s="2400"/>
      <c r="F18" s="2401"/>
      <c r="G18" s="2402" t="str">
        <f>COVER!T21</f>
        <v>618-233-5049</v>
      </c>
      <c r="H18" s="2403"/>
      <c r="I18" s="2403"/>
      <c r="J18" s="2403"/>
      <c r="K18" s="2402" t="str">
        <f>COVER!X21</f>
        <v>618-233-1061</v>
      </c>
      <c r="L18" s="2404"/>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3" t="str">
        <f>'Single Audit Cover'!A7</f>
        <v>Wolf Branch SD 113</v>
      </c>
      <c r="B1" s="2439"/>
      <c r="C1" s="2439"/>
      <c r="D1" s="2439"/>
    </row>
    <row r="2" spans="1:11" s="1215" customFormat="1" ht="12.75" x14ac:dyDescent="0.2">
      <c r="A2" s="2444">
        <f>'Single Audit Cover'!E7</f>
        <v>50082113002</v>
      </c>
      <c r="B2" s="2445"/>
      <c r="C2" s="2445"/>
      <c r="D2" s="2445"/>
    </row>
    <row r="3" spans="1:11" s="1215" customFormat="1" ht="12.75" x14ac:dyDescent="0.2">
      <c r="A3" s="2443" t="s">
        <v>1593</v>
      </c>
      <c r="B3" s="2439"/>
      <c r="C3" s="2439"/>
      <c r="D3" s="2439"/>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7"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13"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Wolf Branch SD 113</v>
      </c>
      <c r="B1" s="2447"/>
      <c r="C1" s="2447"/>
      <c r="D1" s="2447"/>
      <c r="E1" s="2447"/>
    </row>
    <row r="2" spans="1:5" x14ac:dyDescent="0.2">
      <c r="A2" s="2448">
        <f>'Single Audit Cover'!E7</f>
        <v>50082113002</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328675</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21553</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-26866</v>
      </c>
    </row>
    <row r="19" spans="1:4" ht="13.5" thickBot="1" x14ac:dyDescent="0.25">
      <c r="A19" s="1265" t="s">
        <v>1297</v>
      </c>
      <c r="D19" s="1266">
        <f>SUM(D10:D17)</f>
        <v>323362</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323362</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323362</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2" t="str">
        <f>'Single Audit Cover'!A7</f>
        <v>Wolf Branch SD 113</v>
      </c>
      <c r="B1" s="2452"/>
      <c r="C1" s="2452"/>
      <c r="D1" s="2452"/>
      <c r="E1" s="2452"/>
      <c r="F1" s="2452"/>
    </row>
    <row r="2" spans="1:7" ht="13.5" customHeight="1" x14ac:dyDescent="0.2">
      <c r="A2" s="2453">
        <f>'Single Audit Cover'!E7</f>
        <v>50082113002</v>
      </c>
      <c r="B2" s="2453"/>
      <c r="C2" s="2453"/>
      <c r="D2" s="2453"/>
      <c r="E2" s="2453"/>
      <c r="F2" s="2453"/>
      <c r="G2" s="1275"/>
    </row>
    <row r="3" spans="1:7" ht="15.75" customHeight="1" x14ac:dyDescent="0.2">
      <c r="A3" s="2454" t="s">
        <v>1333</v>
      </c>
      <c r="B3" s="2454"/>
      <c r="C3" s="2454"/>
      <c r="D3" s="2454"/>
      <c r="E3" s="2454"/>
      <c r="F3" s="2454"/>
    </row>
    <row r="4" spans="1:7" ht="13.5" customHeight="1" x14ac:dyDescent="0.2">
      <c r="A4" s="2455" t="str">
        <f>'Single Audit Cover'!A4</f>
        <v>Year Ending June 30, 2018</v>
      </c>
      <c r="B4" s="2455"/>
      <c r="C4" s="2455"/>
      <c r="D4" s="2455"/>
      <c r="E4" s="2455"/>
      <c r="F4" s="2455"/>
    </row>
    <row r="5" spans="1:7" ht="8.25" customHeight="1" x14ac:dyDescent="0.2">
      <c r="C5" s="317"/>
      <c r="D5" s="317"/>
    </row>
    <row r="6" spans="1:7" ht="13.5" customHeight="1" x14ac:dyDescent="0.2">
      <c r="A6" s="1276" t="s">
        <v>1831</v>
      </c>
      <c r="C6" s="317"/>
      <c r="D6" s="317"/>
    </row>
    <row r="7" spans="1:7" ht="60.95" customHeight="1" x14ac:dyDescent="0.2">
      <c r="A7" s="2451" t="s">
        <v>1832</v>
      </c>
      <c r="B7" s="2451"/>
      <c r="C7" s="2451"/>
      <c r="D7" s="2451"/>
      <c r="E7" s="2451"/>
      <c r="F7" s="2451"/>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1" t="s">
        <v>1834</v>
      </c>
      <c r="B13" s="2451"/>
      <c r="C13" s="2451"/>
      <c r="D13" s="2451"/>
      <c r="E13" s="2451"/>
      <c r="F13" s="2451"/>
    </row>
    <row r="14" spans="1:7" ht="9.75" customHeight="1" x14ac:dyDescent="0.2">
      <c r="C14" s="1260"/>
      <c r="D14" s="1260"/>
    </row>
    <row r="15" spans="1:7" ht="13.5" customHeight="1" x14ac:dyDescent="0.2">
      <c r="C15" s="1871" t="s">
        <v>1332</v>
      </c>
      <c r="D15" s="2457" t="s">
        <v>1331</v>
      </c>
      <c r="E15" s="2457"/>
      <c r="F15" s="2457"/>
    </row>
    <row r="16" spans="1:7" ht="13.5" customHeight="1" x14ac:dyDescent="0.2">
      <c r="A16" s="1282"/>
      <c r="B16" s="1276" t="s">
        <v>1330</v>
      </c>
      <c r="C16" s="1871" t="s">
        <v>1329</v>
      </c>
      <c r="D16" s="2458" t="s">
        <v>1670</v>
      </c>
      <c r="E16" s="2458"/>
      <c r="F16" s="2458"/>
    </row>
    <row r="17" spans="1:6" ht="20.45" customHeight="1" x14ac:dyDescent="0.2">
      <c r="A17" s="1283"/>
      <c r="B17" s="1284"/>
      <c r="C17" s="1285"/>
      <c r="D17" s="2456"/>
      <c r="E17" s="2456"/>
      <c r="F17" s="2456"/>
    </row>
    <row r="18" spans="1:6" ht="20.65" customHeight="1" x14ac:dyDescent="0.2">
      <c r="A18" s="1283"/>
      <c r="B18" s="1284"/>
      <c r="C18" s="1285"/>
      <c r="D18" s="2456"/>
      <c r="E18" s="2456"/>
      <c r="F18" s="2456"/>
    </row>
    <row r="19" spans="1:6" ht="20.65" customHeight="1" x14ac:dyDescent="0.2">
      <c r="A19" s="1283"/>
      <c r="B19" s="1284"/>
      <c r="C19" s="1285"/>
      <c r="D19" s="2456"/>
      <c r="E19" s="2456"/>
      <c r="F19" s="2456"/>
    </row>
    <row r="20" spans="1:6" ht="20.65" customHeight="1" x14ac:dyDescent="0.2">
      <c r="A20" s="1283"/>
      <c r="B20" s="1284"/>
      <c r="C20" s="1285"/>
      <c r="D20" s="2456"/>
      <c r="E20" s="2456"/>
      <c r="F20" s="2456"/>
    </row>
    <row r="21" spans="1:6" ht="20.65" customHeight="1" x14ac:dyDescent="0.2">
      <c r="A21" s="1283"/>
      <c r="B21" s="1284"/>
      <c r="C21" s="1285"/>
      <c r="D21" s="2456"/>
      <c r="E21" s="2456"/>
      <c r="F21" s="2456"/>
    </row>
    <row r="22" spans="1:6" ht="20.65" customHeight="1" x14ac:dyDescent="0.2">
      <c r="A22" s="1283"/>
      <c r="B22" s="1284"/>
      <c r="C22" s="1285"/>
      <c r="D22" s="2456"/>
      <c r="E22" s="2456"/>
      <c r="F22" s="2456"/>
    </row>
    <row r="23" spans="1:6" ht="20.65" customHeight="1" x14ac:dyDescent="0.2">
      <c r="A23" s="1283"/>
      <c r="B23" s="1284"/>
      <c r="C23" s="1285"/>
      <c r="D23" s="2456"/>
      <c r="E23" s="2456"/>
      <c r="F23" s="2456"/>
    </row>
    <row r="24" spans="1:6" ht="20.65" customHeight="1" x14ac:dyDescent="0.2">
      <c r="A24" s="1283"/>
      <c r="B24" s="1284"/>
      <c r="C24" s="1285"/>
      <c r="D24" s="2456"/>
      <c r="E24" s="2456"/>
      <c r="F24" s="2456"/>
    </row>
    <row r="25" spans="1:6" ht="20.65" customHeight="1" x14ac:dyDescent="0.2">
      <c r="A25" s="1283"/>
      <c r="B25" s="1284"/>
      <c r="C25" s="1285"/>
      <c r="D25" s="2456"/>
      <c r="E25" s="2456"/>
      <c r="F25" s="2456"/>
    </row>
    <row r="26" spans="1:6" ht="20.65" customHeight="1" x14ac:dyDescent="0.2">
      <c r="A26" s="1283"/>
      <c r="B26" s="1284"/>
      <c r="C26" s="1285"/>
      <c r="D26" s="2456"/>
      <c r="E26" s="2456"/>
      <c r="F26" s="2456"/>
    </row>
    <row r="27" spans="1:6" ht="20.65" customHeight="1" x14ac:dyDescent="0.2">
      <c r="A27" s="1283"/>
      <c r="B27" s="1284"/>
      <c r="C27" s="1285"/>
      <c r="D27" s="2456"/>
      <c r="E27" s="2456"/>
      <c r="F27" s="2456"/>
    </row>
    <row r="28" spans="1:6" ht="20.65" customHeight="1" x14ac:dyDescent="0.2">
      <c r="A28" s="1283"/>
      <c r="B28" s="1284"/>
      <c r="C28" s="1285"/>
      <c r="D28" s="2456"/>
      <c r="E28" s="2456"/>
      <c r="F28" s="2456"/>
    </row>
    <row r="29" spans="1:6" ht="20.65" customHeight="1" x14ac:dyDescent="0.2">
      <c r="A29" s="1283"/>
      <c r="B29" s="1284"/>
      <c r="C29" s="1285"/>
      <c r="D29" s="2456"/>
      <c r="E29" s="2456"/>
      <c r="F29" s="2456"/>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60" t="s">
        <v>1835</v>
      </c>
      <c r="B32" s="2460"/>
      <c r="C32" s="2460"/>
      <c r="D32" s="2460"/>
      <c r="E32" s="2460"/>
      <c r="F32" s="2460"/>
    </row>
    <row r="33" spans="1:6" ht="13.5" customHeight="1" x14ac:dyDescent="0.2">
      <c r="A33" s="328" t="s">
        <v>1509</v>
      </c>
      <c r="B33" s="328"/>
      <c r="C33" s="1288">
        <v>0</v>
      </c>
      <c r="D33" s="1928"/>
      <c r="E33" s="1286"/>
    </row>
    <row r="34" spans="1:6" ht="13.5" customHeight="1" x14ac:dyDescent="0.2">
      <c r="A34" s="328" t="s">
        <v>1948</v>
      </c>
      <c r="B34" s="328"/>
      <c r="C34" s="1289">
        <v>0</v>
      </c>
      <c r="D34" s="1928" t="s">
        <v>1671</v>
      </c>
      <c r="E34" s="2461">
        <f>+C33+C34</f>
        <v>0</v>
      </c>
      <c r="F34" s="2462"/>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3" t="s">
        <v>1672</v>
      </c>
      <c r="C49" s="2463"/>
      <c r="D49" s="2463"/>
      <c r="E49" s="1399"/>
    </row>
    <row r="50" spans="1:5" s="1300" customFormat="1" ht="3.75" customHeight="1" x14ac:dyDescent="0.2">
      <c r="A50" s="1299"/>
      <c r="B50" s="1870"/>
      <c r="C50" s="1870"/>
      <c r="D50" s="1870"/>
      <c r="E50" s="1399"/>
    </row>
    <row r="51" spans="1:5" s="1300" customFormat="1" ht="20.25" customHeight="1" x14ac:dyDescent="0.2">
      <c r="A51" s="1301">
        <v>6</v>
      </c>
      <c r="B51" s="2459" t="s">
        <v>1632</v>
      </c>
      <c r="C51" s="2459"/>
      <c r="D51" s="2459"/>
    </row>
    <row r="52" spans="1:5" ht="14.25" customHeight="1" x14ac:dyDescent="0.2">
      <c r="A52" s="1301"/>
      <c r="B52" s="2459"/>
      <c r="C52" s="2459"/>
      <c r="D52" s="245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8" t="str">
        <f>'Single Audit Cover'!A7</f>
        <v>Wolf Branch SD 113</v>
      </c>
      <c r="C1" s="2464"/>
      <c r="D1" s="2464"/>
      <c r="E1" s="2464"/>
      <c r="F1" s="2464"/>
      <c r="G1" s="2464"/>
      <c r="H1" s="2464"/>
      <c r="I1" s="2464"/>
      <c r="J1" s="2464"/>
      <c r="K1" s="2464"/>
      <c r="L1" s="2464"/>
      <c r="M1" s="2464"/>
    </row>
    <row r="2" spans="2:14" ht="15" x14ac:dyDescent="0.2">
      <c r="B2" s="2453">
        <f>'Single Audit Cover'!E7</f>
        <v>50082113002</v>
      </c>
      <c r="C2" s="2453"/>
      <c r="D2" s="2453"/>
      <c r="E2" s="2453"/>
      <c r="F2" s="2453"/>
      <c r="G2" s="2453"/>
      <c r="H2" s="2453"/>
      <c r="I2" s="2453"/>
      <c r="J2" s="2453"/>
      <c r="K2" s="2453"/>
      <c r="L2" s="2453"/>
      <c r="M2" s="2453"/>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8" colorId="8" zoomScale="110" zoomScaleNormal="110" workbookViewId="0">
      <selection activeCell="A8" sqref="A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2078</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1" t="str">
        <f>'Single Audit Cover'!A7</f>
        <v>Wolf Branch SD 113</v>
      </c>
      <c r="C1" s="2472"/>
      <c r="D1" s="2472"/>
      <c r="E1" s="2472"/>
      <c r="F1" s="2472"/>
      <c r="G1" s="2472"/>
      <c r="H1" s="2472"/>
      <c r="I1" s="2472"/>
      <c r="J1" s="1422"/>
    </row>
    <row r="2" spans="2:10" s="317" customFormat="1" ht="12.75" customHeight="1" x14ac:dyDescent="0.2">
      <c r="B2" s="2473">
        <f>'Single Audit Cover'!E7</f>
        <v>50082113002</v>
      </c>
      <c r="C2" s="2474"/>
      <c r="D2" s="2474"/>
      <c r="E2" s="2474"/>
      <c r="F2" s="2474"/>
      <c r="G2" s="2474"/>
      <c r="H2" s="2474"/>
      <c r="I2" s="2474"/>
      <c r="J2" s="1422"/>
    </row>
    <row r="3" spans="2:10" s="317" customFormat="1" ht="12.75" customHeight="1" x14ac:dyDescent="0.2">
      <c r="B3" s="2475" t="s">
        <v>1347</v>
      </c>
      <c r="C3" s="2476"/>
      <c r="D3" s="2476"/>
      <c r="E3" s="2476"/>
      <c r="F3" s="2476"/>
      <c r="G3" s="2476"/>
      <c r="H3" s="2476"/>
      <c r="I3" s="2476"/>
      <c r="J3" s="1423"/>
    </row>
    <row r="4" spans="2:10" s="317" customFormat="1" ht="12.75" customHeight="1" x14ac:dyDescent="0.2">
      <c r="B4" s="2475" t="str">
        <f>'Single Audit Cover'!A4</f>
        <v>Year Ending June 30, 2018</v>
      </c>
      <c r="C4" s="2476"/>
      <c r="D4" s="2476"/>
      <c r="E4" s="2476"/>
      <c r="F4" s="2476"/>
      <c r="G4" s="2476"/>
      <c r="H4" s="2476"/>
      <c r="I4" s="2476"/>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5" t="s">
        <v>1346</v>
      </c>
      <c r="C7" s="2476"/>
      <c r="D7" s="2476"/>
      <c r="E7" s="2476"/>
      <c r="F7" s="2476"/>
      <c r="G7" s="2476"/>
      <c r="H7" s="2476"/>
      <c r="I7" s="2476"/>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7"/>
      <c r="D11" s="2477"/>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8"/>
      <c r="E29" s="2478"/>
      <c r="F29" s="2478"/>
      <c r="G29" s="2478"/>
      <c r="H29" s="2478"/>
      <c r="I29" s="2478"/>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9" t="s">
        <v>1854</v>
      </c>
      <c r="D37" s="2480"/>
      <c r="E37" s="2480"/>
      <c r="F37" s="2481"/>
      <c r="G37" s="2479" t="s">
        <v>1674</v>
      </c>
      <c r="H37" s="2480"/>
      <c r="I37" s="2481"/>
    </row>
    <row r="38" spans="2:9" ht="16.5" customHeight="1" x14ac:dyDescent="0.2">
      <c r="B38" s="1444"/>
      <c r="C38" s="2467"/>
      <c r="D38" s="2468"/>
      <c r="E38" s="2468"/>
      <c r="F38" s="2469"/>
      <c r="G38" s="2482"/>
      <c r="H38" s="2483"/>
      <c r="I38" s="2484"/>
    </row>
    <row r="39" spans="2:9" ht="16.5" customHeight="1" x14ac:dyDescent="0.2">
      <c r="B39" s="1444"/>
      <c r="C39" s="2467"/>
      <c r="D39" s="2468"/>
      <c r="E39" s="2468"/>
      <c r="F39" s="2469"/>
      <c r="G39" s="2470"/>
      <c r="H39" s="2470"/>
      <c r="I39" s="2470"/>
    </row>
    <row r="40" spans="2:9" ht="16.5" customHeight="1" x14ac:dyDescent="0.2">
      <c r="B40" s="1444"/>
      <c r="C40" s="2467"/>
      <c r="D40" s="2468"/>
      <c r="E40" s="2468"/>
      <c r="F40" s="2469"/>
      <c r="G40" s="2470"/>
      <c r="H40" s="2470"/>
      <c r="I40" s="2470"/>
    </row>
    <row r="41" spans="2:9" ht="16.5" customHeight="1" x14ac:dyDescent="0.2">
      <c r="B41" s="1444"/>
      <c r="C41" s="2467"/>
      <c r="D41" s="2468"/>
      <c r="E41" s="2468"/>
      <c r="F41" s="2469"/>
      <c r="G41" s="2470"/>
      <c r="H41" s="2470"/>
      <c r="I41" s="2470"/>
    </row>
    <row r="42" spans="2:9" ht="16.5" customHeight="1" x14ac:dyDescent="0.2">
      <c r="B42" s="1444"/>
      <c r="C42" s="2467"/>
      <c r="D42" s="2468"/>
      <c r="E42" s="2468"/>
      <c r="F42" s="2469"/>
      <c r="G42" s="2470"/>
      <c r="H42" s="2470"/>
      <c r="I42" s="2470"/>
    </row>
    <row r="43" spans="2:9" ht="16.5" customHeight="1" x14ac:dyDescent="0.2">
      <c r="B43" s="1444"/>
      <c r="C43" s="2485" t="s">
        <v>1675</v>
      </c>
      <c r="D43" s="2486"/>
      <c r="E43" s="2486"/>
      <c r="F43" s="2487"/>
      <c r="G43" s="2488">
        <f>SUM(G38:I42)</f>
        <v>0</v>
      </c>
      <c r="H43" s="2488"/>
      <c r="I43" s="2488"/>
    </row>
    <row r="44" spans="2:9" ht="12.75" customHeight="1" x14ac:dyDescent="0.2"/>
    <row r="45" spans="2:9" ht="12.75" customHeight="1" x14ac:dyDescent="0.2">
      <c r="B45" s="1435" t="s">
        <v>1951</v>
      </c>
      <c r="D45" s="2489">
        <v>0</v>
      </c>
      <c r="E45" s="2490"/>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91"/>
      <c r="F49" s="2491"/>
      <c r="G49" s="2491"/>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8" zoomScale="110" zoomScaleNormal="110" workbookViewId="0">
      <selection activeCell="D10" sqref="D1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1" t="str">
        <f>'Single Audit Cover'!A7</f>
        <v>Wolf Branch SD 113</v>
      </c>
      <c r="C1" s="2471"/>
      <c r="D1" s="2471"/>
      <c r="E1" s="2471"/>
      <c r="F1" s="2471"/>
      <c r="G1" s="2471"/>
      <c r="H1" s="2471"/>
      <c r="I1" s="2471"/>
      <c r="J1" s="2471"/>
      <c r="K1" s="2471"/>
      <c r="L1" s="1374"/>
      <c r="M1" s="1374"/>
    </row>
    <row r="2" spans="1:13" ht="12" customHeight="1" x14ac:dyDescent="0.2">
      <c r="B2" s="2473">
        <f>'Single Audit Cover'!E7</f>
        <v>50082113002</v>
      </c>
      <c r="C2" s="2473"/>
      <c r="D2" s="2473"/>
      <c r="E2" s="2473"/>
      <c r="F2" s="2473"/>
      <c r="G2" s="2473"/>
      <c r="H2" s="2473"/>
      <c r="I2" s="2473"/>
      <c r="J2" s="2473"/>
      <c r="K2" s="2473"/>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v>1</v>
      </c>
      <c r="E10" s="322"/>
      <c r="F10" s="1387" t="s">
        <v>1362</v>
      </c>
      <c r="G10" s="1388"/>
      <c r="H10" s="1389" t="s">
        <v>1361</v>
      </c>
      <c r="I10" s="1388" t="s">
        <v>2077</v>
      </c>
      <c r="J10" s="1390" t="s">
        <v>1360</v>
      </c>
      <c r="K10" s="322"/>
      <c r="L10" s="1381"/>
    </row>
    <row r="11" spans="1:13" ht="13.5" customHeight="1" x14ac:dyDescent="0.2">
      <c r="B11" s="322"/>
      <c r="C11" s="322"/>
      <c r="D11" s="322"/>
      <c r="E11" s="322"/>
      <c r="F11" s="322"/>
      <c r="G11" s="1383"/>
      <c r="H11" s="322"/>
      <c r="I11" s="1391" t="s">
        <v>1359</v>
      </c>
      <c r="J11" s="322"/>
      <c r="K11" s="1392">
        <v>2015</v>
      </c>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t="s">
        <v>2106</v>
      </c>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t="s">
        <v>2107</v>
      </c>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7" t="s">
        <v>2108</v>
      </c>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t="s">
        <v>2109</v>
      </c>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t="s">
        <v>2110</v>
      </c>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t="s">
        <v>2111</v>
      </c>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2" t="s">
        <v>2112</v>
      </c>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8" t="str">
        <f>'Single Audit Cover'!A7</f>
        <v>Wolf Branch SD 113</v>
      </c>
      <c r="C1" s="2498"/>
      <c r="D1" s="2498"/>
      <c r="E1" s="2498"/>
      <c r="F1" s="2498"/>
      <c r="G1" s="2498"/>
      <c r="H1" s="2498"/>
      <c r="I1" s="2498"/>
      <c r="J1" s="2498"/>
      <c r="K1" s="2498"/>
      <c r="L1" s="1465"/>
    </row>
    <row r="2" spans="1:12" ht="12.75" customHeight="1" x14ac:dyDescent="0.2">
      <c r="B2" s="2499">
        <f>'Single Audit Cover'!E7</f>
        <v>50082113002</v>
      </c>
      <c r="C2" s="2499"/>
      <c r="D2" s="2499"/>
      <c r="E2" s="2499"/>
      <c r="F2" s="2499"/>
      <c r="G2" s="2499"/>
      <c r="H2" s="2499"/>
      <c r="I2" s="2499"/>
      <c r="J2" s="2499"/>
      <c r="K2" s="2499"/>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0" t="s">
        <v>1375</v>
      </c>
      <c r="C6" s="2500"/>
      <c r="D6" s="2500"/>
      <c r="E6" s="2500"/>
      <c r="F6" s="2500"/>
      <c r="G6" s="2500"/>
      <c r="H6" s="2500"/>
      <c r="I6" s="2500"/>
      <c r="J6" s="2500"/>
      <c r="K6" s="2500"/>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8"/>
      <c r="G12" s="2478"/>
      <c r="H12" s="2478"/>
      <c r="I12" s="2478"/>
      <c r="J12" s="2478"/>
      <c r="K12" s="2478"/>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1"/>
      <c r="E14" s="2501"/>
      <c r="F14" s="2501"/>
      <c r="H14" s="1475" t="s">
        <v>1370</v>
      </c>
      <c r="I14" s="2502"/>
      <c r="J14" s="2502"/>
      <c r="K14" s="2502"/>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2"/>
      <c r="E16" s="2502"/>
      <c r="F16" s="2502"/>
      <c r="G16" s="2502"/>
      <c r="H16" s="2502"/>
      <c r="I16" s="2502"/>
      <c r="J16" s="2502"/>
      <c r="K16" s="2502"/>
      <c r="L16" s="322"/>
    </row>
    <row r="17" spans="2:12" ht="13.5" customHeight="1" x14ac:dyDescent="0.2">
      <c r="B17" s="1387" t="s">
        <v>1368</v>
      </c>
      <c r="C17" s="1387"/>
      <c r="D17" s="2503"/>
      <c r="E17" s="2503"/>
      <c r="F17" s="2503"/>
      <c r="G17" s="2503"/>
      <c r="H17" s="2503"/>
      <c r="I17" s="2503"/>
      <c r="J17" s="2503"/>
      <c r="K17" s="2503"/>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1" t="str">
        <f>'Single Audit Cover'!A7</f>
        <v>Wolf Branch SD 113</v>
      </c>
      <c r="C1" s="2471"/>
      <c r="D1" s="2471"/>
      <c r="E1" s="1491"/>
    </row>
    <row r="2" spans="2:5" s="1282" customFormat="1" ht="12.75" customHeight="1" x14ac:dyDescent="0.2">
      <c r="B2" s="2473">
        <f>'Single Audit Cover'!E7</f>
        <v>50082113002</v>
      </c>
      <c r="C2" s="2473"/>
      <c r="D2" s="2473"/>
      <c r="E2" s="1492"/>
    </row>
    <row r="3" spans="2:5" ht="12.75" customHeight="1" x14ac:dyDescent="0.2">
      <c r="B3" s="2494" t="s">
        <v>1869</v>
      </c>
      <c r="C3" s="2494"/>
      <c r="D3" s="2494"/>
      <c r="E3" s="1274"/>
    </row>
    <row r="4" spans="2:5" s="1282" customFormat="1" ht="12.75" customHeight="1" x14ac:dyDescent="0.2">
      <c r="B4" s="2504" t="str">
        <f>'Single Audit Cover'!A4</f>
        <v>Year Ending June 30, 2018</v>
      </c>
      <c r="C4" s="2504"/>
      <c r="D4" s="2504"/>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A8" sqref="A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180515936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1.7500000000000002E-2</v>
      </c>
      <c r="E10" s="356" t="s">
        <v>1062</v>
      </c>
      <c r="F10" s="355">
        <v>5.4999999999999997E-3</v>
      </c>
      <c r="G10" s="356" t="s">
        <v>1062</v>
      </c>
      <c r="H10" s="355">
        <v>1.1999999999999999E-3</v>
      </c>
      <c r="I10" s="356" t="s">
        <v>1063</v>
      </c>
      <c r="J10" s="1754">
        <f>ROUND(D10+F10+H10,5)</f>
        <v>2.4199999999999999E-2</v>
      </c>
      <c r="K10" s="222"/>
      <c r="L10" s="355">
        <v>5.0000000000000001E-4</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7047257</v>
      </c>
      <c r="E16" s="356"/>
      <c r="F16" s="1755">
        <f>SUM('Acct Summary 7-8'!C17,'Acct Summary 7-8'!D17,'Acct Summary 7-8'!F17)</f>
        <v>7216229</v>
      </c>
      <c r="G16" s="356"/>
      <c r="H16" s="1755">
        <f>SUM(D16-F16)</f>
        <v>-168972</v>
      </c>
      <c r="I16" s="222"/>
      <c r="J16" s="1755">
        <f>SUM('Acct Summary 7-8'!C81,'Acct Summary 7-8'!D81,'Acct Summary 7-8'!F81,'Acct Summary 7-8'!I81)</f>
        <v>3569322</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7">
        <f>IF(B31="X",(J7*0.069),IF(B32="X",(J7*0.138),"Enter x in a.or b."))</f>
        <v>12455599.584000001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2045000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t="s">
        <v>2077</v>
      </c>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t="s">
        <v>2090</v>
      </c>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A8" sqref="A8"/>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Wolf Branch SD 113</v>
      </c>
      <c r="E7" s="391"/>
      <c r="G7" s="252"/>
      <c r="H7" s="387"/>
      <c r="I7" s="387"/>
      <c r="J7" s="387"/>
      <c r="K7" s="387"/>
      <c r="L7" s="329"/>
      <c r="M7" s="329"/>
      <c r="N7" s="329"/>
      <c r="O7" s="329"/>
      <c r="P7" s="329"/>
    </row>
    <row r="8" spans="1:18" ht="12.75" x14ac:dyDescent="0.2">
      <c r="A8" s="329"/>
      <c r="B8" s="329"/>
      <c r="C8" s="389" t="s">
        <v>1187</v>
      </c>
      <c r="D8" s="392">
        <f>COVER!A13</f>
        <v>50082113002</v>
      </c>
      <c r="E8" s="393"/>
      <c r="G8" s="329"/>
      <c r="H8" s="329"/>
      <c r="I8" s="329"/>
      <c r="J8" s="329"/>
      <c r="K8" s="329"/>
      <c r="L8" s="329"/>
      <c r="M8" s="329"/>
      <c r="N8" s="329"/>
      <c r="O8" s="329"/>
      <c r="P8" s="329"/>
    </row>
    <row r="9" spans="1:18" ht="12.75" x14ac:dyDescent="0.2">
      <c r="A9" s="329"/>
      <c r="B9" s="329"/>
      <c r="C9" s="389" t="s">
        <v>737</v>
      </c>
      <c r="D9" s="394" t="str">
        <f>COVER!A15</f>
        <v>St. Clair</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3569322</v>
      </c>
      <c r="I12" s="404"/>
      <c r="J12" s="404"/>
      <c r="K12" s="405">
        <f>TRUNC((H12/H13*100000),5)/100000</f>
        <v>0.50648387020000007</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7047257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t="str">
        <f>IF(K17&gt;1.2,"1",IF(K17&gt;1.1,"2",IF(K17&gt;1,"3",4)))</f>
        <v>3</v>
      </c>
      <c r="P16" s="216"/>
      <c r="R16" s="384"/>
    </row>
    <row r="17" spans="1:18" s="408" customFormat="1" ht="11.25" x14ac:dyDescent="0.2">
      <c r="A17" s="218"/>
      <c r="B17" s="401"/>
      <c r="C17" s="218" t="s">
        <v>830</v>
      </c>
      <c r="D17" s="218"/>
      <c r="E17" s="218"/>
      <c r="F17" s="218" t="s">
        <v>464</v>
      </c>
      <c r="G17" s="402"/>
      <c r="H17" s="403">
        <f>SUM('Acct Summary 7-8'!C17+'Acct Summary 7-8'!D17+'Acct Summary 7-8'!F17)</f>
        <v>7216229</v>
      </c>
      <c r="I17" s="404"/>
      <c r="J17" s="416"/>
      <c r="K17" s="405">
        <f>TRUNC((H17/H18*100000),5)/100000</f>
        <v>1.0239769884000001</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7047257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f>IF(K17&lt;=1,"0",TRUNC(((K12-0.1)/(K17-1)*100),5)/100)</f>
        <v>16.953082800000001</v>
      </c>
      <c r="K20" s="405" t="str">
        <f>IF(K17&lt;=1,"0",IF(AND(O16="2", J20 &gt; 2),TRUNC(((K12-0.1)/(K17-1)*100),5)/100,IF(AND(O16 = "1", J20 &gt; 2),TRUNC(((K12-0.1)/(K17-1)*100),5)/100,IF(AND(O16="1", J20 &gt;1),TRUNC(((K12-0.1)/(K17-1)*100),5)/100,""))))</f>
        <v/>
      </c>
      <c r="L20" s="218"/>
      <c r="M20" s="360" t="s">
        <v>1207</v>
      </c>
      <c r="N20" s="360"/>
      <c r="O20" s="411">
        <f>(O16+O17)*O18</f>
        <v>1.0499999999999998</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3570215</v>
      </c>
      <c r="I24" s="422"/>
      <c r="J24" s="422"/>
      <c r="K24" s="423">
        <f>TRUNC(((H24/H25*100000)/100000),2)</f>
        <v>178.1</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20045.080559999999</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3713212.8035200001</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2045000</v>
      </c>
      <c r="I32" s="420"/>
      <c r="J32" s="420"/>
      <c r="K32" s="423">
        <f>TRUNC(100-((((H32/H33*100))*100)/100),2)</f>
        <v>83.58</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12455599.584000001</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3.55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A8" sqref="A8"/>
      <selection pane="bottomLeft" activeCell="A8" sqref="A8"/>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1750</v>
      </c>
      <c r="B4" s="464"/>
      <c r="C4" s="465">
        <v>56973</v>
      </c>
      <c r="D4" s="466">
        <v>1603431</v>
      </c>
      <c r="E4" s="466">
        <v>129323</v>
      </c>
      <c r="F4" s="466">
        <v>513650</v>
      </c>
      <c r="G4" s="466">
        <v>270809</v>
      </c>
      <c r="H4" s="466"/>
      <c r="I4" s="466">
        <v>1396161</v>
      </c>
      <c r="J4" s="467">
        <v>147806</v>
      </c>
      <c r="K4" s="466">
        <v>292090</v>
      </c>
      <c r="L4" s="466">
        <v>110533</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56973</v>
      </c>
      <c r="D13" s="1759">
        <f t="shared" ref="D13:L13" si="0">SUM(D4:D12)</f>
        <v>1603431</v>
      </c>
      <c r="E13" s="1759">
        <f t="shared" si="0"/>
        <v>129323</v>
      </c>
      <c r="F13" s="1759">
        <f t="shared" si="0"/>
        <v>513650</v>
      </c>
      <c r="G13" s="1759">
        <f t="shared" si="0"/>
        <v>270809</v>
      </c>
      <c r="H13" s="1759">
        <f t="shared" si="0"/>
        <v>0</v>
      </c>
      <c r="I13" s="1759">
        <f t="shared" si="0"/>
        <v>1396161</v>
      </c>
      <c r="J13" s="1759">
        <f t="shared" si="0"/>
        <v>147806</v>
      </c>
      <c r="K13" s="1759">
        <f t="shared" si="0"/>
        <v>292090</v>
      </c>
      <c r="L13" s="1759">
        <f t="shared" si="0"/>
        <v>110533</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393889</v>
      </c>
      <c r="N16" s="484"/>
    </row>
    <row r="17" spans="1:14" s="485" customFormat="1" ht="12.75" customHeight="1" x14ac:dyDescent="0.2">
      <c r="A17" s="482" t="s">
        <v>1470</v>
      </c>
      <c r="B17" s="483">
        <v>230</v>
      </c>
      <c r="C17" s="477"/>
      <c r="D17" s="477"/>
      <c r="E17" s="477"/>
      <c r="F17" s="477"/>
      <c r="G17" s="477"/>
      <c r="H17" s="477"/>
      <c r="I17" s="477"/>
      <c r="J17" s="477"/>
      <c r="K17" s="477"/>
      <c r="L17" s="477"/>
      <c r="M17" s="467">
        <v>27568827</v>
      </c>
      <c r="N17" s="484"/>
    </row>
    <row r="18" spans="1:14" s="485" customFormat="1" ht="12.75" customHeight="1" x14ac:dyDescent="0.2">
      <c r="A18" s="482" t="s">
        <v>1471</v>
      </c>
      <c r="B18" s="483">
        <v>240</v>
      </c>
      <c r="C18" s="477"/>
      <c r="D18" s="477"/>
      <c r="E18" s="477"/>
      <c r="F18" s="477"/>
      <c r="G18" s="477"/>
      <c r="H18" s="477"/>
      <c r="I18" s="477"/>
      <c r="J18" s="477"/>
      <c r="K18" s="477"/>
      <c r="L18" s="477"/>
      <c r="M18" s="467">
        <v>1702080</v>
      </c>
      <c r="N18" s="484"/>
    </row>
    <row r="19" spans="1:14" s="485" customFormat="1" ht="12.75" customHeight="1" x14ac:dyDescent="0.2">
      <c r="A19" s="482" t="s">
        <v>1472</v>
      </c>
      <c r="B19" s="483">
        <v>250</v>
      </c>
      <c r="C19" s="477"/>
      <c r="D19" s="477"/>
      <c r="E19" s="477"/>
      <c r="F19" s="477"/>
      <c r="G19" s="477"/>
      <c r="H19" s="477"/>
      <c r="I19" s="477"/>
      <c r="J19" s="477"/>
      <c r="K19" s="477"/>
      <c r="L19" s="477"/>
      <c r="M19" s="467">
        <v>1162732</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129323</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1915677</v>
      </c>
    </row>
    <row r="23" spans="1:14" ht="13.5" customHeight="1" thickBot="1" x14ac:dyDescent="0.25">
      <c r="A23" s="1758" t="s">
        <v>664</v>
      </c>
      <c r="B23" s="1763"/>
      <c r="C23" s="468"/>
      <c r="D23" s="468"/>
      <c r="E23" s="468"/>
      <c r="F23" s="468"/>
      <c r="G23" s="468"/>
      <c r="H23" s="468"/>
      <c r="I23" s="468"/>
      <c r="J23" s="468"/>
      <c r="K23" s="468"/>
      <c r="L23" s="468"/>
      <c r="M23" s="1710">
        <f>SUM(M15:M22)</f>
        <v>30827528</v>
      </c>
      <c r="N23" s="1710">
        <f>SUM(N21:N22)</f>
        <v>2045000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893</v>
      </c>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110533</v>
      </c>
      <c r="M33" s="468"/>
      <c r="N33" s="469"/>
    </row>
    <row r="34" spans="1:14" ht="13.5" customHeight="1" thickBot="1" x14ac:dyDescent="0.25">
      <c r="A34" s="1760" t="s">
        <v>675</v>
      </c>
      <c r="B34" s="1761"/>
      <c r="C34" s="1762">
        <f>SUM(C25:C33)</f>
        <v>893</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110533</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2045000</v>
      </c>
    </row>
    <row r="37" spans="1:14" ht="13.5" thickBot="1" x14ac:dyDescent="0.25">
      <c r="A37" s="1758" t="s">
        <v>674</v>
      </c>
      <c r="B37" s="1763"/>
      <c r="C37" s="477"/>
      <c r="D37" s="477"/>
      <c r="E37" s="477"/>
      <c r="F37" s="477"/>
      <c r="G37" s="477"/>
      <c r="H37" s="477"/>
      <c r="I37" s="477"/>
      <c r="J37" s="477"/>
      <c r="K37" s="477"/>
      <c r="L37" s="480"/>
      <c r="M37" s="468"/>
      <c r="N37" s="1710">
        <f>SUM(N36:N36)</f>
        <v>2045000</v>
      </c>
    </row>
    <row r="38" spans="1:14" s="329" customFormat="1" ht="13.5" customHeight="1" thickTop="1" x14ac:dyDescent="0.2">
      <c r="A38" s="496" t="s">
        <v>440</v>
      </c>
      <c r="B38" s="483">
        <v>714</v>
      </c>
      <c r="C38" s="466">
        <v>243731</v>
      </c>
      <c r="D38" s="466"/>
      <c r="E38" s="466"/>
      <c r="F38" s="466"/>
      <c r="G38" s="466">
        <v>277704</v>
      </c>
      <c r="H38" s="466"/>
      <c r="I38" s="466"/>
      <c r="J38" s="467"/>
      <c r="K38" s="466"/>
      <c r="L38" s="481"/>
      <c r="M38" s="497"/>
      <c r="N38" s="497"/>
    </row>
    <row r="39" spans="1:14" s="329" customFormat="1" ht="13.5" customHeight="1" x14ac:dyDescent="0.2">
      <c r="A39" s="496" t="s">
        <v>360</v>
      </c>
      <c r="B39" s="483">
        <v>730</v>
      </c>
      <c r="C39" s="466">
        <v>-187651</v>
      </c>
      <c r="D39" s="466">
        <v>1603431</v>
      </c>
      <c r="E39" s="466">
        <v>129323</v>
      </c>
      <c r="F39" s="466">
        <v>513650</v>
      </c>
      <c r="G39" s="466">
        <v>-6895</v>
      </c>
      <c r="H39" s="466"/>
      <c r="I39" s="466">
        <v>1396161</v>
      </c>
      <c r="J39" s="467">
        <v>147806</v>
      </c>
      <c r="K39" s="466">
        <v>292090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30827528</v>
      </c>
      <c r="N40" s="497"/>
    </row>
    <row r="41" spans="1:14" ht="13.5" customHeight="1" thickBot="1" x14ac:dyDescent="0.25">
      <c r="A41" s="1758" t="s">
        <v>676</v>
      </c>
      <c r="B41" s="1728"/>
      <c r="C41" s="1710">
        <f>(SUM(C34,C37,C38,C39))</f>
        <v>56973</v>
      </c>
      <c r="D41" s="1710">
        <f t="shared" ref="D41:L41" si="2">SUM(D34,D37,D38:D39)</f>
        <v>1603431</v>
      </c>
      <c r="E41" s="1710">
        <f t="shared" si="2"/>
        <v>129323</v>
      </c>
      <c r="F41" s="1710">
        <f t="shared" si="2"/>
        <v>513650</v>
      </c>
      <c r="G41" s="1710">
        <f t="shared" si="2"/>
        <v>270809</v>
      </c>
      <c r="H41" s="1710">
        <f t="shared" si="2"/>
        <v>0</v>
      </c>
      <c r="I41" s="1710">
        <f t="shared" si="2"/>
        <v>1396161</v>
      </c>
      <c r="J41" s="1710">
        <f t="shared" si="2"/>
        <v>147806</v>
      </c>
      <c r="K41" s="1710">
        <f t="shared" si="2"/>
        <v>292090</v>
      </c>
      <c r="L41" s="1710">
        <f t="shared" si="2"/>
        <v>110533</v>
      </c>
      <c r="M41" s="1710">
        <f>SUM(M40)</f>
        <v>30827528</v>
      </c>
      <c r="N41" s="1710">
        <f>SUM(N37)</f>
        <v>2045000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&amp;L&amp;8See notes.
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8" sqref="A8"/>
      <selection pane="bottomLeft" activeCell="A8" sqref="A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95"/>
      <c r="D3" s="1596"/>
      <c r="E3" s="1596"/>
      <c r="F3" s="1596"/>
      <c r="G3" s="1596"/>
      <c r="H3" s="1596"/>
      <c r="I3" s="1596"/>
      <c r="J3" s="1596"/>
      <c r="K3" s="1597"/>
      <c r="L3" s="506"/>
    </row>
    <row r="4" spans="1:13" ht="15.75" customHeight="1" x14ac:dyDescent="0.2">
      <c r="A4" s="1954" t="s">
        <v>1579</v>
      </c>
      <c r="B4" s="1955">
        <v>1000</v>
      </c>
      <c r="C4" s="1764">
        <f>'Revenues 9-14'!C109</f>
        <v>3848353</v>
      </c>
      <c r="D4" s="1764">
        <f>'Revenues 9-14'!D109</f>
        <v>1065088</v>
      </c>
      <c r="E4" s="1764">
        <f>'Revenues 9-14'!E109</f>
        <v>1858162</v>
      </c>
      <c r="F4" s="1764">
        <f>'Revenues 9-14'!F109</f>
        <v>208365</v>
      </c>
      <c r="G4" s="1764">
        <f>'Revenues 9-14'!G109</f>
        <v>193302</v>
      </c>
      <c r="H4" s="1764">
        <f>'Revenues 9-14'!H109</f>
        <v>0</v>
      </c>
      <c r="I4" s="1764">
        <f>'Revenues 9-14'!I109</f>
        <v>103006</v>
      </c>
      <c r="J4" s="1764">
        <f>'Revenues 9-14'!J109</f>
        <v>365313</v>
      </c>
      <c r="K4" s="1764">
        <f>'Revenues 9-14'!K109</f>
        <v>92974</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1291449</v>
      </c>
      <c r="D6" s="1765">
        <f>'Revenues 9-14'!D173</f>
        <v>0</v>
      </c>
      <c r="E6" s="1765">
        <f>'Revenues 9-14'!E173</f>
        <v>0</v>
      </c>
      <c r="F6" s="1765">
        <f>'Revenues 9-14'!F173</f>
        <v>202321</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328675</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5468477</v>
      </c>
      <c r="D8" s="1710">
        <f t="shared" ref="D8:K8" si="0">SUM(D4:D7)</f>
        <v>1065088</v>
      </c>
      <c r="E8" s="1710">
        <f t="shared" si="0"/>
        <v>1858162</v>
      </c>
      <c r="F8" s="1710">
        <f t="shared" si="0"/>
        <v>410686</v>
      </c>
      <c r="G8" s="1710">
        <f t="shared" si="0"/>
        <v>193302</v>
      </c>
      <c r="H8" s="1710">
        <f t="shared" si="0"/>
        <v>0</v>
      </c>
      <c r="I8" s="1710">
        <f t="shared" si="0"/>
        <v>103006</v>
      </c>
      <c r="J8" s="1710">
        <f t="shared" si="0"/>
        <v>365313</v>
      </c>
      <c r="K8" s="1710">
        <f t="shared" si="0"/>
        <v>92974</v>
      </c>
      <c r="L8" s="347"/>
    </row>
    <row r="9" spans="1:13" ht="15.75" thickTop="1" x14ac:dyDescent="0.2">
      <c r="A9" s="514" t="s">
        <v>1752</v>
      </c>
      <c r="B9" s="515">
        <v>3998</v>
      </c>
      <c r="C9" s="481">
        <v>2843074</v>
      </c>
      <c r="D9" s="516"/>
      <c r="E9" s="481"/>
      <c r="F9" s="481"/>
      <c r="G9" s="517"/>
      <c r="H9" s="481"/>
      <c r="I9" s="509" t="s">
        <v>1231</v>
      </c>
      <c r="J9" s="478"/>
      <c r="K9" s="481"/>
      <c r="L9" s="347"/>
    </row>
    <row r="10" spans="1:13" s="519" customFormat="1" ht="13.5" thickBot="1" x14ac:dyDescent="0.25">
      <c r="A10" s="1758" t="s">
        <v>1235</v>
      </c>
      <c r="B10" s="1731"/>
      <c r="C10" s="1710">
        <f>SUM(C8:C9)</f>
        <v>8311551</v>
      </c>
      <c r="D10" s="1710">
        <f t="shared" ref="D10:K10" si="1">SUM(D8:D9)</f>
        <v>1065088</v>
      </c>
      <c r="E10" s="1710">
        <f t="shared" si="1"/>
        <v>1858162</v>
      </c>
      <c r="F10" s="1710">
        <f t="shared" si="1"/>
        <v>410686</v>
      </c>
      <c r="G10" s="1710">
        <f t="shared" si="1"/>
        <v>193302</v>
      </c>
      <c r="H10" s="1710">
        <f t="shared" si="1"/>
        <v>0</v>
      </c>
      <c r="I10" s="1710">
        <f t="shared" si="1"/>
        <v>103006</v>
      </c>
      <c r="J10" s="1710">
        <f t="shared" si="1"/>
        <v>365313</v>
      </c>
      <c r="K10" s="1710">
        <f t="shared" si="1"/>
        <v>92974</v>
      </c>
      <c r="L10" s="518"/>
    </row>
    <row r="11" spans="1:13" s="519" customFormat="1" ht="16.7"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4">
        <f>'Expenditures 15-22'!K33</f>
        <v>4195800</v>
      </c>
      <c r="D12" s="520" t="s">
        <v>1231</v>
      </c>
      <c r="E12" s="468" t="s">
        <v>1231</v>
      </c>
      <c r="F12" s="468" t="s">
        <v>1231</v>
      </c>
      <c r="G12" s="1764">
        <f>'Expenditures 15-22'!K229</f>
        <v>96511</v>
      </c>
      <c r="H12" s="521"/>
      <c r="I12" s="468" t="s">
        <v>1231</v>
      </c>
      <c r="J12" s="468" t="s">
        <v>1231</v>
      </c>
      <c r="K12" s="521" t="s">
        <v>1231</v>
      </c>
      <c r="L12" s="347"/>
    </row>
    <row r="13" spans="1:13" ht="15.75" customHeight="1" x14ac:dyDescent="0.2">
      <c r="A13" s="1598" t="s">
        <v>477</v>
      </c>
      <c r="B13" s="1600">
        <v>2000</v>
      </c>
      <c r="C13" s="1765">
        <f>'Expenditures 15-22'!K74</f>
        <v>1249501</v>
      </c>
      <c r="D13" s="1765">
        <f>'Expenditures 15-22'!K129</f>
        <v>1101701</v>
      </c>
      <c r="E13" s="469" t="s">
        <v>1231</v>
      </c>
      <c r="F13" s="1765">
        <f>'Expenditures 15-22'!K184</f>
        <v>329184</v>
      </c>
      <c r="G13" s="1765">
        <f>'Expenditures 15-22'!K279</f>
        <v>107208</v>
      </c>
      <c r="H13" s="1765">
        <f>'Expenditures 15-22'!K303</f>
        <v>0</v>
      </c>
      <c r="I13" s="468" t="s">
        <v>1231</v>
      </c>
      <c r="J13" s="1765">
        <f>'Expenditures 15-22'!K330</f>
        <v>307592</v>
      </c>
      <c r="K13" s="1769">
        <f>'Expenditures 15-22'!K352</f>
        <v>0</v>
      </c>
      <c r="L13" s="347"/>
    </row>
    <row r="14" spans="1:13" ht="15.75" customHeight="1" x14ac:dyDescent="0.2">
      <c r="A14" s="1598" t="s">
        <v>469</v>
      </c>
      <c r="B14" s="1600">
        <v>3000</v>
      </c>
      <c r="C14" s="1765">
        <f>'Expenditures 15-22'!K75</f>
        <v>104608</v>
      </c>
      <c r="D14" s="1765">
        <f>'Expenditures 15-22'!K130</f>
        <v>0</v>
      </c>
      <c r="E14" s="520" t="s">
        <v>1231</v>
      </c>
      <c r="F14" s="1765">
        <f>'Expenditures 15-22'!K185</f>
        <v>0</v>
      </c>
      <c r="G14" s="1765">
        <f>'Expenditures 15-22'!K280</f>
        <v>10356</v>
      </c>
      <c r="H14" s="512"/>
      <c r="I14" s="468" t="s">
        <v>1231</v>
      </c>
      <c r="J14" s="468" t="s">
        <v>1231</v>
      </c>
      <c r="K14" s="512" t="s">
        <v>1231</v>
      </c>
      <c r="L14" s="347"/>
    </row>
    <row r="15" spans="1:13" ht="15.75" customHeight="1" x14ac:dyDescent="0.2">
      <c r="A15" s="1598" t="s">
        <v>109</v>
      </c>
      <c r="B15" s="1600">
        <v>4000</v>
      </c>
      <c r="C15" s="1765">
        <f>'Expenditures 15-22'!K102</f>
        <v>235435</v>
      </c>
      <c r="D15" s="1765">
        <f>'Expenditures 15-22'!K139</f>
        <v>0</v>
      </c>
      <c r="E15" s="1765">
        <f>'Expenditures 15-22'!K160</f>
        <v>0</v>
      </c>
      <c r="F15" s="1765">
        <f>'Expenditures 15-22'!K196</f>
        <v>0</v>
      </c>
      <c r="G15" s="1765">
        <f>'Expenditures 15-22'!K285</f>
        <v>1488</v>
      </c>
      <c r="H15" s="1765">
        <f>'Expenditures 15-22'!K310</f>
        <v>0</v>
      </c>
      <c r="I15" s="468" t="s">
        <v>1231</v>
      </c>
      <c r="J15" s="1858">
        <f>'Expenditures 15-22'!K334</f>
        <v>6012</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1841037</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5785344</v>
      </c>
      <c r="D17" s="1710">
        <f t="shared" si="2"/>
        <v>1101701</v>
      </c>
      <c r="E17" s="1710">
        <f t="shared" si="2"/>
        <v>1841037</v>
      </c>
      <c r="F17" s="1710">
        <f t="shared" si="2"/>
        <v>329184</v>
      </c>
      <c r="G17" s="1710">
        <f t="shared" si="2"/>
        <v>215563</v>
      </c>
      <c r="H17" s="1710">
        <f t="shared" si="2"/>
        <v>0</v>
      </c>
      <c r="I17" s="468"/>
      <c r="J17" s="1710">
        <f>SUM(J12:J16)</f>
        <v>313604</v>
      </c>
      <c r="K17" s="1710">
        <f>SUM(K12:K16)</f>
        <v>0</v>
      </c>
      <c r="L17" s="347"/>
    </row>
    <row r="18" spans="1:12" ht="15" customHeight="1" thickTop="1" x14ac:dyDescent="0.2">
      <c r="A18" s="1766" t="s">
        <v>1753</v>
      </c>
      <c r="B18" s="1767">
        <v>4180</v>
      </c>
      <c r="C18" s="1764">
        <f t="shared" ref="C18:H18" si="3">C9</f>
        <v>2843074</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8628418</v>
      </c>
      <c r="D19" s="1710">
        <f t="shared" si="4"/>
        <v>1101701</v>
      </c>
      <c r="E19" s="1710">
        <f t="shared" si="4"/>
        <v>1841037</v>
      </c>
      <c r="F19" s="1710">
        <f t="shared" si="4"/>
        <v>329184</v>
      </c>
      <c r="G19" s="1710">
        <f t="shared" si="4"/>
        <v>215563</v>
      </c>
      <c r="H19" s="1710">
        <f t="shared" si="4"/>
        <v>0</v>
      </c>
      <c r="I19" s="468"/>
      <c r="J19" s="1710">
        <f>SUM(J17:J18)</f>
        <v>313604</v>
      </c>
      <c r="K19" s="1710">
        <f>SUM(K17:K18)</f>
        <v>0</v>
      </c>
      <c r="L19" s="347"/>
    </row>
    <row r="20" spans="1:12" ht="16.5" thickTop="1" thickBot="1" x14ac:dyDescent="0.25">
      <c r="A20" s="2144" t="s">
        <v>1754</v>
      </c>
      <c r="B20" s="2145"/>
      <c r="C20" s="1768">
        <f>C8-C17</f>
        <v>-316867</v>
      </c>
      <c r="D20" s="1768">
        <f t="shared" ref="D20:K20" si="5">D8-D17</f>
        <v>-36613</v>
      </c>
      <c r="E20" s="1768">
        <f t="shared" si="5"/>
        <v>17125</v>
      </c>
      <c r="F20" s="1768">
        <f t="shared" si="5"/>
        <v>81502</v>
      </c>
      <c r="G20" s="1768">
        <f t="shared" si="5"/>
        <v>-22261</v>
      </c>
      <c r="H20" s="1768">
        <f t="shared" si="5"/>
        <v>0</v>
      </c>
      <c r="I20" s="1768">
        <f t="shared" si="5"/>
        <v>103006</v>
      </c>
      <c r="J20" s="1768">
        <f t="shared" si="5"/>
        <v>51709</v>
      </c>
      <c r="K20" s="1768">
        <f t="shared" si="5"/>
        <v>92974</v>
      </c>
      <c r="L20" s="347"/>
    </row>
    <row r="21" spans="1:12" ht="16.7"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v>350000</v>
      </c>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v>330000</v>
      </c>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25">
        <f>SUM(C24:C43)</f>
        <v>350000</v>
      </c>
      <c r="D44" s="1725">
        <f t="shared" ref="D44:K44" si="6">SUM(D24:D43)</f>
        <v>0</v>
      </c>
      <c r="E44" s="1725">
        <f t="shared" si="6"/>
        <v>0</v>
      </c>
      <c r="F44" s="1725">
        <f t="shared" si="6"/>
        <v>0</v>
      </c>
      <c r="G44" s="1725">
        <f t="shared" si="6"/>
        <v>0</v>
      </c>
      <c r="H44" s="1725">
        <f t="shared" si="6"/>
        <v>0</v>
      </c>
      <c r="I44" s="1725">
        <f t="shared" si="6"/>
        <v>330000</v>
      </c>
      <c r="J44" s="1725">
        <f t="shared" si="6"/>
        <v>0</v>
      </c>
      <c r="K44" s="172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350000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v>6300</v>
      </c>
      <c r="J75" s="530"/>
      <c r="K75" s="532"/>
      <c r="L75" s="524"/>
    </row>
    <row r="76" spans="1:12" s="485" customFormat="1" ht="14.25" thickTop="1" thickBot="1" x14ac:dyDescent="0.25">
      <c r="A76" s="2134" t="s">
        <v>460</v>
      </c>
      <c r="B76" s="2135"/>
      <c r="C76" s="1725">
        <f t="shared" ref="C76:K76" si="7">SUM(C47:C75)</f>
        <v>0</v>
      </c>
      <c r="D76" s="1725">
        <f t="shared" si="7"/>
        <v>0</v>
      </c>
      <c r="E76" s="1725">
        <f t="shared" si="7"/>
        <v>0</v>
      </c>
      <c r="F76" s="1725">
        <f t="shared" si="7"/>
        <v>0</v>
      </c>
      <c r="G76" s="1725">
        <f t="shared" si="7"/>
        <v>0</v>
      </c>
      <c r="H76" s="1725">
        <f t="shared" si="7"/>
        <v>0</v>
      </c>
      <c r="I76" s="1725">
        <f t="shared" si="7"/>
        <v>356300</v>
      </c>
      <c r="J76" s="1725">
        <f t="shared" si="7"/>
        <v>0</v>
      </c>
      <c r="K76" s="1725">
        <f t="shared" si="7"/>
        <v>0</v>
      </c>
      <c r="L76" s="524"/>
    </row>
    <row r="77" spans="1:12" ht="14.25" thickTop="1" thickBot="1" x14ac:dyDescent="0.25">
      <c r="A77" s="2136" t="s">
        <v>1239</v>
      </c>
      <c r="B77" s="2137"/>
      <c r="C77" s="1725">
        <f t="shared" ref="C77:K77" si="8">C44-C76</f>
        <v>350000</v>
      </c>
      <c r="D77" s="1725">
        <f t="shared" si="8"/>
        <v>0</v>
      </c>
      <c r="E77" s="1725">
        <f t="shared" si="8"/>
        <v>0</v>
      </c>
      <c r="F77" s="1725">
        <f t="shared" si="8"/>
        <v>0</v>
      </c>
      <c r="G77" s="1725">
        <f t="shared" si="8"/>
        <v>0</v>
      </c>
      <c r="H77" s="1725">
        <f t="shared" si="8"/>
        <v>0</v>
      </c>
      <c r="I77" s="1725">
        <f t="shared" si="8"/>
        <v>-26300</v>
      </c>
      <c r="J77" s="1725">
        <f t="shared" si="8"/>
        <v>0</v>
      </c>
      <c r="K77" s="1725">
        <f t="shared" si="8"/>
        <v>0</v>
      </c>
      <c r="L77" s="347"/>
    </row>
    <row r="78" spans="1:12" ht="21.75" customHeight="1" thickTop="1" thickBot="1" x14ac:dyDescent="0.25">
      <c r="A78" s="2140" t="s">
        <v>618</v>
      </c>
      <c r="B78" s="2141"/>
      <c r="C78" s="1724">
        <f t="shared" ref="C78:K78" si="9">C20+C77</f>
        <v>33133</v>
      </c>
      <c r="D78" s="1724">
        <f t="shared" si="9"/>
        <v>-36613</v>
      </c>
      <c r="E78" s="1724">
        <f t="shared" si="9"/>
        <v>17125</v>
      </c>
      <c r="F78" s="1724">
        <f t="shared" si="9"/>
        <v>81502</v>
      </c>
      <c r="G78" s="1724">
        <f t="shared" si="9"/>
        <v>-22261</v>
      </c>
      <c r="H78" s="1724">
        <f t="shared" si="9"/>
        <v>0</v>
      </c>
      <c r="I78" s="1724">
        <f t="shared" si="9"/>
        <v>76706</v>
      </c>
      <c r="J78" s="1724">
        <f t="shared" si="9"/>
        <v>51709</v>
      </c>
      <c r="K78" s="1724">
        <f t="shared" si="9"/>
        <v>92974</v>
      </c>
      <c r="L78" s="533"/>
    </row>
    <row r="79" spans="1:12" ht="13.5" thickTop="1" x14ac:dyDescent="0.2">
      <c r="A79" s="1516" t="s">
        <v>2071</v>
      </c>
      <c r="B79" s="534"/>
      <c r="C79" s="478">
        <v>22947</v>
      </c>
      <c r="D79" s="535">
        <v>1640044</v>
      </c>
      <c r="E79" s="535">
        <v>112198</v>
      </c>
      <c r="F79" s="535">
        <v>432148</v>
      </c>
      <c r="G79" s="535">
        <v>293070</v>
      </c>
      <c r="H79" s="535"/>
      <c r="I79" s="535">
        <v>1319455</v>
      </c>
      <c r="J79" s="535">
        <v>96097</v>
      </c>
      <c r="K79" s="535">
        <v>199116</v>
      </c>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2072</v>
      </c>
      <c r="B81" s="2139"/>
      <c r="C81" s="1710">
        <f>(SUM(C78:C80))</f>
        <v>56080</v>
      </c>
      <c r="D81" s="1710">
        <f>SUM(D78:D80)</f>
        <v>1603431</v>
      </c>
      <c r="E81" s="1710">
        <f t="shared" ref="E81:K81" si="10">SUM(E78:E80)</f>
        <v>129323</v>
      </c>
      <c r="F81" s="1710">
        <f t="shared" si="10"/>
        <v>513650</v>
      </c>
      <c r="G81" s="1710">
        <f t="shared" si="10"/>
        <v>270809</v>
      </c>
      <c r="H81" s="1710">
        <f t="shared" si="10"/>
        <v>0</v>
      </c>
      <c r="I81" s="1710">
        <f t="shared" si="10"/>
        <v>1396161</v>
      </c>
      <c r="J81" s="1710">
        <f t="shared" si="10"/>
        <v>147806</v>
      </c>
      <c r="K81" s="1710">
        <f t="shared" si="10"/>
        <v>292090</v>
      </c>
      <c r="L81" s="347"/>
    </row>
    <row r="82" spans="1:12" ht="0.75" customHeight="1" thickTop="1" thickBot="1" x14ac:dyDescent="0.25">
      <c r="A82" s="536" t="s">
        <v>361</v>
      </c>
      <c r="B82" s="537"/>
      <c r="C82" s="538">
        <f>(C81-C79)</f>
        <v>33133</v>
      </c>
      <c r="D82" s="538">
        <f t="shared" ref="D82:K82" si="11">(D81-D79)</f>
        <v>-36613</v>
      </c>
      <c r="E82" s="538">
        <f t="shared" si="11"/>
        <v>17125</v>
      </c>
      <c r="F82" s="538">
        <f t="shared" si="11"/>
        <v>81502</v>
      </c>
      <c r="G82" s="538">
        <f t="shared" si="11"/>
        <v>-22261</v>
      </c>
      <c r="H82" s="538">
        <f t="shared" si="11"/>
        <v>0</v>
      </c>
      <c r="I82" s="538">
        <f t="shared" si="11"/>
        <v>76706</v>
      </c>
      <c r="J82" s="538">
        <f t="shared" si="11"/>
        <v>51709</v>
      </c>
      <c r="K82" s="538">
        <f t="shared" si="11"/>
        <v>92974</v>
      </c>
    </row>
    <row r="83" spans="1:12" ht="14.25" hidden="1" thickTop="1" thickBot="1" x14ac:dyDescent="0.25">
      <c r="A83" s="539" t="s">
        <v>362</v>
      </c>
      <c r="B83" s="464"/>
      <c r="C83" s="540">
        <f>C82/C81</f>
        <v>0.5908166904422254</v>
      </c>
      <c r="D83" s="540">
        <f t="shared" ref="D83:K83" si="12">D82/D81</f>
        <v>-2.2834159998153958E-2</v>
      </c>
      <c r="E83" s="540">
        <f t="shared" si="12"/>
        <v>0.13242037379275148</v>
      </c>
      <c r="F83" s="540">
        <f t="shared" si="12"/>
        <v>0.15867224763944321</v>
      </c>
      <c r="G83" s="540">
        <f t="shared" si="12"/>
        <v>-8.2201847058258767E-2</v>
      </c>
      <c r="H83" s="540" t="e">
        <f t="shared" si="12"/>
        <v>#DIV/0!</v>
      </c>
      <c r="I83" s="540">
        <f t="shared" si="12"/>
        <v>5.4940655125017814E-2</v>
      </c>
      <c r="J83" s="540">
        <f t="shared" si="12"/>
        <v>0.34984371405761605</v>
      </c>
      <c r="K83" s="540">
        <f t="shared" si="12"/>
        <v>0.31830600157485706</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2"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&amp;L&amp;8See notes.
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5" activePane="bottomLeft" state="frozen"/>
      <selection activeCell="A8" sqref="A8"/>
      <selection pane="bottomLeft" activeCell="C6" sqref="C6"/>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3165036</v>
      </c>
      <c r="D5" s="481">
        <v>941374</v>
      </c>
      <c r="E5" s="466">
        <v>1852365</v>
      </c>
      <c r="F5" s="548">
        <v>200756</v>
      </c>
      <c r="G5" s="466">
        <v>77948</v>
      </c>
      <c r="H5" s="466"/>
      <c r="I5" s="466">
        <v>90428</v>
      </c>
      <c r="J5" s="467">
        <v>363279</v>
      </c>
      <c r="K5" s="466">
        <v>90428</v>
      </c>
    </row>
    <row r="6" spans="1:12" ht="15" x14ac:dyDescent="0.2">
      <c r="A6" s="463" t="s">
        <v>1761</v>
      </c>
      <c r="B6" s="470">
        <v>1130</v>
      </c>
      <c r="C6" s="466">
        <v>71922</v>
      </c>
      <c r="D6" s="466">
        <v>14930</v>
      </c>
      <c r="E6" s="475"/>
      <c r="F6" s="475"/>
      <c r="G6" s="468"/>
      <c r="H6" s="468"/>
      <c r="I6" s="468"/>
      <c r="J6" s="468"/>
      <c r="K6" s="468"/>
    </row>
    <row r="7" spans="1:12" x14ac:dyDescent="0.2">
      <c r="A7" s="463" t="s">
        <v>112</v>
      </c>
      <c r="B7" s="549">
        <v>1140</v>
      </c>
      <c r="C7" s="466">
        <v>36175</v>
      </c>
      <c r="D7" s="466"/>
      <c r="E7" s="468"/>
      <c r="F7" s="467"/>
      <c r="G7" s="467"/>
      <c r="H7" s="467"/>
      <c r="I7" s="468"/>
      <c r="J7" s="468"/>
      <c r="K7" s="468"/>
    </row>
    <row r="8" spans="1:12" x14ac:dyDescent="0.2">
      <c r="A8" s="463" t="s">
        <v>433</v>
      </c>
      <c r="B8" s="470">
        <v>1150</v>
      </c>
      <c r="C8" s="475"/>
      <c r="D8" s="475"/>
      <c r="E8" s="477"/>
      <c r="F8" s="477"/>
      <c r="G8" s="481">
        <v>83195</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3273133</v>
      </c>
      <c r="D12" s="1729">
        <f t="shared" si="0"/>
        <v>956304</v>
      </c>
      <c r="E12" s="1729">
        <f t="shared" si="0"/>
        <v>1852365</v>
      </c>
      <c r="F12" s="1729">
        <f t="shared" si="0"/>
        <v>200756</v>
      </c>
      <c r="G12" s="1729">
        <f t="shared" si="0"/>
        <v>161143</v>
      </c>
      <c r="H12" s="1729">
        <f t="shared" si="0"/>
        <v>0</v>
      </c>
      <c r="I12" s="1729">
        <f t="shared" si="0"/>
        <v>90428</v>
      </c>
      <c r="J12" s="1729">
        <f t="shared" si="0"/>
        <v>363279</v>
      </c>
      <c r="K12" s="1710">
        <f t="shared" si="0"/>
        <v>90428</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17473</v>
      </c>
      <c r="D16" s="466"/>
      <c r="E16" s="466"/>
      <c r="F16" s="466"/>
      <c r="G16" s="466">
        <v>6800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17473</v>
      </c>
      <c r="D18" s="1732">
        <f t="shared" ref="D18:K18" si="1">SUM(D14:D17)</f>
        <v>0</v>
      </c>
      <c r="E18" s="1732">
        <f t="shared" si="1"/>
        <v>0</v>
      </c>
      <c r="F18" s="1732">
        <f t="shared" si="1"/>
        <v>0</v>
      </c>
      <c r="G18" s="1732">
        <f t="shared" si="1"/>
        <v>6800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1452</v>
      </c>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1452</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7620</v>
      </c>
      <c r="D65" s="466">
        <v>22343</v>
      </c>
      <c r="E65" s="466">
        <v>5797</v>
      </c>
      <c r="F65" s="467">
        <v>7609</v>
      </c>
      <c r="G65" s="466">
        <v>5084</v>
      </c>
      <c r="H65" s="466"/>
      <c r="I65" s="466">
        <v>12578</v>
      </c>
      <c r="J65" s="467">
        <v>2034</v>
      </c>
      <c r="K65" s="466">
        <v>2546</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7620</v>
      </c>
      <c r="D67" s="1710">
        <f t="shared" ref="D67:K67" si="2">SUM(D65:D66)</f>
        <v>22343</v>
      </c>
      <c r="E67" s="1710">
        <f t="shared" si="2"/>
        <v>5797</v>
      </c>
      <c r="F67" s="1710">
        <f t="shared" si="2"/>
        <v>7609</v>
      </c>
      <c r="G67" s="1710">
        <f t="shared" si="2"/>
        <v>5084</v>
      </c>
      <c r="H67" s="1710">
        <f t="shared" si="2"/>
        <v>0</v>
      </c>
      <c r="I67" s="1710">
        <f t="shared" si="2"/>
        <v>12578</v>
      </c>
      <c r="J67" s="1710">
        <f t="shared" si="2"/>
        <v>2034</v>
      </c>
      <c r="K67" s="1710">
        <f t="shared" si="2"/>
        <v>2546</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135391</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4200</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139591</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178873</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178873</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92219</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92219</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85796</v>
      </c>
      <c r="E95" s="521"/>
      <c r="F95" s="521"/>
      <c r="G95" s="521"/>
      <c r="H95" s="521"/>
      <c r="I95" s="521"/>
      <c r="J95" s="521"/>
      <c r="K95" s="521"/>
    </row>
    <row r="96" spans="1:11" ht="12.75" customHeight="1" x14ac:dyDescent="0.2">
      <c r="A96" s="463" t="s">
        <v>409</v>
      </c>
      <c r="B96" s="470">
        <v>1920</v>
      </c>
      <c r="C96" s="551">
        <v>21932</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2850</v>
      </c>
      <c r="D99" s="466"/>
      <c r="E99" s="466"/>
      <c r="F99" s="466"/>
      <c r="G99" s="466"/>
      <c r="H99" s="466"/>
      <c r="I99" s="468"/>
      <c r="J99" s="467"/>
      <c r="K99" s="466"/>
    </row>
    <row r="100" spans="1:12" ht="12.75" customHeight="1" x14ac:dyDescent="0.2">
      <c r="A100" s="463" t="s">
        <v>263</v>
      </c>
      <c r="B100" s="470">
        <v>1960</v>
      </c>
      <c r="C100" s="489">
        <v>5969</v>
      </c>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v>6000</v>
      </c>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97217</v>
      </c>
      <c r="D106" s="489"/>
      <c r="E106" s="467"/>
      <c r="F106" s="467"/>
      <c r="G106" s="467">
        <v>20275</v>
      </c>
      <c r="H106" s="467"/>
      <c r="I106" s="521"/>
      <c r="J106" s="467"/>
      <c r="K106" s="467"/>
    </row>
    <row r="107" spans="1:12" ht="12.75" customHeight="1" x14ac:dyDescent="0.2">
      <c r="A107" s="463" t="s">
        <v>80</v>
      </c>
      <c r="B107" s="470">
        <v>1999</v>
      </c>
      <c r="C107" s="551">
        <v>4024</v>
      </c>
      <c r="D107" s="466">
        <v>645</v>
      </c>
      <c r="E107" s="466"/>
      <c r="F107" s="466"/>
      <c r="G107" s="466"/>
      <c r="H107" s="466"/>
      <c r="I107" s="466"/>
      <c r="J107" s="467"/>
      <c r="K107" s="466"/>
    </row>
    <row r="108" spans="1:12" ht="12.75" customHeight="1" thickBot="1" x14ac:dyDescent="0.25">
      <c r="A108" s="1730" t="s">
        <v>508</v>
      </c>
      <c r="B108" s="1734"/>
      <c r="C108" s="1729">
        <f>SUM(C95:C107)</f>
        <v>137992</v>
      </c>
      <c r="D108" s="1729">
        <f t="shared" ref="D108:K108" si="3">SUM(D95:D107)</f>
        <v>86441</v>
      </c>
      <c r="E108" s="1729">
        <f t="shared" si="3"/>
        <v>0</v>
      </c>
      <c r="F108" s="1729">
        <f t="shared" si="3"/>
        <v>0</v>
      </c>
      <c r="G108" s="1729">
        <f t="shared" si="3"/>
        <v>20275</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3848353</v>
      </c>
      <c r="D109" s="1737">
        <f t="shared" si="4"/>
        <v>1065088</v>
      </c>
      <c r="E109" s="1737">
        <f t="shared" si="4"/>
        <v>1858162</v>
      </c>
      <c r="F109" s="1737">
        <f t="shared" si="4"/>
        <v>208365</v>
      </c>
      <c r="G109" s="1737">
        <f t="shared" si="4"/>
        <v>193302</v>
      </c>
      <c r="H109" s="1737">
        <f t="shared" si="4"/>
        <v>0</v>
      </c>
      <c r="I109" s="1737">
        <f t="shared" si="4"/>
        <v>103006</v>
      </c>
      <c r="J109" s="1737">
        <f t="shared" si="4"/>
        <v>365313</v>
      </c>
      <c r="K109" s="1724">
        <f t="shared" si="4"/>
        <v>92974</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1180592</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1180592</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49054</v>
      </c>
      <c r="D125" s="561"/>
      <c r="E125" s="468"/>
      <c r="F125" s="466"/>
      <c r="G125" s="468"/>
      <c r="H125" s="468"/>
      <c r="I125" s="468"/>
      <c r="J125" s="468"/>
      <c r="K125" s="468"/>
    </row>
    <row r="126" spans="1:11" ht="12.75" customHeight="1" x14ac:dyDescent="0.2">
      <c r="A126" s="463" t="s">
        <v>922</v>
      </c>
      <c r="B126" s="562">
        <v>3110</v>
      </c>
      <c r="C126" s="551">
        <v>54524</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746</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104324</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5880</v>
      </c>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5880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653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21989</v>
      </c>
      <c r="G151" s="467"/>
      <c r="H151" s="468"/>
      <c r="I151" s="468"/>
      <c r="J151" s="468"/>
      <c r="K151" s="468"/>
    </row>
    <row r="152" spans="1:11" ht="12.75" customHeight="1" x14ac:dyDescent="0.2">
      <c r="A152" s="463" t="s">
        <v>1117</v>
      </c>
      <c r="B152" s="562">
        <v>3510</v>
      </c>
      <c r="C152" s="551"/>
      <c r="D152" s="466"/>
      <c r="E152" s="561"/>
      <c r="F152" s="466">
        <v>180332</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202321</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2" t="s">
        <v>418</v>
      </c>
      <c r="B172" s="2163"/>
      <c r="C172" s="1744">
        <f t="shared" ref="C172:K172" si="6">SUM(C131,C140,C144,C145:C149,C154,C155:C170,C171)</f>
        <v>110857</v>
      </c>
      <c r="D172" s="1744">
        <f t="shared" si="6"/>
        <v>0</v>
      </c>
      <c r="E172" s="1744">
        <f t="shared" si="6"/>
        <v>0</v>
      </c>
      <c r="F172" s="1744">
        <f t="shared" si="6"/>
        <v>202321</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1291449</v>
      </c>
      <c r="D173" s="1737">
        <f>SUM(D121,D172)</f>
        <v>0</v>
      </c>
      <c r="E173" s="1737">
        <f>SUM(E121,E172)</f>
        <v>0</v>
      </c>
      <c r="F173" s="1737">
        <f t="shared" ref="F173:K173" si="7">SUM(F121,F172)</f>
        <v>202321</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v>23412</v>
      </c>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1764</v>
      </c>
      <c r="B178" s="2169"/>
      <c r="C178" s="1729">
        <f>SUM(C176:C177)</f>
        <v>23412</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2" t="s">
        <v>1763</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6" t="s">
        <v>1906</v>
      </c>
      <c r="B185" s="2167"/>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69328</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69328</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91938</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91938</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7527</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7527</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103985</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103985</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5619</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v>26866</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305263</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328675</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5468477</v>
      </c>
      <c r="D275" s="1737">
        <f t="shared" si="12"/>
        <v>1065088</v>
      </c>
      <c r="E275" s="1737">
        <f t="shared" si="12"/>
        <v>1858162</v>
      </c>
      <c r="F275" s="1737">
        <f t="shared" si="12"/>
        <v>410686</v>
      </c>
      <c r="G275" s="1737">
        <f t="shared" si="12"/>
        <v>193302</v>
      </c>
      <c r="H275" s="1737">
        <f t="shared" si="12"/>
        <v>0</v>
      </c>
      <c r="I275" s="1737">
        <f t="shared" si="12"/>
        <v>103006</v>
      </c>
      <c r="J275" s="1737">
        <f t="shared" si="12"/>
        <v>365313</v>
      </c>
      <c r="K275" s="1724">
        <f t="shared" si="12"/>
        <v>92974</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&amp;L&amp;8See notes.
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5" activePane="bottomLeft" state="frozen"/>
      <selection activeCell="A8" sqref="A8"/>
      <selection pane="bottomLeft" activeCell="A8" sqref="A8"/>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6"/>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2" t="s">
        <v>315</v>
      </c>
      <c r="B3" s="2183"/>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2607762</v>
      </c>
      <c r="D5" s="466">
        <v>620569</v>
      </c>
      <c r="E5" s="466"/>
      <c r="F5" s="466">
        <v>88731</v>
      </c>
      <c r="G5" s="466"/>
      <c r="H5" s="466"/>
      <c r="I5" s="467">
        <v>70485</v>
      </c>
      <c r="J5" s="467"/>
      <c r="K5" s="1693">
        <f>SUM(C5:J5)</f>
        <v>3387547</v>
      </c>
      <c r="L5" s="466">
        <v>3351971</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62330</v>
      </c>
      <c r="D7" s="467">
        <v>8769</v>
      </c>
      <c r="E7" s="467"/>
      <c r="F7" s="467">
        <v>2507</v>
      </c>
      <c r="G7" s="467"/>
      <c r="H7" s="467"/>
      <c r="I7" s="467"/>
      <c r="J7" s="467"/>
      <c r="K7" s="1693">
        <f t="shared" ref="K7:K32" si="0">SUM(C7:J7)</f>
        <v>73606</v>
      </c>
      <c r="L7" s="466">
        <v>80175</v>
      </c>
    </row>
    <row r="8" spans="1:14" x14ac:dyDescent="0.2">
      <c r="A8" s="1526" t="s">
        <v>166</v>
      </c>
      <c r="B8" s="615">
        <v>1200</v>
      </c>
      <c r="C8" s="466">
        <v>428217</v>
      </c>
      <c r="D8" s="466">
        <v>87816</v>
      </c>
      <c r="E8" s="466"/>
      <c r="F8" s="466">
        <v>388</v>
      </c>
      <c r="G8" s="466"/>
      <c r="H8" s="466"/>
      <c r="I8" s="467"/>
      <c r="J8" s="467"/>
      <c r="K8" s="1693">
        <f t="shared" si="0"/>
        <v>516421</v>
      </c>
      <c r="L8" s="466">
        <v>526528</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80307</v>
      </c>
      <c r="D10" s="466">
        <v>3570</v>
      </c>
      <c r="E10" s="466">
        <v>8046</v>
      </c>
      <c r="F10" s="466"/>
      <c r="G10" s="466"/>
      <c r="H10" s="466"/>
      <c r="I10" s="467"/>
      <c r="J10" s="467"/>
      <c r="K10" s="1693">
        <f t="shared" si="0"/>
        <v>91923</v>
      </c>
      <c r="L10" s="466">
        <v>96500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64702</v>
      </c>
      <c r="D14" s="466">
        <v>5666</v>
      </c>
      <c r="E14" s="466"/>
      <c r="F14" s="466"/>
      <c r="G14" s="466"/>
      <c r="H14" s="466"/>
      <c r="I14" s="467"/>
      <c r="J14" s="467"/>
      <c r="K14" s="1693">
        <f t="shared" si="0"/>
        <v>70368</v>
      </c>
      <c r="L14" s="466">
        <v>67901</v>
      </c>
    </row>
    <row r="15" spans="1:14" x14ac:dyDescent="0.2">
      <c r="A15" s="1526" t="s">
        <v>1021</v>
      </c>
      <c r="B15" s="615">
        <v>1600</v>
      </c>
      <c r="C15" s="466">
        <v>1525</v>
      </c>
      <c r="D15" s="466">
        <v>194</v>
      </c>
      <c r="E15" s="466"/>
      <c r="F15" s="466"/>
      <c r="G15" s="466"/>
      <c r="H15" s="466"/>
      <c r="I15" s="467"/>
      <c r="J15" s="467"/>
      <c r="K15" s="1693">
        <f t="shared" si="0"/>
        <v>1719</v>
      </c>
      <c r="L15" s="466">
        <v>2200</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v>54216</v>
      </c>
      <c r="I22" s="617"/>
      <c r="J22" s="477"/>
      <c r="K22" s="1693">
        <f t="shared" si="0"/>
        <v>54216</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3244843</v>
      </c>
      <c r="D33" s="1692">
        <f t="shared" ref="D33:L33" si="1">SUM(D5:D32)</f>
        <v>726584</v>
      </c>
      <c r="E33" s="1692">
        <f t="shared" si="1"/>
        <v>8046</v>
      </c>
      <c r="F33" s="1692">
        <f t="shared" si="1"/>
        <v>91626</v>
      </c>
      <c r="G33" s="1692">
        <f t="shared" si="1"/>
        <v>0</v>
      </c>
      <c r="H33" s="1692">
        <f t="shared" si="1"/>
        <v>54216</v>
      </c>
      <c r="I33" s="1692">
        <f t="shared" si="1"/>
        <v>70485</v>
      </c>
      <c r="J33" s="1692">
        <f t="shared" si="1"/>
        <v>0</v>
      </c>
      <c r="K33" s="1692">
        <f t="shared" si="1"/>
        <v>4195800</v>
      </c>
      <c r="L33" s="1692">
        <f t="shared" si="1"/>
        <v>4125275</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78130</v>
      </c>
      <c r="D36" s="481">
        <v>26382</v>
      </c>
      <c r="E36" s="481"/>
      <c r="F36" s="481">
        <v>100</v>
      </c>
      <c r="G36" s="481"/>
      <c r="H36" s="481"/>
      <c r="I36" s="467"/>
      <c r="J36" s="467"/>
      <c r="K36" s="1693">
        <f t="shared" ref="K36:K41" si="2">SUM(C36:J36)</f>
        <v>104612</v>
      </c>
      <c r="L36" s="466">
        <v>110850</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28868</v>
      </c>
      <c r="D38" s="466"/>
      <c r="E38" s="466">
        <v>45277</v>
      </c>
      <c r="F38" s="466">
        <v>3264</v>
      </c>
      <c r="G38" s="466"/>
      <c r="H38" s="466">
        <v>50</v>
      </c>
      <c r="I38" s="467"/>
      <c r="J38" s="467"/>
      <c r="K38" s="1693">
        <f t="shared" si="2"/>
        <v>77459</v>
      </c>
      <c r="L38" s="466">
        <v>91121</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v>76422</v>
      </c>
      <c r="D40" s="466">
        <v>18875</v>
      </c>
      <c r="E40" s="466"/>
      <c r="F40" s="466"/>
      <c r="G40" s="466"/>
      <c r="H40" s="466"/>
      <c r="I40" s="467"/>
      <c r="J40" s="467"/>
      <c r="K40" s="1693">
        <f t="shared" si="2"/>
        <v>95297</v>
      </c>
      <c r="L40" s="466">
        <v>94612</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183420</v>
      </c>
      <c r="D42" s="1692">
        <f t="shared" ref="D42:L42" si="3">SUM(D36:D41)</f>
        <v>45257</v>
      </c>
      <c r="E42" s="1692">
        <f t="shared" si="3"/>
        <v>45277</v>
      </c>
      <c r="F42" s="1692">
        <f t="shared" si="3"/>
        <v>3364</v>
      </c>
      <c r="G42" s="1692">
        <f t="shared" si="3"/>
        <v>0</v>
      </c>
      <c r="H42" s="1692">
        <f t="shared" si="3"/>
        <v>50</v>
      </c>
      <c r="I42" s="1692">
        <f t="shared" si="3"/>
        <v>0</v>
      </c>
      <c r="J42" s="1692">
        <f t="shared" si="3"/>
        <v>0</v>
      </c>
      <c r="K42" s="1692">
        <f t="shared" si="3"/>
        <v>277368</v>
      </c>
      <c r="L42" s="1692">
        <f t="shared" si="3"/>
        <v>296583</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13085</v>
      </c>
      <c r="D44" s="481">
        <v>953</v>
      </c>
      <c r="E44" s="481"/>
      <c r="F44" s="481">
        <v>7966</v>
      </c>
      <c r="G44" s="481"/>
      <c r="H44" s="481"/>
      <c r="I44" s="467"/>
      <c r="J44" s="467"/>
      <c r="K44" s="1694">
        <f>SUM(C44:J44)</f>
        <v>22004</v>
      </c>
      <c r="L44" s="481">
        <v>35700</v>
      </c>
    </row>
    <row r="45" spans="1:14" x14ac:dyDescent="0.2">
      <c r="A45" s="1526" t="s">
        <v>869</v>
      </c>
      <c r="B45" s="615">
        <v>2220</v>
      </c>
      <c r="C45" s="466">
        <v>9141</v>
      </c>
      <c r="D45" s="466"/>
      <c r="E45" s="466"/>
      <c r="F45" s="466">
        <v>29</v>
      </c>
      <c r="G45" s="466"/>
      <c r="H45" s="466"/>
      <c r="I45" s="467"/>
      <c r="J45" s="467"/>
      <c r="K45" s="1694">
        <f>SUM(C45:J45)</f>
        <v>9170</v>
      </c>
      <c r="L45" s="466">
        <v>6864</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22226</v>
      </c>
      <c r="D47" s="1692">
        <f t="shared" ref="D47:K47" si="4">SUM(D44:D46)</f>
        <v>953</v>
      </c>
      <c r="E47" s="1692">
        <f t="shared" si="4"/>
        <v>0</v>
      </c>
      <c r="F47" s="1692">
        <f t="shared" si="4"/>
        <v>7995</v>
      </c>
      <c r="G47" s="1692">
        <f t="shared" si="4"/>
        <v>0</v>
      </c>
      <c r="H47" s="1692">
        <f t="shared" si="4"/>
        <v>0</v>
      </c>
      <c r="I47" s="1692">
        <f t="shared" si="4"/>
        <v>0</v>
      </c>
      <c r="J47" s="1692">
        <f t="shared" si="4"/>
        <v>0</v>
      </c>
      <c r="K47" s="1692">
        <f t="shared" si="4"/>
        <v>31174</v>
      </c>
      <c r="L47" s="1692">
        <f>SUM(L44:L46)</f>
        <v>42564</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1500</v>
      </c>
      <c r="D49" s="481"/>
      <c r="E49" s="481">
        <v>23661</v>
      </c>
      <c r="F49" s="481">
        <v>9802</v>
      </c>
      <c r="G49" s="481"/>
      <c r="H49" s="481">
        <v>8067</v>
      </c>
      <c r="I49" s="467"/>
      <c r="J49" s="467"/>
      <c r="K49" s="1694">
        <f>SUM(C49:J49)</f>
        <v>43030</v>
      </c>
      <c r="L49" s="481">
        <v>40000</v>
      </c>
    </row>
    <row r="50" spans="1:14" x14ac:dyDescent="0.2">
      <c r="A50" s="1526" t="s">
        <v>872</v>
      </c>
      <c r="B50" s="615">
        <v>2320</v>
      </c>
      <c r="C50" s="466">
        <v>158165</v>
      </c>
      <c r="D50" s="466">
        <v>39499</v>
      </c>
      <c r="E50" s="466">
        <v>1485</v>
      </c>
      <c r="F50" s="466">
        <v>3037</v>
      </c>
      <c r="G50" s="466"/>
      <c r="H50" s="466">
        <v>1275</v>
      </c>
      <c r="I50" s="467"/>
      <c r="J50" s="467"/>
      <c r="K50" s="1694">
        <f>SUM(C50:J50)</f>
        <v>203461</v>
      </c>
      <c r="L50" s="466">
        <v>203795</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159665</v>
      </c>
      <c r="D53" s="1692">
        <f t="shared" ref="D53:L53" si="5">SUM(D49:D52)</f>
        <v>39499</v>
      </c>
      <c r="E53" s="1692">
        <f t="shared" si="5"/>
        <v>25146</v>
      </c>
      <c r="F53" s="1692">
        <f t="shared" si="5"/>
        <v>12839</v>
      </c>
      <c r="G53" s="1692">
        <f t="shared" si="5"/>
        <v>0</v>
      </c>
      <c r="H53" s="1692">
        <f t="shared" si="5"/>
        <v>9342</v>
      </c>
      <c r="I53" s="1692">
        <f t="shared" si="5"/>
        <v>0</v>
      </c>
      <c r="J53" s="1692">
        <f t="shared" si="5"/>
        <v>0</v>
      </c>
      <c r="K53" s="1692">
        <f t="shared" si="5"/>
        <v>246491</v>
      </c>
      <c r="L53" s="1692">
        <f t="shared" si="5"/>
        <v>243795</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332885</v>
      </c>
      <c r="D55" s="481">
        <v>88660</v>
      </c>
      <c r="E55" s="481">
        <v>15401</v>
      </c>
      <c r="F55" s="481">
        <v>6375</v>
      </c>
      <c r="G55" s="481"/>
      <c r="H55" s="481">
        <v>1295</v>
      </c>
      <c r="I55" s="467"/>
      <c r="J55" s="467"/>
      <c r="K55" s="1694">
        <f>SUM(C55:J55)</f>
        <v>444616</v>
      </c>
      <c r="L55" s="481">
        <v>431150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332885</v>
      </c>
      <c r="D57" s="1696">
        <f t="shared" ref="D57:K57" si="6">SUM(D55:D56)</f>
        <v>88660</v>
      </c>
      <c r="E57" s="1696">
        <f t="shared" si="6"/>
        <v>15401</v>
      </c>
      <c r="F57" s="1696">
        <f t="shared" si="6"/>
        <v>6375</v>
      </c>
      <c r="G57" s="1696">
        <f t="shared" si="6"/>
        <v>0</v>
      </c>
      <c r="H57" s="1696">
        <f t="shared" si="6"/>
        <v>1295</v>
      </c>
      <c r="I57" s="1696">
        <f t="shared" si="6"/>
        <v>0</v>
      </c>
      <c r="J57" s="1696">
        <f t="shared" si="6"/>
        <v>0</v>
      </c>
      <c r="K57" s="1696">
        <f t="shared" si="6"/>
        <v>444616</v>
      </c>
      <c r="L57" s="1692">
        <f>SUM(L55:L56)</f>
        <v>431150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28700</v>
      </c>
      <c r="D60" s="466">
        <v>1000</v>
      </c>
      <c r="E60" s="466">
        <v>32</v>
      </c>
      <c r="F60" s="466">
        <v>965</v>
      </c>
      <c r="G60" s="466"/>
      <c r="H60" s="466"/>
      <c r="I60" s="467"/>
      <c r="J60" s="467"/>
      <c r="K60" s="1694">
        <f t="shared" si="7"/>
        <v>30697</v>
      </c>
      <c r="L60" s="466">
        <v>32400</v>
      </c>
      <c r="M60" s="610"/>
      <c r="N60" s="610"/>
    </row>
    <row r="61" spans="1:14" s="343" customFormat="1" x14ac:dyDescent="0.2">
      <c r="A61" s="1526" t="s">
        <v>206</v>
      </c>
      <c r="B61" s="615">
        <v>2540</v>
      </c>
      <c r="C61" s="466"/>
      <c r="D61" s="466"/>
      <c r="E61" s="466"/>
      <c r="F61" s="466">
        <v>31756</v>
      </c>
      <c r="G61" s="466"/>
      <c r="H61" s="466"/>
      <c r="I61" s="467"/>
      <c r="J61" s="467"/>
      <c r="K61" s="1694">
        <f t="shared" si="7"/>
        <v>31756</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6364</v>
      </c>
      <c r="D63" s="466"/>
      <c r="E63" s="466">
        <v>180178</v>
      </c>
      <c r="F63" s="466">
        <v>857</v>
      </c>
      <c r="G63" s="466"/>
      <c r="H63" s="466"/>
      <c r="I63" s="467"/>
      <c r="J63" s="467"/>
      <c r="K63" s="1694">
        <f t="shared" si="7"/>
        <v>187399</v>
      </c>
      <c r="L63" s="466">
        <v>226922</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35064</v>
      </c>
      <c r="D65" s="1692">
        <f t="shared" ref="D65:L65" si="8">SUM(D59:D64)</f>
        <v>1000</v>
      </c>
      <c r="E65" s="1692">
        <f t="shared" si="8"/>
        <v>180210</v>
      </c>
      <c r="F65" s="1692">
        <f t="shared" si="8"/>
        <v>33578</v>
      </c>
      <c r="G65" s="1692">
        <f t="shared" si="8"/>
        <v>0</v>
      </c>
      <c r="H65" s="1692">
        <f t="shared" si="8"/>
        <v>0</v>
      </c>
      <c r="I65" s="1692">
        <f t="shared" si="8"/>
        <v>0</v>
      </c>
      <c r="J65" s="1692">
        <f t="shared" si="8"/>
        <v>0</v>
      </c>
      <c r="K65" s="1692">
        <f t="shared" si="8"/>
        <v>249852</v>
      </c>
      <c r="L65" s="1692">
        <f t="shared" si="8"/>
        <v>259322</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733260</v>
      </c>
      <c r="D74" s="1699">
        <f t="shared" ref="D74:K74" si="10">SUM(D42,D47,D53,D57,D65,D72,D73)</f>
        <v>175369</v>
      </c>
      <c r="E74" s="1699">
        <f t="shared" si="10"/>
        <v>266034</v>
      </c>
      <c r="F74" s="1699">
        <f t="shared" si="10"/>
        <v>64151</v>
      </c>
      <c r="G74" s="1699">
        <f t="shared" si="10"/>
        <v>0</v>
      </c>
      <c r="H74" s="1699">
        <f t="shared" si="10"/>
        <v>10687</v>
      </c>
      <c r="I74" s="1699">
        <f t="shared" si="10"/>
        <v>0</v>
      </c>
      <c r="J74" s="1699">
        <f t="shared" si="10"/>
        <v>0</v>
      </c>
      <c r="K74" s="1699">
        <f t="shared" si="10"/>
        <v>1249501</v>
      </c>
      <c r="L74" s="1699">
        <f>SUM(L42,L47,L53,L57,L65,L72,L73)</f>
        <v>1273414</v>
      </c>
    </row>
    <row r="75" spans="1:14" s="259" customFormat="1" ht="15.75" customHeight="1" thickTop="1" thickBot="1" x14ac:dyDescent="0.25">
      <c r="A75" s="1632" t="s">
        <v>49</v>
      </c>
      <c r="B75" s="1633" t="s">
        <v>596</v>
      </c>
      <c r="C75" s="573">
        <v>88593</v>
      </c>
      <c r="D75" s="573">
        <v>4115</v>
      </c>
      <c r="E75" s="573">
        <v>1421</v>
      </c>
      <c r="F75" s="573">
        <v>10479</v>
      </c>
      <c r="G75" s="573"/>
      <c r="H75" s="573"/>
      <c r="I75" s="531"/>
      <c r="J75" s="531"/>
      <c r="K75" s="1692">
        <f>SUM(C75:J75)</f>
        <v>104608</v>
      </c>
      <c r="L75" s="576">
        <v>118429</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v>14504</v>
      </c>
      <c r="F79" s="617"/>
      <c r="G79" s="617"/>
      <c r="H79" s="466"/>
      <c r="I79" s="477"/>
      <c r="J79" s="477"/>
      <c r="K79" s="1693">
        <f t="shared" si="11"/>
        <v>14504</v>
      </c>
      <c r="L79" s="466">
        <v>16700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14504</v>
      </c>
      <c r="F84" s="617"/>
      <c r="G84" s="617"/>
      <c r="H84" s="1692">
        <f>SUM(H78:H83)</f>
        <v>0</v>
      </c>
      <c r="I84" s="477"/>
      <c r="J84" s="477"/>
      <c r="K84" s="1692">
        <f>SUM(K78:K83)</f>
        <v>14504</v>
      </c>
      <c r="L84" s="1692">
        <f>SUM(L78:L83)</f>
        <v>16700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v>220931</v>
      </c>
      <c r="I86" s="477"/>
      <c r="J86" s="477"/>
      <c r="K86" s="1699">
        <f t="shared" ref="K86:K98" si="12">H86</f>
        <v>220931</v>
      </c>
      <c r="L86" s="530">
        <v>250000</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220931</v>
      </c>
      <c r="I92" s="477"/>
      <c r="J92" s="477"/>
      <c r="K92" s="1699">
        <f t="shared" si="12"/>
        <v>220931</v>
      </c>
      <c r="L92" s="1692">
        <f>SUM(L85:L91)</f>
        <v>250000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14504</v>
      </c>
      <c r="F102" s="617"/>
      <c r="G102" s="617"/>
      <c r="H102" s="1699">
        <f>SUM(H84,H92,H100,H101)</f>
        <v>220931</v>
      </c>
      <c r="I102" s="477"/>
      <c r="J102" s="477"/>
      <c r="K102" s="1699">
        <f>SUM(K84,K92,K100,K101)</f>
        <v>235435</v>
      </c>
      <c r="L102" s="1699">
        <f>SUM(L84,L92,L100,L101)</f>
        <v>266700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4066696</v>
      </c>
      <c r="D114" s="1692">
        <f t="shared" ref="D114:K114" si="13">SUM(D33,D74,D75,D102,D112,D113)</f>
        <v>906068</v>
      </c>
      <c r="E114" s="1692">
        <f t="shared" si="13"/>
        <v>290005</v>
      </c>
      <c r="F114" s="1692">
        <f t="shared" si="13"/>
        <v>166256</v>
      </c>
      <c r="G114" s="1692">
        <f t="shared" si="13"/>
        <v>0</v>
      </c>
      <c r="H114" s="1692">
        <f>SUM(H33,H74,H75,H102,H112,H113)</f>
        <v>285834</v>
      </c>
      <c r="I114" s="1692">
        <f t="shared" si="13"/>
        <v>70485</v>
      </c>
      <c r="J114" s="1692">
        <f t="shared" si="13"/>
        <v>0</v>
      </c>
      <c r="K114" s="1692">
        <f t="shared" si="13"/>
        <v>5785344</v>
      </c>
      <c r="L114" s="1692">
        <f>SUM(L33,L74,L75,L102,L112,L113)</f>
        <v>5783818</v>
      </c>
    </row>
    <row r="115" spans="1:14" ht="13.5" thickTop="1" x14ac:dyDescent="0.2">
      <c r="A115" s="2174" t="s">
        <v>1053</v>
      </c>
      <c r="B115" s="2175"/>
      <c r="C115" s="619"/>
      <c r="D115" s="619"/>
      <c r="E115" s="619"/>
      <c r="F115" s="619"/>
      <c r="G115" s="619"/>
      <c r="H115" s="619"/>
      <c r="I115" s="619"/>
      <c r="J115" s="619"/>
      <c r="K115" s="1706">
        <f>'Revenues 9-14'!C275-'Expenditures 15-22'!K114</f>
        <v>-316867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9" t="s">
        <v>314</v>
      </c>
      <c r="B117" s="2180"/>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335042</v>
      </c>
      <c r="D124" s="466">
        <v>52934</v>
      </c>
      <c r="E124" s="466">
        <v>351304</v>
      </c>
      <c r="F124" s="466">
        <v>324164</v>
      </c>
      <c r="G124" s="466">
        <v>38257</v>
      </c>
      <c r="H124" s="466"/>
      <c r="I124" s="467"/>
      <c r="J124" s="467"/>
      <c r="K124" s="1692">
        <f>SUM(C124:J124)</f>
        <v>1101701</v>
      </c>
      <c r="L124" s="466">
        <v>1262136</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335042</v>
      </c>
      <c r="D127" s="1692">
        <f t="shared" ref="D127:L127" si="14">SUM(D122:D126)</f>
        <v>52934</v>
      </c>
      <c r="E127" s="1692">
        <f t="shared" si="14"/>
        <v>351304</v>
      </c>
      <c r="F127" s="1692">
        <f t="shared" si="14"/>
        <v>324164</v>
      </c>
      <c r="G127" s="1692">
        <f t="shared" si="14"/>
        <v>38257</v>
      </c>
      <c r="H127" s="1692">
        <f t="shared" si="14"/>
        <v>0</v>
      </c>
      <c r="I127" s="1692">
        <f t="shared" si="14"/>
        <v>0</v>
      </c>
      <c r="J127" s="1692">
        <f t="shared" si="14"/>
        <v>0</v>
      </c>
      <c r="K127" s="1692">
        <f t="shared" si="14"/>
        <v>1101701</v>
      </c>
      <c r="L127" s="1692">
        <f t="shared" si="14"/>
        <v>1262136</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335042</v>
      </c>
      <c r="D129" s="1699">
        <f t="shared" ref="D129:L129" si="15">SUM(D120,D127,D128)</f>
        <v>52934</v>
      </c>
      <c r="E129" s="1699">
        <f t="shared" si="15"/>
        <v>351304</v>
      </c>
      <c r="F129" s="1699">
        <f t="shared" si="15"/>
        <v>324164</v>
      </c>
      <c r="G129" s="1699">
        <f t="shared" si="15"/>
        <v>38257</v>
      </c>
      <c r="H129" s="1699">
        <f t="shared" si="15"/>
        <v>0</v>
      </c>
      <c r="I129" s="1699">
        <f t="shared" si="15"/>
        <v>0</v>
      </c>
      <c r="J129" s="1699">
        <f t="shared" si="15"/>
        <v>0</v>
      </c>
      <c r="K129" s="1699">
        <f t="shared" si="15"/>
        <v>1101701</v>
      </c>
      <c r="L129" s="1699">
        <f t="shared" si="15"/>
        <v>1262136</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1956</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1" t="s">
        <v>641</v>
      </c>
      <c r="B151" s="2171"/>
      <c r="C151" s="1692">
        <f>SUM(C129,C130,C139,C149,C150)</f>
        <v>335042</v>
      </c>
      <c r="D151" s="1692">
        <f t="shared" ref="D151:K151" si="16">SUM(D129,D130,D139,D149,D150)</f>
        <v>52934</v>
      </c>
      <c r="E151" s="1692">
        <f t="shared" si="16"/>
        <v>351304</v>
      </c>
      <c r="F151" s="1692">
        <f t="shared" si="16"/>
        <v>324164</v>
      </c>
      <c r="G151" s="1692">
        <f t="shared" si="16"/>
        <v>38257</v>
      </c>
      <c r="H151" s="1692">
        <f t="shared" si="16"/>
        <v>0</v>
      </c>
      <c r="I151" s="1692">
        <f t="shared" si="16"/>
        <v>0</v>
      </c>
      <c r="J151" s="1692">
        <f t="shared" si="16"/>
        <v>0</v>
      </c>
      <c r="K151" s="1692">
        <f t="shared" si="16"/>
        <v>1101701</v>
      </c>
      <c r="L151" s="1692">
        <f>SUM(L129,L130,L139,L149,L150)</f>
        <v>1262136</v>
      </c>
    </row>
    <row r="152" spans="1:14" ht="12.75" customHeight="1" thickTop="1" x14ac:dyDescent="0.2">
      <c r="A152" s="2194" t="s">
        <v>1240</v>
      </c>
      <c r="B152" s="2195"/>
      <c r="C152" s="619"/>
      <c r="D152" s="619"/>
      <c r="E152" s="619"/>
      <c r="F152" s="619"/>
      <c r="G152" s="619"/>
      <c r="H152" s="619"/>
      <c r="I152" s="619"/>
      <c r="J152" s="617"/>
      <c r="K152" s="1706">
        <f>'Revenues 9-14'!D275-'Expenditures 15-22'!K151</f>
        <v>-36613</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9" t="s">
        <v>642</v>
      </c>
      <c r="B154" s="2181"/>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1956</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1958</v>
      </c>
      <c r="C158" s="617"/>
      <c r="D158" s="617"/>
      <c r="E158" s="617"/>
      <c r="F158" s="617"/>
      <c r="G158" s="617"/>
      <c r="H158" s="467"/>
      <c r="I158" s="617"/>
      <c r="J158" s="617"/>
      <c r="K158" s="1693">
        <f>H158</f>
        <v>0</v>
      </c>
      <c r="L158" s="467"/>
      <c r="M158" s="620"/>
      <c r="N158" s="620"/>
    </row>
    <row r="159" spans="1:14" s="621" customFormat="1" ht="12" x14ac:dyDescent="0.2">
      <c r="A159" s="1849" t="s">
        <v>1959</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1960</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v>1300</v>
      </c>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1300</v>
      </c>
    </row>
    <row r="169" spans="1:14" ht="15.75" customHeight="1" thickTop="1" x14ac:dyDescent="0.2">
      <c r="A169" s="670" t="s">
        <v>85</v>
      </c>
      <c r="B169" s="671" t="s">
        <v>38</v>
      </c>
      <c r="C169" s="617"/>
      <c r="D169" s="617"/>
      <c r="E169" s="617"/>
      <c r="F169" s="617"/>
      <c r="G169" s="617"/>
      <c r="H169" s="657">
        <v>69818</v>
      </c>
      <c r="I169" s="617"/>
      <c r="J169" s="617"/>
      <c r="K169" s="1693">
        <f>SUM(C169:H169)</f>
        <v>69818</v>
      </c>
      <c r="L169" s="657">
        <v>1839817</v>
      </c>
    </row>
    <row r="170" spans="1:14" ht="33.75" customHeight="1" x14ac:dyDescent="0.2">
      <c r="A170" s="670" t="s">
        <v>1769</v>
      </c>
      <c r="B170" s="672" t="s">
        <v>31</v>
      </c>
      <c r="C170" s="617"/>
      <c r="D170" s="617"/>
      <c r="E170" s="617"/>
      <c r="F170" s="617"/>
      <c r="G170" s="617"/>
      <c r="H170" s="569">
        <v>1770000</v>
      </c>
      <c r="I170" s="617"/>
      <c r="J170" s="617"/>
      <c r="K170" s="1693">
        <f>SUM(C170:J170)</f>
        <v>1770000</v>
      </c>
      <c r="L170" s="569"/>
    </row>
    <row r="171" spans="1:14" ht="15.75" customHeight="1" x14ac:dyDescent="0.2">
      <c r="A171" s="622" t="s">
        <v>790</v>
      </c>
      <c r="B171" s="673" t="s">
        <v>86</v>
      </c>
      <c r="C171" s="617"/>
      <c r="D171" s="617"/>
      <c r="E171" s="466">
        <v>1219</v>
      </c>
      <c r="F171" s="617"/>
      <c r="G171" s="617"/>
      <c r="H171" s="569"/>
      <c r="I171" s="477"/>
      <c r="J171" s="617"/>
      <c r="K171" s="1693">
        <f>SUM(C171:J171)</f>
        <v>1219</v>
      </c>
      <c r="L171" s="569"/>
    </row>
    <row r="172" spans="1:14" ht="12.75" customHeight="1" thickBot="1" x14ac:dyDescent="0.25">
      <c r="A172" s="1690" t="s">
        <v>659</v>
      </c>
      <c r="B172" s="1691" t="s">
        <v>513</v>
      </c>
      <c r="C172" s="617"/>
      <c r="D172" s="617"/>
      <c r="E172" s="1699">
        <f>SUM(E168,E169,E170,E171)</f>
        <v>1219</v>
      </c>
      <c r="F172" s="617"/>
      <c r="G172" s="617"/>
      <c r="H172" s="1699">
        <f>SUM(H168,H169,H170,H171)</f>
        <v>1839818</v>
      </c>
      <c r="I172" s="639"/>
      <c r="J172" s="617"/>
      <c r="K172" s="1699">
        <f>SUM(K168,K169,K170,K171)</f>
        <v>1841037</v>
      </c>
      <c r="L172" s="1699">
        <f>SUM(L168,L169,L170,L171)</f>
        <v>1841117</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1219</v>
      </c>
      <c r="F174" s="617"/>
      <c r="G174" s="617"/>
      <c r="H174" s="1699">
        <f>SUM(H160,H172,H173)</f>
        <v>1839818</v>
      </c>
      <c r="I174" s="639"/>
      <c r="J174" s="617"/>
      <c r="K174" s="1699">
        <f>SUM(K160,K172,K173)</f>
        <v>1841037</v>
      </c>
      <c r="L174" s="1699">
        <f>SUM(L160,L172,L173)</f>
        <v>1841117</v>
      </c>
    </row>
    <row r="175" spans="1:14" ht="13.5" thickTop="1" x14ac:dyDescent="0.2">
      <c r="A175" s="2174" t="s">
        <v>1053</v>
      </c>
      <c r="B175" s="2175"/>
      <c r="C175" s="617"/>
      <c r="D175" s="617"/>
      <c r="E175" s="617"/>
      <c r="F175" s="617"/>
      <c r="G175" s="617"/>
      <c r="H175" s="619"/>
      <c r="I175" s="617"/>
      <c r="J175" s="617"/>
      <c r="K175" s="1706">
        <f>'Revenues 9-14'!E275-'Expenditures 15-22'!K174</f>
        <v>17125</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c r="D182" s="466"/>
      <c r="E182" s="466">
        <v>329184</v>
      </c>
      <c r="F182" s="466"/>
      <c r="G182" s="466"/>
      <c r="H182" s="466"/>
      <c r="I182" s="467"/>
      <c r="J182" s="467"/>
      <c r="K182" s="1693">
        <f>SUM(C182:J182)</f>
        <v>329184</v>
      </c>
      <c r="L182" s="466">
        <v>370000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0</v>
      </c>
      <c r="D184" s="1699">
        <f t="shared" ref="D184:J184" si="17">SUM(D180,D182,D183)</f>
        <v>0</v>
      </c>
      <c r="E184" s="1699">
        <f t="shared" si="17"/>
        <v>329184</v>
      </c>
      <c r="F184" s="1699">
        <f t="shared" si="17"/>
        <v>0</v>
      </c>
      <c r="G184" s="1699">
        <f t="shared" si="17"/>
        <v>0</v>
      </c>
      <c r="H184" s="1699">
        <f t="shared" si="17"/>
        <v>0</v>
      </c>
      <c r="I184" s="1699">
        <f t="shared" si="17"/>
        <v>0</v>
      </c>
      <c r="J184" s="1699">
        <f t="shared" si="17"/>
        <v>0</v>
      </c>
      <c r="K184" s="1699">
        <f>SUM(K180,K182,K183)</f>
        <v>329184</v>
      </c>
      <c r="L184" s="1699">
        <f>SUM(L180, L182:L183)</f>
        <v>370000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0</v>
      </c>
      <c r="D210" s="1692">
        <f>SUM(D184,D185)</f>
        <v>0</v>
      </c>
      <c r="E210" s="1692">
        <f>SUM(E184,E185,E196)</f>
        <v>329184</v>
      </c>
      <c r="F210" s="1692">
        <f>SUM(F184,F185)</f>
        <v>0</v>
      </c>
      <c r="G210" s="1692">
        <f>SUM(G184,G185)</f>
        <v>0</v>
      </c>
      <c r="H210" s="1692">
        <f>SUM(H184,H185,H196,H208,H209)</f>
        <v>0</v>
      </c>
      <c r="I210" s="1692">
        <f>SUM(I184,I185)</f>
        <v>0</v>
      </c>
      <c r="J210" s="1692">
        <f>SUM(J184,J185)</f>
        <v>0</v>
      </c>
      <c r="K210" s="1693">
        <f>SUM(K184,K185,K196,K208,K209)</f>
        <v>329184</v>
      </c>
      <c r="L210" s="1692">
        <f>SUM(L184,L185,L196,L208,L209)</f>
        <v>370000</v>
      </c>
    </row>
    <row r="211" spans="1:14" ht="13.5" thickTop="1" x14ac:dyDescent="0.2">
      <c r="A211" s="2174" t="s">
        <v>1053</v>
      </c>
      <c r="B211" s="2175"/>
      <c r="C211" s="619"/>
      <c r="D211" s="619"/>
      <c r="E211" s="619"/>
      <c r="F211" s="619"/>
      <c r="G211" s="619"/>
      <c r="H211" s="619"/>
      <c r="I211" s="617"/>
      <c r="J211" s="617"/>
      <c r="K211" s="1706">
        <f>'Revenues 9-14'!F275-'Expenditures 15-22'!K210</f>
        <v>81502</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6" t="s">
        <v>1022</v>
      </c>
      <c r="B213" s="2197"/>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40979</v>
      </c>
      <c r="E215" s="617"/>
      <c r="F215" s="617"/>
      <c r="G215" s="617"/>
      <c r="H215" s="617"/>
      <c r="I215" s="617"/>
      <c r="J215" s="617"/>
      <c r="K215" s="1693">
        <f>D215</f>
        <v>40979</v>
      </c>
      <c r="L215" s="466">
        <v>50100</v>
      </c>
    </row>
    <row r="216" spans="1:14" x14ac:dyDescent="0.2">
      <c r="A216" s="1526" t="s">
        <v>165</v>
      </c>
      <c r="B216" s="615" t="s">
        <v>1024</v>
      </c>
      <c r="C216" s="617"/>
      <c r="D216" s="467">
        <v>9916</v>
      </c>
      <c r="E216" s="617"/>
      <c r="F216" s="617"/>
      <c r="G216" s="617"/>
      <c r="H216" s="617"/>
      <c r="I216" s="617"/>
      <c r="J216" s="617"/>
      <c r="K216" s="1693">
        <f t="shared" ref="K216:K228" si="19">D216</f>
        <v>9916</v>
      </c>
      <c r="L216" s="466">
        <v>10600</v>
      </c>
    </row>
    <row r="217" spans="1:14" x14ac:dyDescent="0.2">
      <c r="A217" s="1526" t="s">
        <v>166</v>
      </c>
      <c r="B217" s="615">
        <v>1200</v>
      </c>
      <c r="C217" s="617"/>
      <c r="D217" s="466">
        <v>29075</v>
      </c>
      <c r="E217" s="617"/>
      <c r="F217" s="617"/>
      <c r="G217" s="617"/>
      <c r="H217" s="617"/>
      <c r="I217" s="617"/>
      <c r="J217" s="617"/>
      <c r="K217" s="1693">
        <f t="shared" si="19"/>
        <v>29075</v>
      </c>
      <c r="L217" s="466">
        <v>30900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14141</v>
      </c>
      <c r="E219" s="617"/>
      <c r="F219" s="617"/>
      <c r="G219" s="617"/>
      <c r="H219" s="617"/>
      <c r="I219" s="617"/>
      <c r="J219" s="617"/>
      <c r="K219" s="1693">
        <f t="shared" si="19"/>
        <v>14141</v>
      </c>
      <c r="L219" s="466">
        <v>11400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2378</v>
      </c>
      <c r="E223" s="617"/>
      <c r="F223" s="617"/>
      <c r="G223" s="617"/>
      <c r="H223" s="617"/>
      <c r="I223" s="617"/>
      <c r="J223" s="617"/>
      <c r="K223" s="1693">
        <f t="shared" si="19"/>
        <v>2378</v>
      </c>
      <c r="L223" s="466">
        <v>2200</v>
      </c>
    </row>
    <row r="224" spans="1:14" x14ac:dyDescent="0.2">
      <c r="A224" s="1526" t="s">
        <v>1021</v>
      </c>
      <c r="B224" s="615">
        <v>1600</v>
      </c>
      <c r="C224" s="617"/>
      <c r="D224" s="466">
        <v>22</v>
      </c>
      <c r="E224" s="617"/>
      <c r="F224" s="617"/>
      <c r="G224" s="617"/>
      <c r="H224" s="617"/>
      <c r="I224" s="617"/>
      <c r="J224" s="617"/>
      <c r="K224" s="1693">
        <f t="shared" si="19"/>
        <v>22</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96511</v>
      </c>
      <c r="E229" s="617"/>
      <c r="F229" s="617"/>
      <c r="G229" s="617"/>
      <c r="H229" s="617"/>
      <c r="I229" s="617"/>
      <c r="J229" s="617"/>
      <c r="K229" s="1692">
        <f>SUM(K215:K228)</f>
        <v>96511</v>
      </c>
      <c r="L229" s="1692">
        <f>SUM(L215:L228)</f>
        <v>105200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1000</v>
      </c>
      <c r="E232" s="617"/>
      <c r="F232" s="617"/>
      <c r="G232" s="617"/>
      <c r="H232" s="617"/>
      <c r="I232" s="617"/>
      <c r="J232" s="617"/>
      <c r="K232" s="1693">
        <f t="shared" ref="K232:K237" si="20">D232</f>
        <v>1000</v>
      </c>
      <c r="L232" s="466">
        <v>2200</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4164</v>
      </c>
      <c r="E234" s="617"/>
      <c r="F234" s="617"/>
      <c r="G234" s="617"/>
      <c r="H234" s="617"/>
      <c r="I234" s="617"/>
      <c r="J234" s="617"/>
      <c r="K234" s="1693">
        <f t="shared" si="20"/>
        <v>4164</v>
      </c>
      <c r="L234" s="466">
        <v>7200</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v>989</v>
      </c>
      <c r="E236" s="617"/>
      <c r="F236" s="617"/>
      <c r="G236" s="617"/>
      <c r="H236" s="617"/>
      <c r="I236" s="617"/>
      <c r="J236" s="617"/>
      <c r="K236" s="1693">
        <f t="shared" si="20"/>
        <v>989</v>
      </c>
      <c r="L236" s="466">
        <v>1200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6153</v>
      </c>
      <c r="E238" s="617"/>
      <c r="F238" s="617"/>
      <c r="G238" s="617"/>
      <c r="H238" s="617"/>
      <c r="I238" s="617"/>
      <c r="J238" s="617"/>
      <c r="K238" s="1692">
        <f>SUM(K232:K237)</f>
        <v>6153</v>
      </c>
      <c r="L238" s="1692">
        <f>SUM(L232:L237)</f>
        <v>10600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1693</v>
      </c>
      <c r="E240" s="617"/>
      <c r="F240" s="617"/>
      <c r="G240" s="617"/>
      <c r="H240" s="617"/>
      <c r="I240" s="617"/>
      <c r="J240" s="617"/>
      <c r="K240" s="1694">
        <f>D240</f>
        <v>1693</v>
      </c>
      <c r="L240" s="481"/>
    </row>
    <row r="241" spans="1:12" x14ac:dyDescent="0.2">
      <c r="A241" s="1526" t="s">
        <v>869</v>
      </c>
      <c r="B241" s="615">
        <v>2220</v>
      </c>
      <c r="C241" s="617"/>
      <c r="D241" s="466">
        <v>1616</v>
      </c>
      <c r="E241" s="617"/>
      <c r="F241" s="617"/>
      <c r="G241" s="617"/>
      <c r="H241" s="617"/>
      <c r="I241" s="617"/>
      <c r="J241" s="617"/>
      <c r="K241" s="1694">
        <f>D241</f>
        <v>1616</v>
      </c>
      <c r="L241" s="466">
        <v>1100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3309</v>
      </c>
      <c r="E243" s="617"/>
      <c r="F243" s="617"/>
      <c r="G243" s="617"/>
      <c r="H243" s="617"/>
      <c r="I243" s="617"/>
      <c r="J243" s="617"/>
      <c r="K243" s="1692">
        <f>SUM(K240:K242)</f>
        <v>3309</v>
      </c>
      <c r="L243" s="1692">
        <f>SUM(L240:L242)</f>
        <v>1100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115</v>
      </c>
      <c r="E245" s="617"/>
      <c r="F245" s="617"/>
      <c r="G245" s="617"/>
      <c r="H245" s="617"/>
      <c r="I245" s="617"/>
      <c r="J245" s="617"/>
      <c r="K245" s="1694">
        <f>D245</f>
        <v>115</v>
      </c>
      <c r="L245" s="481">
        <v>200</v>
      </c>
    </row>
    <row r="246" spans="1:12" x14ac:dyDescent="0.2">
      <c r="A246" s="1526" t="s">
        <v>872</v>
      </c>
      <c r="B246" s="615">
        <v>2320</v>
      </c>
      <c r="C246" s="617"/>
      <c r="D246" s="466">
        <v>9127</v>
      </c>
      <c r="E246" s="617"/>
      <c r="F246" s="617"/>
      <c r="G246" s="617"/>
      <c r="H246" s="617"/>
      <c r="I246" s="617"/>
      <c r="J246" s="617"/>
      <c r="K246" s="1694">
        <f t="shared" ref="K246:K256" si="21">D246</f>
        <v>9127</v>
      </c>
      <c r="L246" s="466">
        <v>7500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v>6349</v>
      </c>
      <c r="E252" s="617"/>
      <c r="F252" s="617"/>
      <c r="G252" s="617"/>
      <c r="H252" s="617"/>
      <c r="I252" s="617"/>
      <c r="J252" s="617"/>
      <c r="K252" s="1694">
        <f t="shared" si="21"/>
        <v>6349</v>
      </c>
      <c r="L252" s="466">
        <v>7700</v>
      </c>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15591</v>
      </c>
      <c r="E257" s="617"/>
      <c r="F257" s="617"/>
      <c r="G257" s="617"/>
      <c r="H257" s="617"/>
      <c r="I257" s="617"/>
      <c r="J257" s="617"/>
      <c r="K257" s="1692">
        <f>SUM(K245:K256)</f>
        <v>15591</v>
      </c>
      <c r="L257" s="1692">
        <f>SUM(L245:L256)</f>
        <v>15400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18445</v>
      </c>
      <c r="E259" s="617"/>
      <c r="F259" s="617"/>
      <c r="G259" s="617"/>
      <c r="H259" s="617"/>
      <c r="I259" s="617"/>
      <c r="J259" s="617"/>
      <c r="K259" s="1694">
        <f>D259</f>
        <v>18445</v>
      </c>
      <c r="L259" s="481">
        <v>17800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18445</v>
      </c>
      <c r="E261" s="617"/>
      <c r="F261" s="617"/>
      <c r="G261" s="617"/>
      <c r="H261" s="617"/>
      <c r="I261" s="617"/>
      <c r="J261" s="617"/>
      <c r="K261" s="1692">
        <f>SUM(K259:K260)</f>
        <v>18445</v>
      </c>
      <c r="L261" s="1692">
        <f>SUM(L259:L260)</f>
        <v>17800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5237</v>
      </c>
      <c r="E264" s="617"/>
      <c r="F264" s="617"/>
      <c r="G264" s="617"/>
      <c r="H264" s="617"/>
      <c r="I264" s="617"/>
      <c r="J264" s="617"/>
      <c r="K264" s="1694">
        <f t="shared" ref="K264:K269" si="22">D264</f>
        <v>5237</v>
      </c>
      <c r="L264" s="466">
        <v>5200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57349</v>
      </c>
      <c r="E266" s="617"/>
      <c r="F266" s="617"/>
      <c r="G266" s="617"/>
      <c r="H266" s="617"/>
      <c r="I266" s="617"/>
      <c r="J266" s="617"/>
      <c r="K266" s="1694">
        <f t="shared" si="22"/>
        <v>57349</v>
      </c>
      <c r="L266" s="466">
        <v>40700</v>
      </c>
    </row>
    <row r="267" spans="1:14" x14ac:dyDescent="0.2">
      <c r="A267" s="1526" t="s">
        <v>1010</v>
      </c>
      <c r="B267" s="615">
        <v>2550</v>
      </c>
      <c r="C267" s="617"/>
      <c r="D267" s="466"/>
      <c r="E267" s="617"/>
      <c r="F267" s="617"/>
      <c r="G267" s="617"/>
      <c r="H267" s="617"/>
      <c r="I267" s="617"/>
      <c r="J267" s="617"/>
      <c r="K267" s="1694">
        <f t="shared" si="22"/>
        <v>0</v>
      </c>
      <c r="L267" s="466"/>
    </row>
    <row r="268" spans="1:14" x14ac:dyDescent="0.2">
      <c r="A268" s="1526" t="s">
        <v>102</v>
      </c>
      <c r="B268" s="615">
        <v>2560</v>
      </c>
      <c r="C268" s="617"/>
      <c r="D268" s="466">
        <v>1124</v>
      </c>
      <c r="E268" s="617"/>
      <c r="F268" s="617"/>
      <c r="G268" s="617"/>
      <c r="H268" s="617"/>
      <c r="I268" s="617"/>
      <c r="J268" s="617"/>
      <c r="K268" s="1694">
        <f t="shared" si="22"/>
        <v>1124</v>
      </c>
      <c r="L268" s="466">
        <v>900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63710</v>
      </c>
      <c r="E270" s="617"/>
      <c r="F270" s="617"/>
      <c r="G270" s="617"/>
      <c r="H270" s="617"/>
      <c r="I270" s="617"/>
      <c r="J270" s="617"/>
      <c r="K270" s="1692">
        <f>SUM(K263:K269)</f>
        <v>63710</v>
      </c>
      <c r="L270" s="1692">
        <f>SUM(L263:L269)</f>
        <v>46800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107208</v>
      </c>
      <c r="E279" s="617"/>
      <c r="F279" s="617"/>
      <c r="G279" s="617"/>
      <c r="H279" s="617"/>
      <c r="I279" s="617"/>
      <c r="J279" s="617"/>
      <c r="K279" s="1699">
        <f>SUM(K238,K243,K257,K261,K270,K277,K278)</f>
        <v>107208</v>
      </c>
      <c r="L279" s="1699">
        <f>SUM(L238,L243,L257,L261,L270,L277,L278)</f>
        <v>91700</v>
      </c>
    </row>
    <row r="280" spans="1:12" ht="15.75" customHeight="1" thickTop="1" thickBot="1" x14ac:dyDescent="0.25">
      <c r="A280" s="1646" t="s">
        <v>930</v>
      </c>
      <c r="B280" s="1635">
        <v>3000</v>
      </c>
      <c r="C280" s="617"/>
      <c r="D280" s="576">
        <v>10356</v>
      </c>
      <c r="E280" s="617"/>
      <c r="F280" s="617"/>
      <c r="G280" s="617"/>
      <c r="H280" s="617"/>
      <c r="I280" s="617"/>
      <c r="J280" s="617"/>
      <c r="K280" s="1701">
        <f>D280</f>
        <v>10356</v>
      </c>
      <c r="L280" s="576">
        <v>13200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1956</v>
      </c>
      <c r="C282" s="617"/>
      <c r="D282" s="467"/>
      <c r="E282" s="617"/>
      <c r="F282" s="617"/>
      <c r="G282" s="617"/>
      <c r="H282" s="617"/>
      <c r="I282" s="617"/>
      <c r="J282" s="617"/>
      <c r="K282" s="1693">
        <f>D282</f>
        <v>0</v>
      </c>
      <c r="L282" s="467"/>
    </row>
    <row r="283" spans="1:12" x14ac:dyDescent="0.2">
      <c r="A283" s="1526" t="s">
        <v>322</v>
      </c>
      <c r="B283" s="615">
        <v>4120</v>
      </c>
      <c r="C283" s="617"/>
      <c r="D283" s="466">
        <v>1488</v>
      </c>
      <c r="E283" s="617"/>
      <c r="F283" s="617"/>
      <c r="G283" s="617"/>
      <c r="H283" s="617"/>
      <c r="I283" s="617"/>
      <c r="J283" s="617"/>
      <c r="K283" s="1693">
        <f>D283</f>
        <v>1488</v>
      </c>
      <c r="L283" s="466">
        <v>2000</v>
      </c>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1488</v>
      </c>
      <c r="E285" s="617"/>
      <c r="F285" s="617"/>
      <c r="G285" s="617"/>
      <c r="H285" s="617"/>
      <c r="I285" s="617"/>
      <c r="J285" s="617"/>
      <c r="K285" s="1692">
        <f>SUM(K282:K284)</f>
        <v>1488</v>
      </c>
      <c r="L285" s="1692">
        <f>SUM(L282:L284)</f>
        <v>2000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2" t="s">
        <v>526</v>
      </c>
      <c r="B295" s="2193"/>
      <c r="C295" s="617"/>
      <c r="D295" s="1692">
        <f>SUM(D229,D279,D280,D285)</f>
        <v>215563</v>
      </c>
      <c r="E295" s="617"/>
      <c r="F295" s="617"/>
      <c r="G295" s="617"/>
      <c r="H295" s="1692">
        <f>H293</f>
        <v>0</v>
      </c>
      <c r="I295" s="617"/>
      <c r="J295" s="617"/>
      <c r="K295" s="1692">
        <f>SUM(K229,K279,K280,K285,K293,K294)</f>
        <v>215563</v>
      </c>
      <c r="L295" s="1692">
        <f>SUM(L229,L279,L280,L285,L293,L294)</f>
        <v>212100</v>
      </c>
    </row>
    <row r="296" spans="1:14" ht="13.5" thickTop="1" x14ac:dyDescent="0.2">
      <c r="A296" s="2174" t="s">
        <v>1053</v>
      </c>
      <c r="B296" s="2175"/>
      <c r="C296" s="617"/>
      <c r="D296" s="619"/>
      <c r="E296" s="617"/>
      <c r="F296" s="617"/>
      <c r="G296" s="617"/>
      <c r="H296" s="688"/>
      <c r="I296" s="617"/>
      <c r="J296" s="617"/>
      <c r="K296" s="1706">
        <f>'Revenues 9-14'!G275-'Expenditures 15-22'!K295</f>
        <v>-22261</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4" t="s">
        <v>145</v>
      </c>
      <c r="B298" s="2178"/>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9" t="s">
        <v>295</v>
      </c>
      <c r="B312" s="2190"/>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5" t="s">
        <v>1053</v>
      </c>
      <c r="B313" s="2186"/>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8" t="s">
        <v>151</v>
      </c>
      <c r="B315" s="2199"/>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0" t="s">
        <v>954</v>
      </c>
      <c r="B317" s="2199"/>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v>32649</v>
      </c>
      <c r="F320" s="467"/>
      <c r="G320" s="467"/>
      <c r="H320" s="467"/>
      <c r="I320" s="467"/>
      <c r="J320" s="467"/>
      <c r="K320" s="1693">
        <f t="shared" ref="K320:K327" si="24">SUM(C320:J320)</f>
        <v>32649</v>
      </c>
      <c r="L320" s="467">
        <v>37000</v>
      </c>
      <c r="M320" s="666"/>
      <c r="N320" s="666"/>
    </row>
    <row r="321" spans="1:14" s="675" customFormat="1" x14ac:dyDescent="0.2">
      <c r="A321" s="1541" t="s">
        <v>318</v>
      </c>
      <c r="B321" s="698" t="s">
        <v>301</v>
      </c>
      <c r="C321" s="467"/>
      <c r="D321" s="467"/>
      <c r="E321" s="467">
        <v>3288</v>
      </c>
      <c r="F321" s="467"/>
      <c r="G321" s="467"/>
      <c r="H321" s="467"/>
      <c r="I321" s="467"/>
      <c r="J321" s="467"/>
      <c r="K321" s="1693">
        <f t="shared" si="24"/>
        <v>3288</v>
      </c>
      <c r="L321" s="467">
        <v>8000</v>
      </c>
      <c r="M321" s="666"/>
      <c r="N321" s="666"/>
    </row>
    <row r="322" spans="1:14" s="675" customFormat="1" x14ac:dyDescent="0.2">
      <c r="A322" s="1541" t="s">
        <v>256</v>
      </c>
      <c r="B322" s="698" t="s">
        <v>302</v>
      </c>
      <c r="C322" s="467"/>
      <c r="D322" s="467"/>
      <c r="E322" s="467">
        <v>36511</v>
      </c>
      <c r="F322" s="467"/>
      <c r="G322" s="467"/>
      <c r="H322" s="467"/>
      <c r="I322" s="467"/>
      <c r="J322" s="467"/>
      <c r="K322" s="1693">
        <f t="shared" si="24"/>
        <v>36511</v>
      </c>
      <c r="L322" s="467">
        <v>37000</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v>219461</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v>170358</v>
      </c>
      <c r="D325" s="467">
        <v>18900</v>
      </c>
      <c r="E325" s="467">
        <v>8009</v>
      </c>
      <c r="F325" s="467">
        <v>5903</v>
      </c>
      <c r="G325" s="467"/>
      <c r="H325" s="467"/>
      <c r="I325" s="467"/>
      <c r="J325" s="467"/>
      <c r="K325" s="1693">
        <f t="shared" si="24"/>
        <v>203170</v>
      </c>
      <c r="L325" s="467">
        <v>1000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31974</v>
      </c>
      <c r="F327" s="467"/>
      <c r="G327" s="467"/>
      <c r="H327" s="467"/>
      <c r="I327" s="467"/>
      <c r="J327" s="467"/>
      <c r="K327" s="1693">
        <f t="shared" si="24"/>
        <v>31974</v>
      </c>
      <c r="L327" s="467">
        <v>30000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170358</v>
      </c>
      <c r="D330" s="1692">
        <f t="shared" ref="D330:J330" si="25">SUM(D319:D329)</f>
        <v>18900</v>
      </c>
      <c r="E330" s="1692">
        <f t="shared" si="25"/>
        <v>112431</v>
      </c>
      <c r="F330" s="1692">
        <f t="shared" si="25"/>
        <v>5903</v>
      </c>
      <c r="G330" s="1692">
        <f t="shared" si="25"/>
        <v>0</v>
      </c>
      <c r="H330" s="1692">
        <f t="shared" si="25"/>
        <v>0</v>
      </c>
      <c r="I330" s="1692">
        <f t="shared" si="25"/>
        <v>0</v>
      </c>
      <c r="J330" s="1692">
        <f t="shared" si="25"/>
        <v>0</v>
      </c>
      <c r="K330" s="1692">
        <f>SUM(K319:K329)</f>
        <v>307592</v>
      </c>
      <c r="L330" s="1692">
        <f>SUM(L319:L329)</f>
        <v>332461</v>
      </c>
      <c r="M330" s="666"/>
      <c r="N330" s="666"/>
    </row>
    <row r="331" spans="1:14" s="675" customFormat="1" ht="12.75" customHeight="1" thickTop="1" x14ac:dyDescent="0.2">
      <c r="A331" s="1854" t="s">
        <v>1962</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1956</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1958</v>
      </c>
      <c r="C333" s="1856"/>
      <c r="D333" s="1856"/>
      <c r="E333" s="1856"/>
      <c r="F333" s="1856"/>
      <c r="G333" s="1856"/>
      <c r="H333" s="467">
        <v>6012</v>
      </c>
      <c r="I333" s="1856"/>
      <c r="J333" s="1856"/>
      <c r="K333" s="1693">
        <f>H333</f>
        <v>6012</v>
      </c>
      <c r="L333" s="467"/>
      <c r="M333" s="666"/>
      <c r="N333" s="666"/>
    </row>
    <row r="334" spans="1:14" s="675" customFormat="1" ht="12.75" customHeight="1" thickBot="1" x14ac:dyDescent="0.25">
      <c r="A334" s="1855" t="s">
        <v>1963</v>
      </c>
      <c r="B334" s="1850" t="s">
        <v>915</v>
      </c>
      <c r="C334" s="1856"/>
      <c r="D334" s="1856"/>
      <c r="E334" s="1856"/>
      <c r="F334" s="1856"/>
      <c r="G334" s="1856"/>
      <c r="H334" s="1692">
        <f>SUM(H332:H333)</f>
        <v>6012</v>
      </c>
      <c r="I334" s="1856"/>
      <c r="J334" s="1856"/>
      <c r="K334" s="1692">
        <f>SUM(K332:K333)</f>
        <v>6012</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170358</v>
      </c>
      <c r="D342" s="1692">
        <f>SUM(D330)</f>
        <v>18900</v>
      </c>
      <c r="E342" s="1692">
        <f>SUM(E330)</f>
        <v>112431</v>
      </c>
      <c r="F342" s="1692">
        <f>SUM(F330)</f>
        <v>5903</v>
      </c>
      <c r="G342" s="1692">
        <f>SUM(G330)</f>
        <v>0</v>
      </c>
      <c r="H342" s="1692">
        <f>SUM(H330,H334,H340)</f>
        <v>6012</v>
      </c>
      <c r="I342" s="1692">
        <f>SUM(I330)</f>
        <v>0</v>
      </c>
      <c r="J342" s="1692">
        <f>SUM(J330)</f>
        <v>0</v>
      </c>
      <c r="K342" s="1692">
        <f>SUM(K330,K334,K340)</f>
        <v>313604</v>
      </c>
      <c r="L342" s="1699">
        <f>SUM(L330,L340,L341)</f>
        <v>332461</v>
      </c>
    </row>
    <row r="343" spans="1:14" ht="12.75" customHeight="1" thickTop="1" x14ac:dyDescent="0.2">
      <c r="A343" s="2187" t="s">
        <v>1053</v>
      </c>
      <c r="B343" s="2188"/>
      <c r="C343" s="617"/>
      <c r="D343" s="617"/>
      <c r="E343" s="617"/>
      <c r="F343" s="617"/>
      <c r="G343" s="617"/>
      <c r="H343" s="617"/>
      <c r="I343" s="617"/>
      <c r="J343" s="617"/>
      <c r="K343" s="1706">
        <f>'Revenues 9-14'!J275-'Expenditures 15-22'!K342</f>
        <v>51709</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7" t="s">
        <v>1023</v>
      </c>
      <c r="B345" s="2178"/>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v>88000</v>
      </c>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88000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88000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row>
    <row r="355" spans="1:14" ht="12.75" customHeight="1" x14ac:dyDescent="0.2">
      <c r="A355" s="1535" t="s">
        <v>1965</v>
      </c>
      <c r="B355" s="691" t="s">
        <v>1958</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88000</v>
      </c>
    </row>
    <row r="368" spans="1:14" ht="13.5" thickTop="1" x14ac:dyDescent="0.2">
      <c r="A368" s="2174" t="s">
        <v>1053</v>
      </c>
      <c r="B368" s="2175"/>
      <c r="C368" s="655"/>
      <c r="D368" s="655"/>
      <c r="E368" s="627"/>
      <c r="F368" s="627"/>
      <c r="G368" s="627"/>
      <c r="H368" s="627"/>
      <c r="I368" s="627"/>
      <c r="J368" s="624"/>
      <c r="K368" s="1693">
        <f>'Revenues 9-14'!K275-'Expenditures 15-22'!K367</f>
        <v>92974</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printOptions headings="1" gridLinesSet="0"/>
  <pageMargins left="0.1" right="0.2" top="0.61" bottom="0.35" header="0.28000000000000003" footer="0"/>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
See notes.
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d21dc803-237d-4c68-8692-8d731fd29118"/>
    <ds:schemaRef ds:uri="http://purl.org/dc/elements/1.1/"/>
    <ds:schemaRef ds:uri="6ce3111e-7420-4802-b50a-75d4e9a0b980"/>
    <ds:schemaRef ds:uri="http://schemas.openxmlformats.org/package/2006/metadata/core-properties"/>
    <ds:schemaRef ds:uri="4d435f69-8686-490b-bd6d-b153bf22ab50"/>
    <ds:schemaRef ds:uri="http://schemas.microsoft.com/sharepoint/v3"/>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2018-09-11T15:52:51Z</cp:lastPrinted>
  <dcterms:created xsi:type="dcterms:W3CDTF">2003-10-29T19:06:34Z</dcterms:created>
  <dcterms:modified xsi:type="dcterms:W3CDTF">2018-10-02T21:15:56Z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