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2990" windowHeight="8985" tabRatio="90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'Aud Quest 2'!$A$1:$J$120</definedName>
    <definedName name="_xlnm.Print_Area" localSheetId="15">'ICR Computation 30'!$A$1:$G$46</definedName>
    <definedName name="_xlnm.Print_Area" localSheetId="18">'Itemization 33'!$A$1:$B$53</definedName>
    <definedName name="_xlnm.Print_Area" localSheetId="13">'PCTC-OEPP 27-28'!$A$1:$G$189</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9">'Tax Sched 23'!$A$1:$F$29</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C201" i="5"/>
  <c r="C211" i="5"/>
  <c r="B5260" i="106" s="1"/>
  <c r="D5260" i="106" s="1"/>
  <c r="C216" i="5"/>
  <c r="C224" i="5"/>
  <c r="C228" i="5"/>
  <c r="C259" i="5"/>
  <c r="B7761" i="106"/>
  <c r="D7761" i="106" s="1"/>
  <c r="L127" i="29"/>
  <c r="L129" i="29" s="1"/>
  <c r="L139" i="29"/>
  <c r="L149" i="29"/>
  <c r="I7" i="145"/>
  <c r="I6" i="145"/>
  <c r="D78" i="36"/>
  <c r="K75" i="29"/>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B2977" i="106" s="1"/>
  <c r="D2977" i="106" s="1"/>
  <c r="K83" i="29"/>
  <c r="B2978" i="106" s="1"/>
  <c r="D2978" i="106" s="1"/>
  <c r="K93" i="29"/>
  <c r="K94" i="29"/>
  <c r="B6999" i="106" s="1"/>
  <c r="D6999" i="106" s="1"/>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B7088" i="106" s="1"/>
  <c r="D7088" i="106" s="1"/>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F72" i="34"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c r="B5106" i="106"/>
  <c r="D5106" i="106" s="1"/>
  <c r="B5107" i="106"/>
  <c r="D5107" i="106" s="1"/>
  <c r="B5108" i="106"/>
  <c r="D5108" i="106" s="1"/>
  <c r="B5109" i="106"/>
  <c r="D5109" i="106" s="1"/>
  <c r="B5110" i="106"/>
  <c r="D5110" i="106" s="1"/>
  <c r="B5111" i="106"/>
  <c r="D5111" i="106" s="1"/>
  <c r="B5113" i="106"/>
  <c r="D5113" i="106" s="1"/>
  <c r="B5114" i="106"/>
  <c r="D5114" i="106"/>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F26" i="108"/>
  <c r="G26" i="108"/>
  <c r="D27" i="108"/>
  <c r="E27" i="108"/>
  <c r="F27" i="108"/>
  <c r="G27" i="108"/>
  <c r="F31" i="108"/>
  <c r="F36" i="108"/>
  <c r="F37" i="108"/>
  <c r="G28" i="108"/>
  <c r="E29" i="108"/>
  <c r="G29" i="108"/>
  <c r="D31" i="108"/>
  <c r="D36" i="108"/>
  <c r="D37" i="108"/>
  <c r="E31" i="108"/>
  <c r="G31" i="108"/>
  <c r="E34"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F66"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C131" i="5"/>
  <c r="B5147" i="106" s="1"/>
  <c r="D5147" i="106" s="1"/>
  <c r="D131" i="5"/>
  <c r="B5369" i="106" s="1"/>
  <c r="D5369" i="106" s="1"/>
  <c r="B5614" i="106"/>
  <c r="D5614" i="106" s="1"/>
  <c r="C140" i="5"/>
  <c r="B5161" i="106" s="1"/>
  <c r="D5161" i="106" s="1"/>
  <c r="D140" i="5"/>
  <c r="G140" i="5"/>
  <c r="G144" i="5"/>
  <c r="B5756" i="106" s="1"/>
  <c r="D5756" i="106" s="1"/>
  <c r="G154" i="5"/>
  <c r="C144" i="5"/>
  <c r="B5165" i="106" s="1"/>
  <c r="D5165" i="106" s="1"/>
  <c r="C154" i="5"/>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B4395" i="106"/>
  <c r="D4395" i="106" s="1"/>
  <c r="D191" i="5"/>
  <c r="B4396" i="106" s="1"/>
  <c r="D4396" i="106" s="1"/>
  <c r="F191" i="5"/>
  <c r="G191" i="5"/>
  <c r="B5246" i="106"/>
  <c r="D5246" i="106" s="1"/>
  <c r="G201" i="5"/>
  <c r="B6409" i="106" s="1"/>
  <c r="D6409" i="106" s="1"/>
  <c r="D211" i="5"/>
  <c r="B5444" i="106" s="1"/>
  <c r="D5444" i="106" s="1"/>
  <c r="F211" i="5"/>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H33" i="118"/>
  <c r="D11" i="37"/>
  <c r="D22" i="37"/>
  <c r="J22" i="37"/>
  <c r="B5847" i="106"/>
  <c r="D5847" i="106" s="1"/>
  <c r="B1746" i="106"/>
  <c r="D1746" i="106" s="1"/>
  <c r="D4" i="7" l="1"/>
  <c r="B1760" i="106" s="1"/>
  <c r="D1760" i="106" s="1"/>
  <c r="F44" i="34"/>
  <c r="D12" i="7"/>
  <c r="B1769" i="106" s="1"/>
  <c r="D1769" i="106" s="1"/>
  <c r="F35" i="34"/>
  <c r="J77" i="4"/>
  <c r="B6262" i="106" s="1"/>
  <c r="D6262" i="106" s="1"/>
  <c r="F111" i="34"/>
  <c r="G33" i="108"/>
  <c r="H76" i="4"/>
  <c r="B3298" i="106" s="1"/>
  <c r="D3298" i="106" s="1"/>
  <c r="F68" i="34"/>
  <c r="F46" i="34"/>
  <c r="D69" i="36"/>
  <c r="B3619" i="106"/>
  <c r="D3619" i="106" s="1"/>
  <c r="G39" i="108"/>
  <c r="F49" i="34"/>
  <c r="F36" i="34"/>
  <c r="G5" i="4"/>
  <c r="B3409" i="106" s="1"/>
  <c r="D3409" i="106" s="1"/>
  <c r="C129" i="29"/>
  <c r="F128" i="34"/>
  <c r="L367" i="29"/>
  <c r="F45" i="34"/>
  <c r="I24" i="12"/>
  <c r="B7231" i="106"/>
  <c r="D7231" i="106" s="1"/>
  <c r="I129" i="29"/>
  <c r="B7037" i="106" s="1"/>
  <c r="D7037" i="106" s="1"/>
  <c r="H112" i="29"/>
  <c r="B7018" i="106" s="1"/>
  <c r="D7018" i="106" s="1"/>
  <c r="F37" i="34"/>
  <c r="K184" i="29"/>
  <c r="F13" i="4" s="1"/>
  <c r="B2596" i="106" s="1"/>
  <c r="D2596" i="106" s="1"/>
  <c r="G38" i="108"/>
  <c r="G30" i="108"/>
  <c r="D7" i="7"/>
  <c r="B1763" i="106" s="1"/>
  <c r="D1763" i="106" s="1"/>
  <c r="B5096" i="106"/>
  <c r="D5096" i="106" s="1"/>
  <c r="E38" i="108"/>
  <c r="E30" i="108"/>
  <c r="K41" i="3"/>
  <c r="D15" i="7"/>
  <c r="B1772" i="106" s="1"/>
  <c r="D1772" i="106" s="1"/>
  <c r="F172" i="5"/>
  <c r="B5644" i="106" s="1"/>
  <c r="D5644" i="106" s="1"/>
  <c r="B3647" i="106"/>
  <c r="D3647" i="106" s="1"/>
  <c r="C342" i="29"/>
  <c r="B7216" i="106" s="1"/>
  <c r="D7216" i="106" s="1"/>
  <c r="E35" i="108"/>
  <c r="E26" i="108"/>
  <c r="D17" i="7"/>
  <c r="B4104" i="106" s="1"/>
  <c r="D4104" i="106" s="1"/>
  <c r="D5" i="4"/>
  <c r="B3406" i="106" s="1"/>
  <c r="D3406" i="106" s="1"/>
  <c r="E109" i="5"/>
  <c r="E4" i="4" s="1"/>
  <c r="B2630" i="106" s="1"/>
  <c r="D2630" i="106" s="1"/>
  <c r="F52" i="34"/>
  <c r="D54" i="36"/>
  <c r="B1274" i="106"/>
  <c r="D1274" i="106" s="1"/>
  <c r="I342" i="29"/>
  <c r="B7222" i="106" s="1"/>
  <c r="D7222" i="106" s="1"/>
  <c r="D9" i="7"/>
  <c r="B1767" i="106" s="1"/>
  <c r="D1767" i="106" s="1"/>
  <c r="B7047" i="106"/>
  <c r="D7047" i="106" s="1"/>
  <c r="J129" i="29"/>
  <c r="B7038" i="106" s="1"/>
  <c r="D7038" i="106" s="1"/>
  <c r="K76" i="4"/>
  <c r="B3586" i="106" s="1"/>
  <c r="D3586" i="106" s="1"/>
  <c r="E174" i="29"/>
  <c r="B1309" i="106" s="1"/>
  <c r="D1309" i="106" s="1"/>
  <c r="G15" i="145"/>
  <c r="J274" i="5"/>
  <c r="B7054" i="106" s="1"/>
  <c r="D7054" i="106" s="1"/>
  <c r="F19" i="7"/>
  <c r="B1807" i="106" s="1"/>
  <c r="D1807" i="106" s="1"/>
  <c r="F71" i="34"/>
  <c r="H365" i="29"/>
  <c r="B7242" i="106" s="1"/>
  <c r="D7242" i="106" s="1"/>
  <c r="F42" i="34"/>
  <c r="D109" i="5"/>
  <c r="H109" i="5"/>
  <c r="L5" i="11"/>
  <c r="B2056" i="106" s="1"/>
  <c r="D2056" i="106" s="1"/>
  <c r="F131" i="34"/>
  <c r="L342" i="29"/>
  <c r="F50" i="34"/>
  <c r="J41" i="3"/>
  <c r="H173" i="5"/>
  <c r="D24" i="37"/>
  <c r="B4270" i="106" s="1"/>
  <c r="D4270" i="106" s="1"/>
  <c r="D6103" i="106"/>
  <c r="I26" i="12"/>
  <c r="B7741" i="106" s="1"/>
  <c r="D7741" i="106" s="1"/>
  <c r="B1996" i="106"/>
  <c r="D1996" i="106" s="1"/>
  <c r="B1128" i="106"/>
  <c r="D1128" i="106" s="1"/>
  <c r="E28" i="108"/>
  <c r="F28" i="108"/>
  <c r="D13" i="7"/>
  <c r="B3726" i="106" s="1"/>
  <c r="D3726" i="106" s="1"/>
  <c r="B5425" i="106"/>
  <c r="D5425" i="106" s="1"/>
  <c r="F127" i="34"/>
  <c r="J367" i="29"/>
  <c r="B7245" i="106" s="1"/>
  <c r="D7245" i="106" s="1"/>
  <c r="B7235" i="106"/>
  <c r="D7235" i="106" s="1"/>
  <c r="B2054" i="106"/>
  <c r="D2054" i="106" s="1"/>
  <c r="L13" i="11"/>
  <c r="B2060" i="106" s="1"/>
  <c r="D2060" i="106" s="1"/>
  <c r="B5677" i="106"/>
  <c r="D5677" i="106" s="1"/>
  <c r="F130" i="34"/>
  <c r="L22" i="37"/>
  <c r="B2734" i="106"/>
  <c r="D2734" i="106" s="1"/>
  <c r="B1511" i="106"/>
  <c r="D1511" i="106" s="1"/>
  <c r="G14" i="4"/>
  <c r="B2609" i="106" s="1"/>
  <c r="D2609" i="106" s="1"/>
  <c r="C109" i="5"/>
  <c r="B5121" i="106" s="1"/>
  <c r="D5121" i="106" s="1"/>
  <c r="B5066" i="106"/>
  <c r="D5066" i="106" s="1"/>
  <c r="B1745" i="106"/>
  <c r="D1745" i="106" s="1"/>
  <c r="D5" i="7"/>
  <c r="B1761" i="106" s="1"/>
  <c r="D1761" i="106" s="1"/>
  <c r="B6848" i="106"/>
  <c r="D6848" i="106" s="1"/>
  <c r="F34" i="34"/>
  <c r="H28" i="118"/>
  <c r="K28" i="118" s="1"/>
  <c r="O27" i="118" s="1"/>
  <c r="O29" i="118" s="1"/>
  <c r="B1868" i="106"/>
  <c r="D1868" i="106" s="1"/>
  <c r="B6006" i="106"/>
  <c r="D6006" i="106" s="1"/>
  <c r="K173" i="5"/>
  <c r="K6" i="4" s="1"/>
  <c r="B3570" i="106" s="1"/>
  <c r="D3570" i="106" s="1"/>
  <c r="B5906" i="106"/>
  <c r="D5906" i="106" s="1"/>
  <c r="H6" i="4"/>
  <c r="B2656" i="106" s="1"/>
  <c r="D2656" i="106" s="1"/>
  <c r="G172" i="5"/>
  <c r="B5752" i="106"/>
  <c r="D5752" i="106" s="1"/>
  <c r="B1752" i="106"/>
  <c r="D1752" i="106" s="1"/>
  <c r="D11" i="7"/>
  <c r="B1768" i="106" s="1"/>
  <c r="D1768" i="106" s="1"/>
  <c r="B5488" i="106"/>
  <c r="D5488" i="106" s="1"/>
  <c r="F136" i="34"/>
  <c r="B5383" i="106"/>
  <c r="D5383" i="106" s="1"/>
  <c r="F106" i="34"/>
  <c r="B3668" i="106"/>
  <c r="D3668" i="106" s="1"/>
  <c r="K350" i="29"/>
  <c r="H4" i="4"/>
  <c r="B2655" i="106" s="1"/>
  <c r="D2655" i="106" s="1"/>
  <c r="B6016" i="106"/>
  <c r="D6016" i="106" s="1"/>
  <c r="K274" i="5"/>
  <c r="K7" i="4" s="1"/>
  <c r="B3718" i="106" s="1"/>
  <c r="D3718" i="106" s="1"/>
  <c r="B5178" i="106"/>
  <c r="D5178" i="106" s="1"/>
  <c r="C172" i="5"/>
  <c r="B5214" i="106" s="1"/>
  <c r="D5214" i="106" s="1"/>
  <c r="B3621" i="106"/>
  <c r="D3621" i="106" s="1"/>
  <c r="C367" i="29"/>
  <c r="B4373" i="106"/>
  <c r="D4373" i="106" s="1"/>
  <c r="I274" i="5"/>
  <c r="B4435" i="106" s="1"/>
  <c r="D4435" i="106" s="1"/>
  <c r="B3254" i="106"/>
  <c r="D3254" i="106" s="1"/>
  <c r="F77" i="4"/>
  <c r="B3255" i="106" s="1"/>
  <c r="D3255" i="106" s="1"/>
  <c r="F21" i="8"/>
  <c r="G109" i="5"/>
  <c r="L15" i="11"/>
  <c r="B3459" i="106" s="1"/>
  <c r="D3459" i="106" s="1"/>
  <c r="B3649" i="106"/>
  <c r="D3649" i="106" s="1"/>
  <c r="G367" i="29"/>
  <c r="B3650" i="106" s="1"/>
  <c r="D3650" i="106" s="1"/>
  <c r="K285" i="29"/>
  <c r="B3724" i="106" s="1"/>
  <c r="D3724" i="106" s="1"/>
  <c r="B1329" i="106"/>
  <c r="D1329" i="106" s="1"/>
  <c r="F61" i="34"/>
  <c r="G210" i="29"/>
  <c r="B1124" i="106"/>
  <c r="D1124" i="106" s="1"/>
  <c r="H342" i="29"/>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B2657" i="106"/>
  <c r="D2657" i="106" s="1"/>
  <c r="B7270" i="106"/>
  <c r="B3628" i="106" l="1"/>
  <c r="D3628" i="106" s="1"/>
  <c r="D274" i="5"/>
  <c r="B7215" i="106"/>
  <c r="D7215" i="106" s="1"/>
  <c r="H275" i="5"/>
  <c r="B5915" i="106" s="1"/>
  <c r="D5915" i="106" s="1"/>
  <c r="D44" i="36"/>
  <c r="B3568" i="106"/>
  <c r="D3568" i="106" s="1"/>
  <c r="D52" i="36"/>
  <c r="D7255" i="106"/>
  <c r="D7253" i="106"/>
  <c r="D7250" i="106"/>
  <c r="B1317" i="106"/>
  <c r="D1317" i="106" s="1"/>
  <c r="L114" i="29"/>
  <c r="B6025" i="106"/>
  <c r="D6025" i="106" s="1"/>
  <c r="B5527" i="106"/>
  <c r="D5527" i="106" s="1"/>
  <c r="C4" i="4"/>
  <c r="B2551" i="106" s="1"/>
  <c r="D2551" i="106" s="1"/>
  <c r="I7" i="4"/>
  <c r="B4444" i="106" s="1"/>
  <c r="D4444" i="106" s="1"/>
  <c r="D7252" i="106"/>
  <c r="B5356" i="106"/>
  <c r="D5356" i="106" s="1"/>
  <c r="D4" i="4"/>
  <c r="B2564" i="106" s="1"/>
  <c r="D2564" i="106" s="1"/>
  <c r="H8" i="4"/>
  <c r="B2658" i="106" s="1"/>
  <c r="D2658" i="106" s="1"/>
  <c r="L16" i="11"/>
  <c r="B2061" i="106" s="1"/>
  <c r="D2061" i="106" s="1"/>
  <c r="B6014" i="106"/>
  <c r="D6014" i="106" s="1"/>
  <c r="J7" i="4"/>
  <c r="B6222" i="106" s="1"/>
  <c r="D6222" i="106" s="1"/>
  <c r="D7254" i="106"/>
  <c r="F274" i="5"/>
  <c r="F275" i="5" s="1"/>
  <c r="B5720" i="106" s="1"/>
  <c r="D5720" i="106" s="1"/>
  <c r="G173" i="5"/>
  <c r="B5770" i="106"/>
  <c r="D5770" i="106" s="1"/>
  <c r="C173" i="5"/>
  <c r="F73" i="34"/>
  <c r="G15" i="4"/>
  <c r="B6032" i="106" s="1"/>
  <c r="D6032" i="106" s="1"/>
  <c r="B1365" i="106"/>
  <c r="D1365" i="106" s="1"/>
  <c r="F65" i="34"/>
  <c r="B3670" i="106"/>
  <c r="D3670" i="106" s="1"/>
  <c r="K352" i="29"/>
  <c r="K367" i="29" s="1"/>
  <c r="D7256" i="106"/>
  <c r="D7251" i="106"/>
  <c r="C114" i="29"/>
  <c r="B757" i="106" s="1"/>
  <c r="D757" i="106" s="1"/>
  <c r="B1879" i="106"/>
  <c r="D1879" i="106" s="1"/>
  <c r="H22" i="37"/>
  <c r="D19" i="7"/>
  <c r="B1775" i="106" s="1"/>
  <c r="D1775" i="106" s="1"/>
  <c r="K342" i="29"/>
  <c r="F13" i="34" s="1"/>
  <c r="B6024" i="106"/>
  <c r="D6024" i="106" s="1"/>
  <c r="G4" i="4"/>
  <c r="B2603" i="106" s="1"/>
  <c r="D2603" i="106" s="1"/>
  <c r="H367" i="29"/>
  <c r="B3660" i="106" s="1"/>
  <c r="D366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B7224" i="106" l="1"/>
  <c r="D7224" i="106" s="1"/>
  <c r="B1145" i="106"/>
  <c r="D1145" i="106" s="1"/>
  <c r="H10" i="4"/>
  <c r="B4127" i="106" s="1"/>
  <c r="D4127" i="106" s="1"/>
  <c r="F8" i="4"/>
  <c r="B2595" i="106" s="1"/>
  <c r="D2595" i="106" s="1"/>
  <c r="B5223" i="106"/>
  <c r="D5223" i="106" s="1"/>
  <c r="C6" i="4"/>
  <c r="B2553" i="106" s="1"/>
  <c r="D2553" i="106" s="1"/>
  <c r="K13" i="4"/>
  <c r="B3572" i="106" s="1"/>
  <c r="D3572" i="106" s="1"/>
  <c r="B3672" i="106"/>
  <c r="D3672" i="106" s="1"/>
  <c r="F24" i="37"/>
  <c r="G41" i="108"/>
  <c r="G44" i="108" s="1"/>
  <c r="G45" i="108" s="1"/>
  <c r="B5778" i="106"/>
  <c r="D5778" i="106" s="1"/>
  <c r="G6" i="4"/>
  <c r="B2604" i="106" s="1"/>
  <c r="D2604" i="106" s="1"/>
  <c r="J8" i="4"/>
  <c r="J10" i="4" s="1"/>
  <c r="B6225" i="106" s="1"/>
  <c r="D62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D8" i="4"/>
  <c r="B2567" i="106"/>
  <c r="D2567" i="106" s="1"/>
  <c r="B6223" i="106" l="1"/>
  <c r="D6223"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<sst xmlns="http://schemas.openxmlformats.org/spreadsheetml/2006/main" count="5045" uniqueCount="2117">
  <si>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</si>
  <si>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</si>
  <si>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</si>
  <si>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</si>
  <si>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</si>
  <si>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</si>
  <si>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</si>
  <si>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</si>
  <si>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</si>
  <si>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</si>
  <si>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</si>
  <si>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</si>
  <si>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</si>
  <si>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</si>
  <si>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</si>
  <si>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</si>
  <si>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</si>
  <si>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</si>
  <si>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</si>
  <si>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</si>
  <si>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</si>
  <si>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</si>
  <si>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</si>
  <si>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</si>
  <si>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</si>
  <si>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</si>
  <si>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</si>
  <si>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</si>
  <si>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</si>
  <si>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</si>
  <si>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</si>
  <si>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</si>
  <si>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</si>
  <si>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</si>
  <si>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</si>
  <si>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</si>
  <si>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</si>
  <si>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</si>
  <si>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</si>
  <si>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</si>
  <si>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</si>
  <si>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</si>
  <si>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</si>
  <si>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</si>
  <si>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</si>
  <si>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</si>
  <si>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</si>
  <si>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</si>
  <si>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</si>
  <si>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</si>
  <si>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</si>
  <si>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</si>
  <si>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</si>
  <si>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</si>
  <si>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</si>
  <si>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</si>
  <si>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</si>
  <si>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</si>
  <si>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</si>
  <si>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</si>
  <si>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</si>
  <si>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</si>
  <si>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</si>
  <si>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</si>
  <si>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</si>
  <si>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</si>
  <si>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</si>
  <si>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</si>
  <si>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</si>
  <si>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</si>
  <si>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</si>
  <si>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</si>
  <si>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</si>
  <si>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</si>
  <si>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</si>
  <si>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</si>
  <si>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</si>
  <si>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</si>
  <si>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</si>
  <si>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</si>
  <si>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</si>
  <si>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</si>
  <si>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</si>
  <si>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</si>
  <si>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</si>
  <si>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</si>
  <si>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</si>
  <si>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</si>
  <si>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</si>
  <si>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</si>
  <si>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</si>
  <si>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</si>
  <si>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</si>
  <si>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</si>
  <si>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</si>
  <si>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</si>
  <si>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</si>
  <si>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</si>
  <si>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</si>
  <si>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</si>
  <si>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</si>
  <si>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</si>
  <si>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</si>
  <si>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</si>
  <si>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</si>
  <si>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</si>
  <si>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</si>
  <si>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</si>
  <si>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</si>
  <si>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</si>
  <si>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</si>
  <si>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</si>
  <si>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</si>
  <si>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</si>
  <si>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</si>
  <si>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</si>
  <si>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</si>
  <si>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</si>
  <si>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</si>
  <si>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</si>
  <si>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</si>
  <si>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</si>
  <si>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</si>
  <si>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</si>
  <si>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</si>
  <si>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</si>
  <si>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</si>
  <si>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</si>
  <si>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</si>
  <si>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</si>
  <si>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</si>
  <si>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</si>
  <si>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</si>
  <si>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</si>
  <si>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</si>
  <si>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</si>
  <si>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</si>
  <si>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</si>
  <si>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</si>
  <si>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</si>
  <si>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</si>
  <si>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</si>
  <si>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</si>
  <si>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</si>
  <si>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</si>
  <si>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</si>
  <si>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</si>
  <si>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</si>
  <si>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</si>
  <si>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</si>
  <si>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</si>
  <si>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</si>
  <si>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</si>
  <si>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</si>
  <si>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</si>
  <si>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</si>
  <si>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</si>
  <si>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</si>
  <si>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</si>
  <si>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</si>
  <si>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</si>
  <si>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</si>
  <si>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</si>
  <si>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</si>
  <si>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</si>
  <si>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</si>
  <si>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</si>
  <si>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</si>
  <si>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</si>
  <si>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</si>
  <si>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</si>
  <si>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</si>
  <si>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</si>
  <si>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</si>
  <si>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</si>
  <si>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</si>
  <si>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</si>
  <si>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</si>
  <si>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</si>
  <si>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</si>
  <si>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</si>
  <si>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</si>
  <si>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</si>
  <si>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</si>
  <si>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</si>
  <si>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</si>
  <si>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</si>
  <si>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</si>
  <si>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</si>
  <si>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</si>
  <si>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</si>
  <si>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</si>
  <si>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</si>
  <si>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</si>
  <si>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</si>
  <si>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</si>
  <si>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</si>
  <si>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</si>
  <si>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</si>
  <si>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</si>
  <si>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</si>
  <si>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</si>
  <si>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</si>
  <si>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</si>
  <si>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</si>
  <si>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</si>
  <si>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</si>
  <si>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</si>
  <si>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</si>
  <si>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</si>
  <si>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</si>
  <si>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</si>
  <si>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</si>
  <si>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</si>
  <si>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</si>
  <si>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</si>
  <si>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</si>
  <si>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</si>
  <si>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</si>
  <si>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</si>
  <si>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</si>
  <si>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</si>
  <si>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</si>
  <si>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</si>
  <si>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</si>
  <si>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</si>
  <si>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</si>
  <si>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</si>
  <si>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</si>
  <si>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</si>
  <si>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</si>
  <si>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</si>
  <si>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</si>
  <si>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</si>
  <si>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</si>
  <si>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</si>
  <si>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</si>
  <si>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</si>
  <si>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</si>
  <si>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</si>
  <si>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</si>
  <si>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</si>
  <si>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</si>
  <si>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</si>
  <si>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</si>
  <si>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</si>
  <si>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</si>
  <si>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</si>
  <si>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</si>
  <si>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</si>
  <si>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</si>
  <si>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</si>
  <si>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</si>
  <si>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</si>
  <si>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</si>
  <si>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</si>
  <si>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</si>
  <si>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</si>
  <si>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</si>
  <si>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</si>
  <si>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</si>
  <si>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</si>
  <si>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</si>
  <si>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</si>
  <si>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</si>
  <si>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</si>
  <si>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</si>
  <si>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</si>
  <si>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</si>
  <si>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</si>
  <si>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</si>
  <si>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</si>
  <si>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</si>
  <si>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</si>
  <si>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</si>
  <si>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</si>
  <si>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</si>
  <si>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</si>
  <si>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</si>
  <si>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</si>
  <si>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</si>
  <si>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</si>
  <si>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</si>
  <si>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</si>
  <si>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</si>
  <si>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</si>
  <si>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</si>
  <si>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</si>
  <si>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</si>
  <si>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</si>
  <si>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</si>
  <si>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</si>
  <si>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</si>
  <si>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</si>
  <si>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</si>
  <si>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</si>
  <si>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</si>
  <si>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</si>
  <si>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</si>
  <si>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</si>
  <si>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</si>
  <si>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</si>
  <si>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</si>
  <si>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</si>
  <si>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</si>
  <si>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</si>
  <si>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</si>
  <si>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</si>
  <si>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</si>
  <si>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</si>
  <si>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</si>
  <si>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</si>
  <si>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</si>
  <si>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</si>
  <si>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</si>
  <si>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</si>
  <si>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</si>
  <si>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</si>
  <si>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</si>
  <si>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</si>
  <si>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</si>
  <si>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</si>
  <si>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</si>
  <si>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</si>
  <si>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</si>
  <si>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</si>
  <si>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</si>
  <si>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</si>
  <si>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</si>
  <si>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</si>
  <si>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</si>
  <si>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</si>
  <si>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</si>
  <si>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</si>
  <si>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</si>
  <si>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</si>
  <si>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</si>
  <si>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</si>
  <si>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</si>
  <si>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</si>
  <si>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</si>
  <si>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</si>
  <si>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</si>
  <si>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</si>
  <si>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</si>
  <si>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</si>
  <si>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</si>
  <si>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</si>
  <si>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</si>
  <si>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</si>
  <si>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</si>
  <si>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</si>
  <si>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</si>
  <si>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</si>
  <si>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</si>
  <si>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</si>
  <si>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</si>
  <si>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</si>
  <si>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</si>
  <si>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</si>
  <si>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</si>
  <si>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</si>
  <si>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</si>
  <si>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</si>
  <si>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</si>
  <si>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</si>
  <si>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</si>
  <si>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</si>
  <si>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</si>
  <si>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</si>
  <si>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</si>
  <si>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</si>
  <si>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</si>
  <si>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</si>
  <si>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</si>
  <si>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</si>
  <si>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</si>
  <si>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</si>
  <si>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</si>
  <si>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</si>
  <si>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</si>
  <si>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</si>
  <si>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</si>
  <si>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</si>
  <si>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</si>
  <si>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</si>
  <si>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</si>
  <si>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</si>
  <si>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</si>
  <si>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</si>
  <si>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</si>
  <si>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</si>
  <si>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</si>
  <si>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</si>
  <si>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</si>
  <si>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</si>
  <si>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</si>
  <si>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</si>
  <si>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</si>
  <si>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</si>
  <si>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</si>
  <si>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</si>
  <si>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</si>
  <si>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</si>
  <si>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</si>
  <si>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</si>
  <si>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</si>
  <si>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</si>
  <si>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</si>
  <si>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</si>
  <si>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</si>
  <si>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</si>
  <si>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</si>
  <si>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</si>
  <si>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</si>
  <si>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</si>
  <si>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</si>
  <si>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</si>
  <si>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</si>
  <si>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</si>
  <si>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</si>
  <si>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</si>
  <si>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</si>
  <si>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</si>
  <si>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</si>
  <si>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</si>
  <si>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</si>
  <si>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</si>
  <si>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</si>
  <si>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</si>
  <si>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</si>
  <si>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</si>
  <si>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</si>
  <si>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</si>
  <si>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</si>
  <si>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</si>
  <si>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</si>
  <si>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</si>
  <si>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</si>
  <si>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</si>
  <si>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</si>
  <si>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</si>
  <si>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</si>
  <si>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</si>
  <si>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</si>
  <si>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</si>
  <si>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</si>
  <si>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</si>
  <si>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</si>
  <si>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</si>
  <si>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</si>
  <si>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</si>
  <si>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</si>
  <si>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</si>
  <si>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</si>
  <si>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</si>
  <si>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</si>
  <si>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</si>
  <si>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</si>
  <si>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</si>
  <si>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</si>
  <si>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</si>
  <si>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</si>
  <si>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</si>
  <si>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</si>
  <si>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</si>
  <si>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</si>
  <si>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</si>
  <si>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</si>
  <si>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</si>
  <si>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</si>
  <si>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</si>
  <si>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</si>
  <si>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</si>
  <si>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</si>
  <si>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</si>
  <si>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</si>
  <si>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</si>
  <si>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</si>
  <si>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</si>
  <si>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</si>
  <si>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</si>
  <si>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</si>
  <si>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</si>
  <si>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</si>
  <si>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</si>
  <si>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</si>
  <si>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</si>
  <si>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</si>
  <si>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</si>
  <si>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</si>
  <si>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</si>
  <si>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</si>
  <si>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</si>
  <si>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</si>
  <si>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</si>
  <si>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</si>
  <si>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</si>
  <si>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</si>
  <si>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</si>
  <si>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</si>
  <si>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</si>
  <si>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</si>
  <si>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</si>
  <si>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</si>
  <si>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</si>
  <si>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</si>
  <si>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</si>
  <si>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</si>
  <si>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</si>
  <si>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</si>
  <si>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</si>
  <si>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</si>
  <si>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</si>
  <si>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</si>
  <si>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</si>
  <si>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</si>
  <si>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</si>
  <si>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</si>
  <si>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</si>
  <si>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</si>
  <si>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</si>
  <si>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</si>
  <si>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</si>
  <si>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</si>
  <si>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</si>
  <si>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</si>
  <si>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</si>
  <si>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</si>
  <si>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</si>
  <si>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</si>
  <si>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</si>
  <si>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</si>
  <si>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</si>
  <si>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</si>
  <si>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</si>
  <si>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</si>
  <si>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</si>
  <si>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</si>
  <si>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</si>
  <si>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</si>
  <si>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</si>
  <si>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</si>
  <si>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</si>
  <si>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</si>
  <si>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</si>
  <si>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</si>
  <si>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</si>
  <si>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</si>
  <si>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</si>
  <si>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</si>
  <si>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</si>
  <si>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</si>
  <si>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</si>
  <si>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</si>
  <si>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</si>
  <si>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</si>
  <si>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</si>
  <si>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</si>
  <si>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</si>
  <si>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</si>
  <si>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</si>
  <si>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</si>
  <si>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</si>
  <si>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</si>
  <si>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</si>
  <si>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</si>
  <si>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</si>
  <si>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</si>
  <si>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</si>
  <si>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</si>
  <si>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</si>
  <si>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</si>
  <si>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</si>
  <si>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</si>
  <si>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</si>
  <si>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</si>
  <si>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</si>
  <si>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</si>
  <si>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</si>
  <si>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</si>
  <si>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</si>
  <si>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</si>
  <si>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</si>
  <si>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</si>
  <si>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</si>
  <si>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</si>
  <si>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</si>
  <si>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</si>
  <si>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</si>
  <si>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</si>
  <si>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</si>
  <si>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</si>
  <si>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</si>
  <si>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</si>
  <si>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</si>
  <si>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</si>
  <si>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</si>
  <si>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</si>
  <si>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</si>
  <si>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</si>
  <si>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</si>
  <si>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</si>
  <si>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</si>
  <si>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</si>
  <si>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</si>
  <si>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</si>
  <si>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</si>
  <si>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</si>
  <si>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</si>
  <si>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</si>
  <si>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</si>
  <si>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</si>
  <si>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</si>
  <si>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</si>
  <si>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</si>
  <si>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</si>
  <si>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</si>
  <si>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</si>
  <si>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</si>
  <si>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</si>
  <si>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</si>
  <si>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</si>
  <si>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</si>
  <si>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</si>
  <si>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</si>
  <si>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</si>
  <si>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</si>
  <si>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</si>
  <si>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</si>
  <si>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</si>
  <si>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</si>
  <si>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</si>
  <si>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</si>
  <si>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</si>
  <si>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</si>
  <si>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</si>
  <si>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</si>
  <si>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</si>
  <si>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</si>
  <si>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</si>
  <si>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</si>
  <si>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</si>
  <si>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</si>
  <si>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</si>
  <si>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</si>
  <si>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</si>
  <si>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</si>
  <si>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</si>
  <si>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</si>
  <si>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</si>
  <si>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</si>
  <si>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</si>
  <si>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</si>
  <si>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</si>
  <si>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</si>
  <si>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</si>
  <si>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</si>
  <si>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</si>
  <si>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</si>
  <si>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</si>
  <si>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</si>
  <si>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</si>
  <si>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</si>
  <si>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</si>
  <si>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</si>
  <si>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</si>
  <si>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</si>
  <si>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</si>
  <si>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</si>
  <si>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</si>
  <si>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</si>
  <si>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</si>
  <si>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</si>
  <si>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</si>
  <si>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</si>
  <si>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</si>
  <si>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</si>
  <si>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</si>
  <si>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</si>
  <si>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</si>
  <si>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</si>
  <si>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</si>
  <si>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</si>
  <si>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</si>
  <si>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</si>
  <si>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</si>
  <si>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</si>
  <si>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</si>
  <si>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</si>
  <si>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</si>
  <si>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</si>
  <si>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</si>
  <si>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</si>
  <si>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</si>
  <si>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</si>
  <si>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</si>
  <si>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</si>
  <si>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</si>
  <si>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</si>
  <si>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</si>
  <si>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</si>
  <si>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</si>
  <si>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</si>
  <si>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</si>
  <si>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</si>
  <si>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</si>
  <si>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</si>
  <si>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</si>
  <si>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</si>
  <si>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</si>
  <si>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</si>
  <si>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</si>
  <si>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</si>
  <si>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</si>
  <si>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</si>
  <si>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</si>
  <si>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</si>
  <si>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</si>
  <si>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</si>
  <si>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</si>
  <si>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</si>
  <si>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</si>
  <si>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</si>
  <si>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</si>
  <si>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</si>
  <si>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</si>
  <si>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</si>
  <si>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</si>
  <si>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</si>
  <si>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</si>
  <si>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</si>
  <si>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</si>
  <si>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</si>
  <si>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</si>
  <si>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</si>
  <si>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</si>
  <si>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</si>
  <si>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</si>
  <si>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</si>
  <si>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</si>
  <si>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</si>
  <si>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</si>
  <si>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</si>
  <si>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</si>
  <si>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</si>
  <si>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</si>
  <si>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</si>
  <si>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</si>
  <si>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</si>
  <si>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</si>
  <si>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</si>
  <si>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</si>
  <si>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</si>
  <si>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</si>
  <si>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</si>
  <si>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</si>
  <si>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</si>
  <si>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</si>
  <si>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</si>
  <si>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</si>
  <si>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</si>
  <si>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</si>
  <si>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</si>
  <si>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</si>
  <si>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</si>
  <si>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</si>
  <si>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</si>
  <si>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</si>
  <si>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</si>
  <si>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</si>
  <si>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</si>
  <si>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</si>
  <si>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</si>
  <si>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</si>
  <si>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</si>
  <si>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</si>
  <si>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</si>
  <si>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</si>
  <si>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</si>
  <si>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</si>
  <si>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</si>
  <si>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</si>
  <si>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</si>
  <si>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</si>
  <si>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</si>
  <si>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</si>
  <si>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</si>
  <si>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</si>
  <si>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</si>
  <si>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</si>
  <si>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</si>
  <si>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</si>
  <si>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</si>
  <si>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</si>
  <si>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</si>
  <si>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</si>
  <si>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</si>
  <si>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</si>
  <si>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</si>
  <si>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</si>
  <si>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</si>
  <si>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</si>
  <si>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</si>
  <si>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</si>
  <si>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</si>
  <si>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</si>
  <si>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</si>
  <si>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</si>
  <si>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</si>
  <si>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</si>
  <si>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</si>
  <si>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</si>
  <si>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</si>
  <si>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</si>
  <si>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</si>
  <si>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</si>
  <si>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</si>
  <si>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</si>
  <si>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</si>
  <si>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</si>
  <si>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</si>
  <si>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</si>
  <si>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</si>
  <si>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</si>
  <si>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</si>
  <si>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</si>
  <si>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</si>
  <si>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</si>
  <si>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</si>
  <si>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</si>
  <si>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</si>
  <si>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</si>
  <si>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</si>
  <si>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</si>
  <si>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</si>
  <si>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</si>
  <si>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</si>
  <si>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</si>
  <si>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</si>
  <si>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</si>
  <si>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</si>
  <si>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</si>
  <si>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</si>
  <si>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</si>
  <si>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</si>
  <si>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</si>
  <si>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</si>
  <si>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</si>
  <si>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</si>
  <si>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</si>
  <si>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</si>
  <si>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</si>
  <si>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</si>
  <si>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</si>
  <si>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</si>
  <si>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</si>
  <si>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</si>
  <si>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</si>
  <si>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</si>
  <si>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</si>
  <si>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</si>
  <si>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</si>
  <si>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</si>
  <si>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</si>
  <si>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</si>
  <si>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</si>
  <si>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</si>
  <si>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</si>
  <si>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</si>
  <si>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</si>
  <si>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</si>
  <si>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</si>
  <si>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</si>
  <si>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</si>
  <si>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</si>
  <si>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</si>
  <si>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</si>
  <si>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</si>
  <si>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</si>
  <si>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</si>
  <si>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</si>
  <si>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</si>
  <si>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</si>
  <si>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</si>
  <si>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</si>
  <si>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</si>
  <si>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</si>
  <si>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</si>
  <si>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</si>
  <si>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</si>
  <si>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</si>
  <si>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</si>
  <si>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</si>
  <si>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</si>
  <si>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</si>
  <si>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</si>
  <si>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</si>
  <si>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</si>
  <si>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</si>
  <si>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</si>
  <si>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</si>
  <si>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</si>
  <si>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</si>
  <si>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</si>
  <si>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</si>
  <si>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</si>
  <si>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</si>
  <si>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</si>
  <si>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</si>
  <si>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</si>
  <si>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</si>
  <si>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</si>
  <si>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</si>
  <si>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</si>
  <si>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</si>
  <si>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</si>
  <si>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</si>
  <si>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</si>
  <si>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</si>
  <si>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</si>
  <si>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</si>
  <si>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</si>
  <si>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</si>
  <si>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</si>
  <si>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</si>
  <si>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</si>
  <si>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</si>
  <si>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</si>
  <si>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</si>
  <si>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</si>
  <si>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</si>
  <si>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</si>
  <si>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</si>
  <si>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</si>
  <si>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</si>
  <si>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</si>
  <si>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</si>
  <si>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</si>
  <si>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</si>
  <si>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</si>
  <si>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</si>
  <si>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</si>
  <si>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</si>
  <si>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</si>
  <si>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</si>
  <si>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</si>
  <si>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</si>
  <si>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</si>
  <si>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</si>
  <si>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</si>
  <si>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</si>
  <si>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</si>
  <si>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</si>
  <si>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</si>
  <si>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</si>
  <si>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</si>
  <si>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</si>
  <si>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</si>
  <si>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</si>
  <si>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</si>
  <si>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</si>
  <si>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</si>
  <si>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</si>
  <si>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</si>
  <si>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</si>
  <si>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</si>
  <si>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</si>
  <si>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</si>
  <si>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</si>
  <si>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</si>
  <si>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</si>
  <si>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</si>
  <si>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</si>
  <si>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</si>
  <si>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</si>
  <si>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</si>
  <si>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</si>
  <si>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</si>
  <si>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</si>
  <si>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</si>
  <si>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</si>
  <si>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</si>
  <si>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</si>
  <si>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</si>
  <si>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</si>
  <si>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</si>
  <si>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</si>
  <si>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</si>
  <si>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</si>
  <si>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</si>
  <si>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</si>
  <si>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</si>
  <si>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</si>
  <si>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</si>
  <si>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</si>
  <si>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</si>
  <si>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</si>
  <si>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</si>
  <si>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</si>
  <si>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</si>
  <si>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</si>
  <si>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</si>
  <si>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</si>
  <si>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</si>
  <si>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</si>
  <si>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</si>
  <si>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</si>
  <si>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</si>
  <si>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</si>
  <si>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</si>
  <si>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</si>
  <si>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</si>
  <si>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</si>
  <si>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</si>
  <si>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</si>
  <si>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</si>
  <si>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</si>
  <si>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</si>
  <si>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</si>
  <si>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</si>
  <si>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</si>
  <si>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</si>
  <si>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</si>
  <si>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</si>
  <si>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</si>
  <si>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</si>
  <si>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</si>
  <si>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</si>
  <si>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</si>
  <si>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</si>
  <si>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</si>
  <si>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</si>
  <si>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</si>
  <si>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</si>
  <si>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</si>
  <si>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</si>
  <si>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</si>
  <si>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</si>
  <si>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</si>
  <si>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</si>
  <si>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</si>
  <si>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</si>
  <si>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</si>
  <si>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</si>
  <si>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</si>
  <si>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</si>
  <si>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</si>
  <si>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</si>
  <si>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</si>
  <si>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</si>
  <si>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</si>
  <si>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</si>
  <si>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</si>
  <si>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</si>
  <si>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</si>
  <si>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</si>
  <si>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</si>
  <si>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</si>
  <si>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</si>
  <si>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</si>
  <si>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</si>
  <si>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</si>
  <si>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</si>
  <si>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</si>
  <si>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</si>
  <si>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</si>
  <si>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</si>
  <si>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</si>
  <si>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</si>
  <si>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</si>
  <si>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</si>
  <si>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</si>
  <si>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</si>
  <si>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</si>
  <si>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</si>
  <si>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</si>
  <si>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</si>
  <si>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</si>
  <si>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</si>
  <si>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</si>
  <si>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</si>
  <si>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</si>
  <si>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</si>
  <si>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</si>
  <si>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</si>
  <si>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</si>
  <si>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</si>
  <si>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</si>
  <si>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</si>
  <si>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</si>
  <si>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</si>
  <si>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</si>
  <si>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</si>
  <si>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</si>
  <si>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</si>
  <si>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</si>
  <si>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</si>
  <si>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</si>
  <si>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</si>
  <si>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</si>
  <si>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</si>
  <si>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</si>
  <si>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</si>
  <si>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</si>
  <si>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</si>
  <si>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</si>
  <si>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</si>
  <si>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</si>
  <si>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</si>
  <si>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</si>
  <si>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</si>
  <si>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</si>
  <si>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</si>
  <si>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</si>
  <si>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</si>
  <si>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</si>
  <si>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</si>
  <si>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</si>
  <si>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</si>
  <si>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</si>
  <si>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</si>
  <si>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</si>
  <si>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</si>
  <si>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</si>
  <si>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</si>
  <si>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</si>
  <si>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</si>
  <si>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</si>
  <si>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</si>
  <si>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</si>
  <si>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</si>
  <si>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</si>
  <si>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</si>
  <si>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</si>
  <si>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</si>
  <si>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</si>
  <si>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</si>
  <si>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</si>
  <si>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</si>
  <si>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</si>
  <si>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</si>
  <si>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</si>
  <si>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</si>
  <si>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</si>
  <si>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</si>
  <si>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</si>
  <si>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</si>
  <si>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</si>
  <si>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</si>
  <si>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</si>
  <si>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</si>
  <si>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</si>
  <si>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</si>
  <si>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</si>
  <si>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</si>
  <si>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</si>
  <si>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</si>
  <si>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</si>
  <si>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</si>
  <si>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</si>
  <si>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</si>
  <si>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</si>
  <si>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</si>
  <si>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</si>
  <si>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</si>
  <si>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</si>
  <si>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</si>
  <si>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</si>
  <si>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</si>
  <si>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</si>
  <si>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</si>
  <si>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</si>
  <si>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</si>
  <si>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</si>
  <si>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</si>
  <si>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</si>
  <si>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</si>
  <si>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</si>
  <si>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</si>
  <si>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</si>
  <si>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</si>
  <si>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</si>
  <si>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</si>
  <si>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</si>
  <si>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</si>
  <si>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</si>
  <si>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</si>
  <si>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</si>
  <si>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</si>
  <si>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</si>
  <si>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</si>
  <si>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</si>
  <si>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</si>
  <si>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</si>
  <si>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</si>
  <si>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</si>
  <si>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</si>
  <si>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</si>
  <si>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</si>
  <si>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</si>
  <si>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</si>
  <si>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</si>
  <si>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</si>
  <si>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</si>
  <si>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</si>
  <si>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</si>
  <si>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</si>
  <si>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</si>
  <si>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</si>
  <si>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</si>
  <si>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</si>
  <si>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</si>
  <si>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</si>
  <si>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</si>
  <si>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</si>
  <si>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</si>
  <si>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</si>
  <si>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</si>
  <si>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</si>
  <si>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</si>
  <si>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</si>
  <si>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</si>
  <si>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</si>
  <si>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</si>
  <si>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</si>
  <si>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</si>
  <si>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</si>
  <si>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</si>
  <si>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</si>
  <si>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</si>
  <si>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</si>
  <si>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</si>
  <si>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</si>
  <si>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</si>
  <si>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</si>
  <si>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</si>
  <si>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</si>
  <si>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</si>
  <si>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</si>
  <si>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</si>
  <si>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</si>
  <si>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</si>
  <si>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</si>
  <si>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</si>
  <si>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</si>
  <si>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</si>
  <si>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</si>
  <si>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</si>
  <si>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</si>
  <si>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</si>
  <si>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</si>
  <si>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</si>
  <si>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</si>
  <si>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</si>
  <si>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</si>
  <si>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</si>
  <si>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</si>
  <si>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</si>
  <si>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</si>
  <si>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</si>
  <si>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</si>
  <si>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</si>
  <si>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</si>
  <si>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</si>
  <si>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</si>
  <si>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</si>
  <si>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</si>
  <si>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</si>
  <si>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</si>
  <si>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</si>
  <si>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</si>
  <si>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</si>
  <si>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</si>
  <si>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</si>
  <si>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</si>
  <si>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</si>
  <si>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</si>
  <si>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</si>
  <si>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</si>
  <si>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</si>
  <si>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</si>
  <si>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</si>
  <si>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</si>
  <si>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</si>
  <si>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</si>
  <si>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</si>
  <si>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</si>
  <si>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</si>
  <si>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</si>
  <si>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</si>
  <si>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</si>
  <si>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</si>
  <si>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</si>
  <si>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</si>
  <si>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</si>
  <si>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</si>
  <si>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</si>
  <si>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</si>
  <si>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</si>
  <si>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</si>
  <si>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</si>
  <si>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</si>
  <si>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</si>
  <si>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</si>
  <si>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</si>
  <si>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</si>
  <si>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</si>
  <si>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</si>
  <si>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</si>
  <si>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</si>
  <si>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</si>
  <si>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</si>
  <si>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</si>
  <si>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</si>
  <si>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</si>
  <si>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</si>
  <si>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</si>
  <si>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</si>
  <si>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</si>
  <si>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</si>
  <si>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</si>
  <si>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</si>
  <si>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</si>
  <si>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</si>
  <si>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</si>
  <si>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</si>
  <si>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</si>
  <si>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</si>
  <si>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</si>
  <si>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</si>
  <si>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</si>
  <si>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</si>
  <si>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</si>
  <si>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</si>
  <si>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</si>
  <si>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</si>
  <si>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</si>
  <si>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</si>
  <si>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</si>
  <si>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</si>
  <si>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</si>
  <si>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</si>
  <si>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</si>
  <si>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</si>
  <si>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</si>
  <si>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</si>
  <si>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</si>
  <si>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</si>
  <si>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</si>
  <si>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</si>
  <si>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</si>
  <si>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</si>
  <si>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</si>
  <si>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</si>
  <si>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</si>
  <si>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</si>
  <si>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</si>
  <si>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</si>
  <si>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</si>
  <si>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</si>
  <si>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</si>
  <si>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</si>
  <si>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</si>
  <si>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</si>
  <si>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</si>
  <si>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</si>
  <si>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</si>
  <si>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</si>
  <si>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</si>
  <si>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</si>
  <si>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</si>
  <si>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</si>
  <si>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</si>
  <si>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</si>
  <si>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</si>
  <si>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</si>
  <si>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</si>
  <si>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</si>
  <si>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</si>
  <si>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</si>
  <si>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</si>
  <si>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</si>
  <si>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</si>
  <si>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</si>
  <si>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</si>
  <si>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</si>
  <si>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</si>
  <si>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</si>
  <si>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</si>
  <si>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</si>
  <si>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</si>
  <si>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</si>
  <si>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</si>
  <si>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</si>
  <si>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</si>
  <si>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</si>
  <si>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</si>
  <si>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</si>
  <si>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</si>
  <si>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</si>
  <si>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</si>
  <si>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</si>
  <si>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</si>
  <si>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</si>
  <si>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</si>
  <si>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</si>
  <si>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</si>
  <si>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</si>
  <si>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</si>
  <si>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</si>
  <si>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</si>
  <si>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</si>
  <si>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</si>
  <si>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</si>
  <si>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</si>
  <si>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</si>
  <si>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</si>
  <si>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</si>
  <si>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</si>
  <si>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</si>
  <si>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</si>
  <si>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</si>
  <si>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</si>
  <si>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</si>
  <si>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</si>
  <si>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</si>
  <si>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</si>
  <si>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</si>
  <si>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</si>
  <si>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</si>
  <si>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</si>
  <si>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</si>
  <si>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</si>
  <si>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</si>
  <si>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</si>
  <si>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</si>
  <si>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</si>
  <si>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</si>
  <si>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</si>
  <si>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</si>
  <si>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</si>
  <si>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</si>
  <si>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</si>
  <si>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</si>
  <si>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</si>
  <si>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</si>
  <si>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</si>
  <si>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</si>
  <si>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</si>
  <si>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</si>
  <si>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</si>
  <si>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</si>
  <si>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</si>
  <si>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</si>
  <si>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</si>
  <si>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</si>
  <si>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</si>
  <si>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</si>
  <si>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</si>
  <si>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</si>
  <si>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</si>
  <si>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</si>
  <si>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</si>
  <si>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</si>
  <si>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</si>
  <si>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</si>
  <si>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</si>
  <si>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</si>
  <si>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</si>
  <si>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</si>
  <si>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</si>
  <si>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</si>
  <si>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</si>
  <si>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</si>
  <si>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</si>
  <si>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</si>
  <si>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</si>
  <si>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</si>
  <si>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</si>
  <si>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</si>
  <si>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</si>
  <si>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</si>
  <si>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</si>
  <si>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</si>
  <si>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</si>
  <si>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</si>
  <si>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</si>
  <si>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</si>
  <si>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</si>
  <si>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</si>
  <si>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</si>
  <si>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</si>
  <si>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</si>
  <si>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</si>
  <si>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</si>
  <si>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</si>
  <si>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</si>
  <si>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</si>
  <si>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</si>
  <si>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</si>
  <si>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</si>
  <si>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</si>
  <si>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</si>
  <si>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</si>
  <si>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</si>
  <si>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</si>
  <si>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</si>
  <si>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</si>
  <si>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</si>
  <si>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</si>
  <si>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</si>
  <si>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</si>
  <si>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</si>
  <si>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</si>
  <si>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</si>
  <si>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</si>
  <si>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</si>
  <si>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</si>
  <si>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</si>
  <si>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</si>
  <si>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</si>
  <si>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</si>
  <si>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</si>
  <si>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</si>
  <si>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</si>
  <si>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</si>
  <si>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</si>
  <si>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</si>
  <si>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</si>
  <si>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</si>
  <si>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</si>
  <si>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</si>
  <si>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</si>
  <si>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</si>
  <si>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</si>
  <si>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</si>
  <si>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</si>
  <si>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</si>
  <si>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</si>
  <si>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</si>
  <si>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</si>
  <si>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</si>
  <si>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</si>
  <si>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</si>
  <si>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</si>
  <si>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</si>
  <si>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</si>
  <si>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</si>
  <si>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</si>
  <si>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</si>
  <si>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</si>
  <si>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</si>
  <si>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</si>
  <si>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</si>
  <si>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</si>
  <si>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</si>
  <si>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</si>
  <si>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</si>
  <si>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</si>
  <si>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</si>
  <si>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</si>
  <si>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</si>
  <si>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</si>
  <si>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</si>
  <si>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</si>
  <si>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</si>
  <si>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</si>
  <si>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</si>
  <si>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</si>
  <si>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</si>
  <si>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</si>
  <si>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</si>
  <si>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</si>
  <si>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</si>
  <si>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</si>
  <si>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</si>
  <si>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</si>
  <si>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</si>
  <si>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</si>
  <si>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</si>
  <si>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</si>
  <si>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</si>
  <si>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</si>
  <si>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</si>
  <si>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</si>
  <si>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</si>
  <si>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</si>
  <si>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</si>
  <si>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</si>
  <si>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</si>
  <si>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</si>
  <si>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</si>
  <si>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</si>
  <si>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</si>
  <si>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</si>
  <si>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</si>
  <si>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</si>
  <si>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</si>
  <si>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</si>
  <si>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</si>
  <si>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</si>
  <si>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</si>
  <si>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</si>
  <si>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</si>
  <si>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</si>
  <si>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</si>
  <si>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</si>
  <si>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</si>
  <si>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</si>
  <si>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</si>
  <si>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</si>
  <si>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</si>
  <si>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</si>
  <si>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</si>
  <si>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</si>
  <si>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</si>
  <si>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</si>
  <si>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</si>
  <si>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</si>
  <si>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</si>
  <si>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</si>
  <si>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</si>
  <si>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</si>
  <si>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</si>
  <si>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</si>
  <si>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</si>
  <si>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</si>
  <si>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</si>
  <si>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</si>
  <si>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</si>
  <si>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</si>
  <si>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</si>
  <si>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</si>
  <si>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</si>
  <si>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</si>
  <si>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</si>
  <si>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</si>
  <si>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</si>
  <si>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</si>
  <si>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</si>
  <si>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</si>
  <si>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</si>
  <si>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</si>
  <si>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</si>
  <si>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</si>
  <si>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</si>
  <si>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</si>
  <si>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</si>
  <si>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</si>
  <si>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</si>
  <si>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</si>
  <si>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</si>
  <si>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</si>
  <si>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</si>
  <si>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</si>
  <si>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</si>
  <si>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</si>
  <si>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</si>
  <si>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</si>
  <si>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</si>
  <si>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</si>
  <si>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</si>
  <si>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</si>
  <si>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</si>
  <si>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</si>
  <si>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</si>
  <si>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</si>
  <si>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</si>
  <si>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</si>
  <si>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</si>
  <si>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</si>
  <si>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</si>
  <si>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</si>
  <si>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</si>
  <si>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</si>
  <si>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</si>
  <si>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</si>
  <si>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</si>
  <si>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</si>
  <si>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</si>
  <si>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</si>
  <si>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</si>
  <si>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</si>
  <si>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</si>
  <si>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</si>
  <si>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</si>
  <si>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</si>
  <si>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</si>
  <si>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</si>
  <si>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</si>
  <si>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</si>
  <si>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</si>
  <si>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</si>
  <si>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</si>
  <si>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</si>
  <si>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</si>
  <si>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</si>
  <si>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</si>
  <si>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</si>
  <si>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</si>
  <si>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</si>
  <si>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</si>
  <si>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</si>
  <si>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</si>
  <si>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</si>
  <si>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</si>
  <si>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</si>
  <si>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</si>
  <si>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</si>
  <si>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</si>
  <si>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</si>
  <si>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</si>
  <si>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</si>
  <si>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</si>
  <si>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</si>
  <si>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</si>
  <si>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</si>
  <si>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</si>
  <si>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</si>
  <si>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</si>
  <si>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</si>
  <si>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</si>
  <si>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</si>
  <si>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</si>
  <si>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</si>
  <si>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</si>
  <si>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</si>
  <si>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</si>
  <si>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</si>
  <si>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</si>
  <si>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</si>
  <si>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</si>
  <si>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</si>
  <si>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</si>
  <si>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</si>
  <si>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</si>
  <si>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</si>
  <si>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</si>
  <si>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</si>
  <si>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</si>
  <si>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</si>
  <si>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</si>
  <si>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</si>
  <si>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</si>
  <si>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</si>
  <si>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</si>
  <si>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</si>
  <si>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</si>
  <si>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</si>
  <si>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</si>
  <si>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</si>
  <si>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</si>
  <si>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</si>
  <si>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</si>
  <si>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</si>
  <si>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</si>
  <si>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</si>
  <si>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</si>
  <si>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</si>
  <si>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</si>
  <si>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</si>
  <si>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</si>
  <si>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</si>
  <si>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</si>
  <si>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</si>
  <si>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</si>
  <si>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</si>
  <si>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</si>
  <si>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</si>
  <si>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</si>
  <si>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</si>
  <si>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</si>
  <si>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</si>
  <si>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</si>
  <si>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</si>
  <si>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</si>
  <si>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</si>
  <si>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</si>
  <si>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</si>
  <si>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</si>
  <si>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</si>
  <si>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</si>
  <si>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</si>
  <si>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</si>
  <si>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</si>
  <si>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</si>
  <si>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</si>
  <si>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</si>
  <si>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</si>
  <si>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</si>
  <si>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</si>
  <si>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</si>
  <si>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</si>
  <si>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</si>
  <si>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</si>
  <si>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</si>
  <si>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</si>
  <si>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</si>
  <si>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</si>
  <si>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</si>
  <si>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</si>
  <si>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</si>
  <si>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</si>
  <si>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</si>
  <si>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</si>
  <si>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</si>
  <si>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</si>
  <si>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</si>
  <si>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</si>
  <si>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</si>
  <si>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</si>
  <si>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</si>
  <si>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</si>
  <si>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</si>
  <si>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</si>
  <si>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</si>
  <si>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</si>
  <si>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</si>
  <si>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</si>
  <si>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</si>
  <si>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</si>
  <si>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</si>
  <si>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</si>
  <si>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</si>
  <si>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</si>
  <si>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</si>
  <si>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</si>
  <si>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</si>
  <si>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</si>
  <si>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</si>
  <si>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</si>
  <si>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</si>
  <si>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</si>
  <si>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</si>
  <si>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</si>
  <si>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</si>
  <si>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</si>
  <si>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</si>
  <si>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</si>
  <si>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</si>
  <si>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</si>
  <si>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</si>
  <si>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</si>
  <si>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</si>
  <si>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</si>
  <si>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</si>
  <si>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</si>
  <si>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</si>
  <si>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</si>
  <si>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</si>
  <si>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</si>
  <si>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</si>
  <si>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</si>
  <si>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</si>
  <si>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</si>
  <si>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</si>
  <si>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</si>
  <si>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</si>
  <si>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</si>
  <si>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</si>
  <si>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</si>
  <si>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</si>
  <si>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</si>
  <si>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</si>
  <si>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</si>
  <si>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</si>
  <si>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</si>
  <si>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</si>
  <si>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</si>
  <si>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</si>
  <si>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</si>
  <si>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</si>
  <si>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</si>
  <si>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</si>
  <si>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</si>
  <si>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</si>
  <si>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</si>
  <si>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</si>
  <si>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</si>
  <si>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</si>
  <si>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</si>
  <si>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</si>
  <si>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</si>
  <si>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</si>
  <si>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</si>
  <si>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</si>
  <si>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</si>
  <si>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</si>
  <si>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</si>
  <si>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</si>
  <si>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</si>
  <si>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</si>
  <si>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</si>
  <si>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</si>
  <si>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</si>
  <si>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</si>
  <si>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</si>
  <si>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</si>
  <si>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</si>
  <si>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</si>
  <si>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</si>
  <si>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</si>
  <si>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</si>
  <si>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</si>
  <si>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</si>
  <si>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</si>
  <si>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</si>
  <si>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</si>
  <si>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</si>
  <si>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</si>
  <si>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</si>
  <si>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</si>
  <si>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</si>
  <si>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</si>
  <si>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</si>
  <si>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</si>
  <si>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</si>
  <si>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</si>
  <si>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</si>
  <si>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</si>
  <si>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</si>
  <si>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</si>
  <si>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</si>
  <si>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</si>
  <si>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</si>
  <si>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</si>
  <si>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</si>
  <si>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</si>
  <si>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</si>
  <si>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</si>
  <si>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</si>
  <si>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</si>
  <si>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</si>
  <si>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</si>
  <si>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</si>
  <si>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</si>
  <si>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</si>
  <si>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</si>
  <si>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</si>
  <si>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</si>
  <si>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</si>
  <si>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</si>
  <si>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</si>
  <si>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</si>
  <si>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</si>
  <si>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</si>
  <si>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</si>
  <si>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</si>
  <si>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</si>
  <si>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</si>
  <si>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</si>
  <si>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</si>
  <si>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</si>
  <si>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</si>
  <si>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</si>
  <si>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</si>
  <si>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</si>
  <si>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</si>
  <si>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</si>
  <si>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</si>
  <si>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</si>
  <si>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</si>
  <si>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</si>
  <si>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</si>
  <si>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</si>
  <si>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</si>
  <si>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</si>
  <si>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</si>
  <si>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</si>
  <si>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</si>
  <si>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</si>
  <si>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</si>
  <si>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</si>
  <si>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</si>
  <si>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</si>
  <si>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</si>
  <si>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</si>
  <si>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</si>
  <si>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</si>
  <si>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</si>
  <si>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</si>
  <si>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</si>
  <si>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</si>
  <si>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</si>
  <si>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</si>
  <si>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</si>
  <si>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</si>
  <si>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</si>
  <si>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</si>
  <si>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</si>
  <si>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</si>
  <si>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</si>
  <si>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</si>
  <si>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</si>
  <si>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</si>
  <si>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</si>
  <si>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</si>
  <si>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</si>
  <si>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</si>
  <si>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</si>
  <si>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</si>
  <si>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</si>
  <si>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</si>
  <si>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</si>
  <si>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</si>
  <si>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</si>
  <si>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</si>
  <si>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</si>
  <si>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</si>
  <si>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</si>
  <si>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</si>
  <si>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</si>
  <si>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</si>
  <si>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</si>
  <si>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</si>
  <si>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</si>
  <si>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</si>
  <si>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</si>
  <si>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</si>
  <si>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</si>
  <si>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</si>
  <si>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</si>
  <si>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</si>
  <si>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</si>
  <si>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</si>
  <si>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</si>
  <si>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</si>
  <si>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</si>
  <si>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</si>
  <si>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</si>
  <si>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</si>
  <si>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</si>
  <si>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</si>
  <si>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</si>
  <si>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</si>
  <si>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</si>
  <si>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</si>
  <si>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</si>
  <si>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</si>
  <si>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</si>
  <si>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</si>
  <si>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</si>
  <si>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</si>
  <si>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</si>
  <si>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</si>
  <si>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</si>
  <si>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</si>
  <si>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</si>
  <si>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</si>
  <si>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</si>
  <si>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</si>
  <si>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</si>
  <si>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</si>
  <si>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</si>
  <si>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</si>
  <si>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</si>
  <si>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</si>
  <si>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</si>
  <si>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</si>
  <si>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</si>
  <si>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</si>
  <si>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</si>
  <si>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</si>
  <si>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</si>
  <si>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</si>
  <si>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</si>
  <si>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</si>
  <si>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</si>
  <si>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</si>
  <si>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</si>
  <si>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</si>
  <si>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</si>
  <si>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</si>
  <si>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</si>
  <si>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</si>
  <si>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</si>
  <si>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</si>
  <si>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DENNIS ROSE</t>
  </si>
  <si>
    <t>DENNIS ROSE &amp; ASSOCIATES, P.C.</t>
  </si>
  <si>
    <t xml:space="preserve">1904 STATE STREET </t>
  </si>
  <si>
    <t>ALTON</t>
  </si>
  <si>
    <t>IL</t>
  </si>
  <si>
    <t>618-465-4999</t>
  </si>
  <si>
    <t>618-465-5050</t>
  </si>
  <si>
    <t>066-005060</t>
  </si>
  <si>
    <t>DROSECPA@DRA-CPA.COM</t>
  </si>
  <si>
    <t>ST. CLAIR</t>
  </si>
  <si>
    <t>400 ASHLAND DR.</t>
  </si>
  <si>
    <t>FAIRVIEW HEIGHTS</t>
  </si>
  <si>
    <t>JBROWN@PWH105.ORG</t>
  </si>
  <si>
    <t>GO SCHOOL BONDS, SERIES 2016A</t>
  </si>
  <si>
    <t>GO SCHOOL BONDS, SERIES 2016B</t>
  </si>
  <si>
    <t>COPIER EQUIPMENT LEASE</t>
  </si>
  <si>
    <t>LEASE PURCHASE</t>
  </si>
  <si>
    <t>x</t>
  </si>
  <si>
    <t xml:space="preserve">
</t>
  </si>
  <si>
    <t>BASSC, GRANT #110, WHITESIDE #115</t>
  </si>
  <si>
    <t>BELLEVILLE DIST #118</t>
  </si>
  <si>
    <t>BELLEVILLE AREA SPECIAL SERVICES COPPERATIVE (BASSC)</t>
  </si>
  <si>
    <t>BTHS #201</t>
  </si>
  <si>
    <t>R9-14 A/C 1790 ED FUND - OTHER</t>
  </si>
  <si>
    <t>R9-14 A/C 1993 ED FUND - EXT SCHOOL PROGRAM</t>
  </si>
  <si>
    <t>R9-14 A/C 1999 ED FUND - TIF, OTHER</t>
  </si>
  <si>
    <t>R9-14 A/C 3299 ED FUND - OTHER</t>
  </si>
  <si>
    <t>R9-14 A/C 4299 ED FUND - DOD FFV</t>
  </si>
  <si>
    <t>E15-22 A/C 2900 ED FUND - OTHER</t>
  </si>
  <si>
    <t>E15-22 A/C 2190 TRANS FUND - OTHER</t>
  </si>
  <si>
    <t xml:space="preserve">E15-22 A/C 2190 IMRF FUND - OTHER </t>
  </si>
  <si>
    <t>EDUCATIONAL FUND</t>
  </si>
  <si>
    <t>BELLEVILLE SD #118</t>
  </si>
  <si>
    <t>PSIC</t>
  </si>
  <si>
    <t>TORT FUND</t>
  </si>
  <si>
    <t>STATE NATIONAL INSURANCE</t>
  </si>
  <si>
    <t>Pontiac-W Holliday SD 105</t>
  </si>
  <si>
    <t>10-2560-400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</si>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</sst>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53" fillId="0" borderId="2" xfId="0" applyNumberFormat="1" applyFont="1" applyFill="1" applyBorder="1" applyAlignment="1" applyProtection="1">
      <alignment horizontal="right" wrapText="1"/>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51229D6-994D-4F4D-B259-220A17CC6E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2077</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2077</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50082105002</v>
      </c>
      <c r="B13" s="2006"/>
      <c r="C13" s="2006"/>
      <c r="D13" s="2006"/>
      <c r="E13" s="2006"/>
      <c r="F13" s="2006"/>
      <c r="G13" s="2006"/>
      <c r="H13" s="2007"/>
      <c r="I13" s="31"/>
      <c r="J13" s="30"/>
      <c r="K13" s="28"/>
      <c r="L13" s="30"/>
      <c r="M13" s="30"/>
      <c r="N13" s="30"/>
      <c r="O13" s="30"/>
      <c r="P13" s="30"/>
      <c r="Q13" s="30"/>
      <c r="R13" s="30"/>
      <c r="S13" s="30"/>
      <c r="T13" s="2010" t="s">
        <v>2079</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2087</v>
      </c>
      <c r="B15" s="2008"/>
      <c r="C15" s="2008"/>
      <c r="D15" s="2008"/>
      <c r="E15" s="2008"/>
      <c r="F15" s="2008"/>
      <c r="G15" s="2008"/>
      <c r="H15" s="2009"/>
      <c r="T15" s="1971" t="s">
        <v>2078</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2114</v>
      </c>
      <c r="B17" s="2033"/>
      <c r="C17" s="2033"/>
      <c r="D17" s="2033"/>
      <c r="E17" s="2033"/>
      <c r="F17" s="2033"/>
      <c r="G17" s="2033"/>
      <c r="H17" s="2034"/>
      <c r="T17" s="2020" t="s">
        <v>2080</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2088</v>
      </c>
      <c r="B19" s="2004"/>
      <c r="C19" s="2004"/>
      <c r="D19" s="2004"/>
      <c r="E19" s="2004"/>
      <c r="F19" s="2004"/>
      <c r="G19" s="2004"/>
      <c r="H19" s="2002"/>
      <c r="I19" s="30"/>
      <c r="J19" s="99"/>
      <c r="K19" s="40"/>
      <c r="L19" s="38"/>
      <c r="M19" s="112" t="s">
        <v>333</v>
      </c>
      <c r="P19" s="27"/>
      <c r="Q19" s="27"/>
      <c r="R19" s="27"/>
      <c r="S19" s="31"/>
      <c r="T19" s="2003" t="s">
        <v>2081</v>
      </c>
      <c r="U19" s="2001"/>
      <c r="V19" s="2001"/>
      <c r="W19" s="2002"/>
      <c r="X19" s="2018" t="s">
        <v>2082</v>
      </c>
      <c r="Y19" s="2019"/>
      <c r="Z19" s="2016">
        <v>62002</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2089</v>
      </c>
      <c r="B21" s="2001"/>
      <c r="C21" s="2001"/>
      <c r="D21" s="2001"/>
      <c r="E21" s="2001"/>
      <c r="F21" s="2001"/>
      <c r="G21" s="2001"/>
      <c r="H21" s="2002"/>
      <c r="I21" s="2026" t="s">
        <v>699</v>
      </c>
      <c r="J21" s="1989"/>
      <c r="K21" s="1989"/>
      <c r="L21" s="1989"/>
      <c r="M21" s="1989"/>
      <c r="N21" s="1989"/>
      <c r="O21" s="1989"/>
      <c r="P21" s="1989"/>
      <c r="Q21" s="1989"/>
      <c r="R21" s="1989"/>
      <c r="S21" s="1990"/>
      <c r="T21" s="1968" t="s">
        <v>2083</v>
      </c>
      <c r="U21" s="1969"/>
      <c r="V21" s="1969"/>
      <c r="W21" s="1969"/>
      <c r="X21" s="1982" t="s">
        <v>2084</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t="s">
        <v>2090</v>
      </c>
      <c r="B23" s="2024"/>
      <c r="C23" s="2024"/>
      <c r="D23" s="2024"/>
      <c r="E23" s="2024"/>
      <c r="F23" s="2024"/>
      <c r="G23" s="2024"/>
      <c r="H23" s="2025"/>
      <c r="T23" s="1963" t="s">
        <v>2085</v>
      </c>
      <c r="U23" s="1964"/>
      <c r="V23" s="1964"/>
      <c r="W23" s="1964"/>
      <c r="X23" s="1979">
        <v>43434</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62208</v>
      </c>
      <c r="B25" s="2001"/>
      <c r="C25" s="2001"/>
      <c r="D25" s="2001"/>
      <c r="E25" s="2001"/>
      <c r="F25" s="2001"/>
      <c r="G25" s="2001"/>
      <c r="H25" s="2002"/>
      <c r="I25" s="113"/>
      <c r="J25" s="2067"/>
      <c r="K25" s="2067"/>
      <c r="L25" s="2067"/>
      <c r="M25" s="2067"/>
      <c r="N25" s="2067"/>
      <c r="O25" s="2067"/>
      <c r="P25" s="2067"/>
      <c r="Q25" s="2067"/>
      <c r="R25" s="2067"/>
      <c r="S25" s="2068"/>
      <c r="T25" s="1960" t="s">
        <v>2086</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c r="B42" s="2050"/>
      <c r="C42" s="2051"/>
      <c r="D42" s="2064"/>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rintOptions horizontalCentered="1"/>
  <pageMargins left="0.75" right="0.75" top="1" bottom="0.5" header="0.5" footer="0.5"/>
  <pageSetup scale="67" orientation="landscape" r:id="rId3"/>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BreakPreview" colorId="8" zoomScale="120" zoomScaleNormal="110" zoomScaleSheetLayoutView="120" workbookViewId="0">
      <selection activeCell="B14" sqref="B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4359660</v>
      </c>
      <c r="C4" s="1546">
        <v>1053662</v>
      </c>
      <c r="D4" s="1774">
        <f>B4-C4</f>
        <v>3305998</v>
      </c>
      <c r="E4" s="1546">
        <v>3875245</v>
      </c>
      <c r="F4" s="1774">
        <f>E4-C4</f>
        <v>2821583</v>
      </c>
    </row>
    <row r="5" spans="1:6" ht="13.7" customHeight="1" x14ac:dyDescent="0.2">
      <c r="A5" s="716" t="s">
        <v>925</v>
      </c>
      <c r="B5" s="1772">
        <f>'Revenues 9-14'!D5</f>
        <v>694212</v>
      </c>
      <c r="C5" s="585">
        <v>167780</v>
      </c>
      <c r="D5" s="1775">
        <f t="shared" ref="D5:D18" si="0">B5-C5</f>
        <v>526432</v>
      </c>
      <c r="E5" s="585">
        <v>617077</v>
      </c>
      <c r="F5" s="1775">
        <f>E5-C5</f>
        <v>449297</v>
      </c>
    </row>
    <row r="6" spans="1:6" ht="13.7" customHeight="1" x14ac:dyDescent="0.2">
      <c r="A6" s="716" t="s">
        <v>431</v>
      </c>
      <c r="B6" s="1772">
        <f>'Revenues 9-14'!E5</f>
        <v>885567</v>
      </c>
      <c r="C6" s="585">
        <v>205833</v>
      </c>
      <c r="D6" s="1775">
        <f t="shared" si="0"/>
        <v>679734</v>
      </c>
      <c r="E6" s="585">
        <v>757030</v>
      </c>
      <c r="F6" s="1775">
        <f t="shared" ref="F6:F18" si="1">E6-C6</f>
        <v>551197</v>
      </c>
    </row>
    <row r="7" spans="1:6" ht="13.7" customHeight="1" x14ac:dyDescent="0.2">
      <c r="A7" s="716" t="s">
        <v>157</v>
      </c>
      <c r="B7" s="1772">
        <f>'Revenues 9-14'!F5</f>
        <v>333224</v>
      </c>
      <c r="C7" s="585">
        <v>80535</v>
      </c>
      <c r="D7" s="1775">
        <f t="shared" si="0"/>
        <v>252689</v>
      </c>
      <c r="E7" s="585">
        <v>296197</v>
      </c>
      <c r="F7" s="1775">
        <f t="shared" si="1"/>
        <v>215662</v>
      </c>
    </row>
    <row r="8" spans="1:6" ht="13.7" customHeight="1" x14ac:dyDescent="0.2">
      <c r="A8" s="716" t="s">
        <v>1241</v>
      </c>
      <c r="B8" s="1772">
        <f>'Revenues 9-14'!G5</f>
        <v>222621</v>
      </c>
      <c r="C8" s="585">
        <v>54159</v>
      </c>
      <c r="D8" s="1775">
        <f t="shared" si="0"/>
        <v>168462</v>
      </c>
      <c r="E8" s="585">
        <v>199193</v>
      </c>
      <c r="F8" s="1775">
        <f t="shared" si="1"/>
        <v>145034</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138843</v>
      </c>
      <c r="C10" s="585">
        <v>33555</v>
      </c>
      <c r="D10" s="1775">
        <f t="shared" si="0"/>
        <v>105288</v>
      </c>
      <c r="E10" s="585">
        <v>123415</v>
      </c>
      <c r="F10" s="1775">
        <f t="shared" si="1"/>
        <v>89860</v>
      </c>
    </row>
    <row r="11" spans="1:6" x14ac:dyDescent="0.2">
      <c r="A11" s="716" t="s">
        <v>429</v>
      </c>
      <c r="B11" s="1772">
        <f>'Revenues 9-14'!J5</f>
        <v>821287</v>
      </c>
      <c r="C11" s="585">
        <v>196302</v>
      </c>
      <c r="D11" s="1775">
        <f t="shared" si="0"/>
        <v>624985</v>
      </c>
      <c r="E11" s="585">
        <v>721980</v>
      </c>
      <c r="F11" s="1775">
        <f t="shared" si="1"/>
        <v>525678</v>
      </c>
    </row>
    <row r="12" spans="1:6" ht="13.7" customHeight="1" x14ac:dyDescent="0.2">
      <c r="A12" s="716" t="s">
        <v>159</v>
      </c>
      <c r="B12" s="1772">
        <f>'Revenues 9-14'!K5</f>
        <v>138843</v>
      </c>
      <c r="C12" s="585">
        <v>33555</v>
      </c>
      <c r="D12" s="1775">
        <f t="shared" si="0"/>
        <v>105288</v>
      </c>
      <c r="E12" s="585">
        <v>123415</v>
      </c>
      <c r="F12" s="1775">
        <f t="shared" si="1"/>
        <v>89860</v>
      </c>
    </row>
    <row r="13" spans="1:6" ht="13.7" customHeight="1" x14ac:dyDescent="0.2">
      <c r="A13" s="716" t="s">
        <v>993</v>
      </c>
      <c r="B13" s="1772">
        <f>SUM('Revenues 9-14'!C6:D6)</f>
        <v>111073</v>
      </c>
      <c r="C13" s="585">
        <v>26846</v>
      </c>
      <c r="D13" s="1775">
        <f t="shared" si="0"/>
        <v>84227</v>
      </c>
      <c r="E13" s="585">
        <v>98732</v>
      </c>
      <c r="F13" s="1775">
        <f t="shared" si="1"/>
        <v>71886</v>
      </c>
    </row>
    <row r="14" spans="1:6" ht="13.7" customHeight="1" x14ac:dyDescent="0.2">
      <c r="A14" s="716" t="s">
        <v>430</v>
      </c>
      <c r="B14" s="1772">
        <f>SUM('Revenues 9-14'!C7:D7,'Revenues 9-14'!F7:H7)</f>
        <v>55537</v>
      </c>
      <c r="C14" s="585">
        <v>13423</v>
      </c>
      <c r="D14" s="1775">
        <f t="shared" si="0"/>
        <v>42114</v>
      </c>
      <c r="E14" s="585">
        <v>49366</v>
      </c>
      <c r="F14" s="1775">
        <f t="shared" si="1"/>
        <v>35943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212523</v>
      </c>
      <c r="C16" s="585">
        <v>50803</v>
      </c>
      <c r="D16" s="1775">
        <f t="shared" si="0"/>
        <v>161720</v>
      </c>
      <c r="E16" s="585">
        <v>186851</v>
      </c>
      <c r="F16" s="1775">
        <f t="shared" si="1"/>
        <v>136048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7973390</v>
      </c>
      <c r="C19" s="1773">
        <f>SUM(C4:C18)</f>
        <v>1916453</v>
      </c>
      <c r="D19" s="1773">
        <f>SUM(D4:D18)</f>
        <v>6056937</v>
      </c>
      <c r="E19" s="1773">
        <f>SUM(E4:E18)</f>
        <v>7048501</v>
      </c>
      <c r="F19" s="1773">
        <f>SUM(F4:F18)</f>
        <v>5132048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gridLinesSet="0"/>
  <pageMargins left="0.75" right="0.75" top="1.5" bottom="0.5" header="0.5" footer="0.5"/>
  <pageSetup scale="94" firstPageNumber="56" orientation="landscape" useFirstPageNumber="1" r:id="rId1"/>
  <headerFooter>
    <oddHeader>&amp;C&amp;"Times New Roman,Regular"PONTIAC-WILLIAM HOLLIDAY SCHOOL DISTRICT NO. 105
SCHEDULE OF AD VALOREM TAX RECEIPTS
FOR THE YEAR ENDED JUNE 30, 2018</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view="pageBreakPreview" topLeftCell="C19" colorId="8" zoomScale="6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2038</v>
      </c>
      <c r="D2" s="724" t="s">
        <v>2045</v>
      </c>
      <c r="E2" s="724" t="s">
        <v>2046</v>
      </c>
      <c r="F2" s="1909" t="s">
        <v>2039</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2091</v>
      </c>
      <c r="B31" s="734">
        <v>42389</v>
      </c>
      <c r="C31" s="735">
        <v>1500000</v>
      </c>
      <c r="D31" s="736">
        <v>1</v>
      </c>
      <c r="E31" s="735">
        <v>847000</v>
      </c>
      <c r="F31" s="735"/>
      <c r="G31" s="735"/>
      <c r="H31" s="735">
        <v>708000</v>
      </c>
      <c r="I31" s="1778">
        <f>((E31+F31)-H31)+G31</f>
        <v>139000</v>
      </c>
      <c r="J31" s="735">
        <v>0</v>
      </c>
      <c r="K31" s="737"/>
    </row>
    <row r="32" spans="1:11" ht="12" customHeight="1" x14ac:dyDescent="0.2">
      <c r="A32" s="733" t="s">
        <v>2092</v>
      </c>
      <c r="B32" s="734">
        <v>42389</v>
      </c>
      <c r="C32" s="735">
        <v>1340000</v>
      </c>
      <c r="D32" s="736">
        <v>4</v>
      </c>
      <c r="E32" s="735">
        <v>1340000</v>
      </c>
      <c r="F32" s="735"/>
      <c r="G32" s="735"/>
      <c r="H32" s="735"/>
      <c r="I32" s="1778">
        <f>((E32+F32)-H32)+G32</f>
        <v>1340000</v>
      </c>
      <c r="J32" s="735">
        <v>1218801</v>
      </c>
      <c r="K32" s="737"/>
    </row>
    <row r="33" spans="1:11" ht="12" customHeight="1" x14ac:dyDescent="0.2">
      <c r="A33" s="733" t="s">
        <v>2093</v>
      </c>
      <c r="B33" s="734">
        <v>42186</v>
      </c>
      <c r="C33" s="735">
        <v>87547</v>
      </c>
      <c r="D33" s="736">
        <v>7</v>
      </c>
      <c r="E33" s="735">
        <v>53733</v>
      </c>
      <c r="F33" s="735"/>
      <c r="G33" s="735"/>
      <c r="H33" s="735">
        <v>17500</v>
      </c>
      <c r="I33" s="1778">
        <f t="shared" ref="I33:I48" si="1">((E33+F33)-H33)+G33</f>
        <v>36233</v>
      </c>
      <c r="J33" s="735">
        <v>36233</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2927547</v>
      </c>
      <c r="D49" s="746"/>
      <c r="E49" s="1778">
        <f t="shared" ref="E49:J49" si="2">SUM(E31:E48)</f>
        <v>2240733</v>
      </c>
      <c r="F49" s="1778">
        <f t="shared" si="2"/>
        <v>0</v>
      </c>
      <c r="G49" s="1778">
        <f t="shared" si="2"/>
        <v>0</v>
      </c>
      <c r="H49" s="1778">
        <f t="shared" si="2"/>
        <v>725500</v>
      </c>
      <c r="I49" s="1778">
        <f t="shared" si="2"/>
        <v>1515233</v>
      </c>
      <c r="J49" s="1778">
        <f t="shared" si="2"/>
        <v>1255034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t="s">
        <v>2094</v>
      </c>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75" right="0.75" top="1" bottom="0.5" header="0.5" footer="0.5"/>
  <pageSetup scale="64" firstPageNumber="24" fitToHeight="0" orientation="landscape" r:id="rId1"/>
  <headerFooter>
    <oddHeader>&amp;C&amp;"Times New Roman,Regular"PONTIAC-WILLIAM HOLLIDAY SCHOOL DISTRICT NO. 105
SCHEDULE OF SHORT-TERM AND LONG-TERM DEBT
FOR THE YEAR ENDED JUNE 30, 2018</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BreakPreview" topLeftCell="A13" colorId="8" zoomScale="90" zoomScaleNormal="110" zoomScaleSheetLayoutView="9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55537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55537</v>
      </c>
      <c r="I12" s="1780">
        <f>SUM(I5:I11)</f>
        <v>0</v>
      </c>
      <c r="J12" s="1780">
        <f>SUM(J5:J11)</f>
        <v>0</v>
      </c>
      <c r="K12" s="1780">
        <f>SUM(K5:K11)</f>
        <v>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v>55537</v>
      </c>
      <c r="I14" s="772"/>
      <c r="J14" s="774"/>
      <c r="K14" s="766"/>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55537</v>
      </c>
      <c r="I23" s="1780">
        <f>SUM(I14:I16,I21,I22)</f>
        <v>0</v>
      </c>
      <c r="J23" s="1780">
        <f>SUM(J14:J16,J21,J22)</f>
        <v>0</v>
      </c>
      <c r="K23" s="1780">
        <f>SUM(K14:K16,K21,K22)</f>
        <v>0</v>
      </c>
    </row>
    <row r="24" spans="1:11" ht="14.25" thickTop="1" thickBot="1" x14ac:dyDescent="0.25">
      <c r="A24" s="2254" t="s">
        <v>2026</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pageMargins left="0.75" right="0.75" top="1.1000000000000001" bottom="0.5" header="0.5" footer="0.5"/>
  <pageSetup scale="74" firstPageNumber="25" orientation="landscape" r:id="rId1"/>
  <headerFooter>
    <oddHeader>&amp;C&amp;"Times New Roman,Regular"PONTIAC-WILLIAM HOLLIDAY SCHOOL DISTRICT NO. 105
SCHEDULE OF RESTRICTED LOCAL TAX LEVIES AND SELECTED REVENUE SOURCES
SCHEDULE OF TORT IMMUNITY EXPENDITURES
FOR THE YEAR ENDED JUNE 30, 2018</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BreakPreview" colorId="8" zoomScale="120" zoomScaleNormal="110" zoomScaleSheetLayoutView="120" workbookViewId="0">
      <selection activeCell="D13" sqref="D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60065</v>
      </c>
      <c r="D5" s="842"/>
      <c r="E5" s="842"/>
      <c r="F5" s="1782">
        <f>(C5+D5)-E5</f>
        <v>60065</v>
      </c>
      <c r="G5" s="838"/>
      <c r="H5" s="843"/>
      <c r="I5" s="843"/>
      <c r="J5" s="843"/>
      <c r="K5" s="794"/>
      <c r="L5" s="1791">
        <f>F5-K5</f>
        <v>60065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13219824</v>
      </c>
      <c r="D8" s="845"/>
      <c r="E8" s="845"/>
      <c r="F8" s="1782">
        <f>(C8+D8)-E8</f>
        <v>13219824</v>
      </c>
      <c r="G8" s="844">
        <v>50</v>
      </c>
      <c r="H8" s="766">
        <v>4521311</v>
      </c>
      <c r="I8" s="766">
        <v>264395</v>
      </c>
      <c r="J8" s="766"/>
      <c r="K8" s="1791">
        <f>(H8+I8)-J8</f>
        <v>4785706</v>
      </c>
      <c r="L8" s="1791">
        <f>F8-K8</f>
        <v>8434118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108569</v>
      </c>
      <c r="D10" s="847"/>
      <c r="E10" s="847"/>
      <c r="F10" s="1786">
        <f>(C10+D10)-E10</f>
        <v>108569</v>
      </c>
      <c r="G10" s="844">
        <v>20</v>
      </c>
      <c r="H10" s="848">
        <v>96928</v>
      </c>
      <c r="I10" s="848">
        <v>2670</v>
      </c>
      <c r="J10" s="848"/>
      <c r="K10" s="1791">
        <f>(H10+I10)-J10</f>
        <v>99598</v>
      </c>
      <c r="L10" s="1791">
        <f>F10-K10</f>
        <v>8971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680063</v>
      </c>
      <c r="D12" s="845">
        <v>69202</v>
      </c>
      <c r="E12" s="845">
        <v>185085</v>
      </c>
      <c r="F12" s="1782">
        <f>(C12+D12)-E12</f>
        <v>564180</v>
      </c>
      <c r="G12" s="844">
        <v>10</v>
      </c>
      <c r="H12" s="766">
        <v>506151</v>
      </c>
      <c r="I12" s="766">
        <v>77179</v>
      </c>
      <c r="J12" s="766">
        <v>185085</v>
      </c>
      <c r="K12" s="1791">
        <f>(H12+I12)-J12</f>
        <v>398245</v>
      </c>
      <c r="L12" s="1791">
        <f>F12-K12</f>
        <v>165935</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14068521</v>
      </c>
      <c r="D16" s="1782">
        <f>SUM(D3,D5:D6,D8:D10,D12:D15)</f>
        <v>69202</v>
      </c>
      <c r="E16" s="1782">
        <f>SUM(E3,E5:E6,E8:E10,E12:E15)</f>
        <v>185085</v>
      </c>
      <c r="F16" s="1782">
        <f>SUM(F3,F5:F6,F8:F10,F12:F15)</f>
        <v>13952638</v>
      </c>
      <c r="G16" s="844"/>
      <c r="H16" s="1782">
        <f>SUM(H3,H6,H8:H10,H12:H14,)</f>
        <v>5124390</v>
      </c>
      <c r="I16" s="1782">
        <f>SUM(I3,I6,I8:I10,I12:I14,)</f>
        <v>344244</v>
      </c>
      <c r="J16" s="1782">
        <f>SUM(J3,J6,J8:J10,J12:J14,)</f>
        <v>185085</v>
      </c>
      <c r="K16" s="1782">
        <f>(H16+I16)-J16</f>
        <v>5283549</v>
      </c>
      <c r="L16" s="1782">
        <f>F16-K16</f>
        <v>8669089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344244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pageMargins left="0.75" right="0.75" top="1.75" bottom="0.5" header="0.5" footer="0.5"/>
  <pageSetup scale="74" firstPageNumber="26" orientation="landscape" r:id="rId1"/>
  <headerFooter>
    <oddHeader>&amp;C&amp;"Times New Roman,Regular"PONTIAC-WILLIAM HOLLIDAY SCHOOL DISTRICT NO. 105
SCHEDULE OF CAPITAL OUTLAY AND DEPRECIATION
FOR THE YEAR ENDED JUNE 30, 2018</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view="pageBreakPreview" colorId="8" zoomScale="120" zoomScaleNormal="110" zoomScaleSheetLayoutView="120" workbookViewId="0">
      <pane ySplit="5" topLeftCell="A6" activePane="bottomLeft" state="frozen"/>
      <selection activeCell="AF38" sqref="AF38"/>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5798184</v>
      </c>
      <c r="G8" s="866"/>
    </row>
    <row r="9" spans="1:7" x14ac:dyDescent="0.2">
      <c r="A9" s="870" t="s">
        <v>480</v>
      </c>
      <c r="B9" s="871" t="s">
        <v>1989</v>
      </c>
      <c r="C9" s="872"/>
      <c r="D9" s="870" t="s">
        <v>522</v>
      </c>
      <c r="E9" s="869"/>
      <c r="F9" s="1935">
        <f>'Expenditures 15-22'!K151</f>
        <v>629926</v>
      </c>
      <c r="G9" s="873"/>
    </row>
    <row r="10" spans="1:7" x14ac:dyDescent="0.2">
      <c r="A10" s="870" t="s">
        <v>520</v>
      </c>
      <c r="B10" s="871" t="s">
        <v>1990</v>
      </c>
      <c r="C10" s="872"/>
      <c r="D10" s="870" t="s">
        <v>522</v>
      </c>
      <c r="E10" s="869"/>
      <c r="F10" s="1935">
        <f>'Expenditures 15-22'!K174</f>
        <v>776130</v>
      </c>
      <c r="G10" s="873"/>
    </row>
    <row r="11" spans="1:7" x14ac:dyDescent="0.2">
      <c r="A11" s="870" t="s">
        <v>481</v>
      </c>
      <c r="B11" s="871" t="s">
        <v>1991</v>
      </c>
      <c r="C11" s="872"/>
      <c r="D11" s="870" t="s">
        <v>522</v>
      </c>
      <c r="E11" s="869"/>
      <c r="F11" s="1935">
        <f>'Expenditures 15-22'!K210</f>
        <v>411074</v>
      </c>
      <c r="G11" s="873"/>
    </row>
    <row r="12" spans="1:7" x14ac:dyDescent="0.2">
      <c r="A12" s="870" t="s">
        <v>482</v>
      </c>
      <c r="B12" s="871" t="s">
        <v>1992</v>
      </c>
      <c r="C12" s="872"/>
      <c r="D12" s="870" t="s">
        <v>522</v>
      </c>
      <c r="E12" s="869"/>
      <c r="F12" s="1935">
        <f>'Expenditures 15-22'!K295</f>
        <v>254735</v>
      </c>
      <c r="G12" s="873"/>
    </row>
    <row r="13" spans="1:7" x14ac:dyDescent="0.2">
      <c r="A13" s="870" t="s">
        <v>108</v>
      </c>
      <c r="B13" s="871" t="s">
        <v>1993</v>
      </c>
      <c r="C13" s="872"/>
      <c r="D13" s="870" t="s">
        <v>522</v>
      </c>
      <c r="E13" s="869"/>
      <c r="F13" s="1935">
        <f>'Expenditures 15-22'!K342</f>
        <v>443090</v>
      </c>
      <c r="G13" s="874"/>
    </row>
    <row r="14" spans="1:7" ht="12" customHeight="1" thickBot="1" x14ac:dyDescent="0.25">
      <c r="A14" s="1792"/>
      <c r="B14" s="1793"/>
      <c r="C14" s="1794"/>
      <c r="D14" s="1795" t="s">
        <v>522</v>
      </c>
      <c r="E14" s="1796" t="s">
        <v>1015</v>
      </c>
      <c r="F14" s="1797">
        <f>SUM(F8:F13)</f>
        <v>8313139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111369</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91504</v>
      </c>
      <c r="G52" s="866"/>
    </row>
    <row r="53" spans="1:7" x14ac:dyDescent="0.2">
      <c r="A53" s="870" t="s">
        <v>479</v>
      </c>
      <c r="B53" s="870" t="s">
        <v>1551</v>
      </c>
      <c r="C53" s="890">
        <f>'Expenditures 15-22'!B102</f>
        <v>4000</v>
      </c>
      <c r="D53" s="889" t="str">
        <f>'Expenditures 15-22'!A102</f>
        <v>Total Payments to Other Govt Units</v>
      </c>
      <c r="E53" s="869"/>
      <c r="F53" s="1939">
        <f>'Expenditures 15-22'!K102</f>
        <v>446743</v>
      </c>
      <c r="G53" s="866"/>
    </row>
    <row r="54" spans="1:7" x14ac:dyDescent="0.2">
      <c r="A54" s="870" t="s">
        <v>479</v>
      </c>
      <c r="B54" s="870" t="s">
        <v>1552</v>
      </c>
      <c r="C54" s="890" t="s">
        <v>1039</v>
      </c>
      <c r="D54" s="886" t="s">
        <v>1157</v>
      </c>
      <c r="E54" s="869"/>
      <c r="F54" s="1939">
        <f>'Expenditures 15-22'!G114</f>
        <v>7443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43540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725500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5686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634</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1432419</v>
      </c>
      <c r="G76" s="866"/>
    </row>
    <row r="77" spans="1:8" s="894" customFormat="1" ht="12" customHeight="1" thickTop="1" thickBot="1" x14ac:dyDescent="0.25">
      <c r="A77" s="1801"/>
      <c r="B77" s="1798"/>
      <c r="C77" s="1794"/>
      <c r="D77" s="1799" t="s">
        <v>2012</v>
      </c>
      <c r="E77" s="1796"/>
      <c r="F77" s="1802">
        <f>(F14-F76)</f>
        <v>6880720</v>
      </c>
      <c r="G77" s="870"/>
    </row>
    <row r="78" spans="1:8" s="894" customFormat="1" ht="12" customHeight="1" thickTop="1" x14ac:dyDescent="0.2">
      <c r="A78" s="1803"/>
      <c r="B78" s="1798"/>
      <c r="C78" s="1794"/>
      <c r="D78" s="1799" t="s">
        <v>2059</v>
      </c>
      <c r="E78" s="1796"/>
      <c r="F78" s="899">
        <v>649</v>
      </c>
      <c r="G78" s="900"/>
      <c r="H78" s="870"/>
    </row>
    <row r="79" spans="1:8" s="894" customFormat="1" ht="12" customHeight="1" thickBot="1" x14ac:dyDescent="0.25">
      <c r="A79" s="1804"/>
      <c r="B79" s="1798"/>
      <c r="C79" s="1794"/>
      <c r="D79" s="1799" t="s">
        <v>2013</v>
      </c>
      <c r="E79" s="1796" t="s">
        <v>1015</v>
      </c>
      <c r="F79" s="1805">
        <f>IF(F78&gt;0,F77/F78," Complete Line 78")</f>
        <v>10602.033898305084</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116418</v>
      </c>
      <c r="G94" s="913"/>
    </row>
    <row r="95" spans="1:7" x14ac:dyDescent="0.2">
      <c r="A95" s="909" t="s">
        <v>142</v>
      </c>
      <c r="B95" s="909" t="s">
        <v>177</v>
      </c>
      <c r="C95" s="911">
        <v>1700</v>
      </c>
      <c r="D95" s="919" t="str">
        <f>'Revenues 9-14'!A82</f>
        <v>Total District/School Activity Income</v>
      </c>
      <c r="E95" s="907"/>
      <c r="F95" s="1811">
        <f>SUM('Revenues 9-14'!C82,'Revenues 9-14'!D82)</f>
        <v>13440</v>
      </c>
      <c r="G95" s="913"/>
    </row>
    <row r="96" spans="1:7" x14ac:dyDescent="0.2">
      <c r="A96" s="909" t="s">
        <v>479</v>
      </c>
      <c r="B96" s="909" t="s">
        <v>178</v>
      </c>
      <c r="C96" s="911">
        <f>'Revenues 9-14'!B84</f>
        <v>1811</v>
      </c>
      <c r="D96" s="912" t="str">
        <f>'Revenues 9-14'!A84</f>
        <v>Rentals - Regular Textbooks</v>
      </c>
      <c r="E96" s="907"/>
      <c r="F96" s="1811">
        <f>'Revenues 9-14'!C84</f>
        <v>31482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84557</v>
      </c>
      <c r="G104" s="913"/>
    </row>
    <row r="105" spans="1:7" x14ac:dyDescent="0.2">
      <c r="A105" s="909" t="s">
        <v>524</v>
      </c>
      <c r="B105" s="909" t="s">
        <v>842</v>
      </c>
      <c r="C105" s="914">
        <v>3100</v>
      </c>
      <c r="D105" s="920" t="str">
        <f>'Revenues 9-14'!A131</f>
        <v>Total Special Education</v>
      </c>
      <c r="E105" s="907"/>
      <c r="F105" s="1811">
        <f>SUM('Revenues 9-14'!C131:D131,'Revenues 9-14'!F131)</f>
        <v>126405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20400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2316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224900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199563</v>
      </c>
      <c r="G129" s="931"/>
    </row>
    <row r="130" spans="1:7" x14ac:dyDescent="0.2">
      <c r="A130" s="928" t="s">
        <v>689</v>
      </c>
      <c r="B130" s="928" t="s">
        <v>804</v>
      </c>
      <c r="C130" s="933">
        <v>4300</v>
      </c>
      <c r="D130" s="934" t="str">
        <f>'Revenues 9-14'!A211</f>
        <v>Total Title I</v>
      </c>
      <c r="E130" s="907"/>
      <c r="F130" s="1811">
        <f>SUM('Revenues 9-14'!C211,'Revenues 9-14'!D211,'Revenues 9-14'!F211,'Revenues 9-14'!G211)</f>
        <v>112811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135082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36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24560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9026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24539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1125835</v>
      </c>
    </row>
    <row r="179" spans="1:7" ht="12" customHeight="1" x14ac:dyDescent="0.2">
      <c r="A179" s="1792"/>
      <c r="B179" s="1806"/>
      <c r="C179" s="1807"/>
      <c r="D179" s="1808" t="s">
        <v>2015</v>
      </c>
      <c r="E179" s="1809"/>
      <c r="F179" s="1811">
        <f>'PCTC-OEPP 27-28'!F77-F178</f>
        <v>5754885</v>
      </c>
    </row>
    <row r="180" spans="1:7" ht="12" customHeight="1" x14ac:dyDescent="0.2">
      <c r="A180" s="1792"/>
      <c r="B180" s="1806"/>
      <c r="C180" s="1807"/>
      <c r="D180" s="1808" t="s">
        <v>1924</v>
      </c>
      <c r="E180" s="1809"/>
      <c r="F180" s="1811">
        <f>'Cap Outlay Deprec 26'!I18</f>
        <v>344244</v>
      </c>
    </row>
    <row r="181" spans="1:7" ht="12" customHeight="1" x14ac:dyDescent="0.2">
      <c r="A181" s="1792"/>
      <c r="B181" s="1806"/>
      <c r="C181" s="1807"/>
      <c r="D181" s="1808" t="s">
        <v>2016</v>
      </c>
      <c r="E181" s="1809"/>
      <c r="F181" s="1811">
        <f>F179+F180</f>
        <v>6099129</v>
      </c>
    </row>
    <row r="182" spans="1:7" ht="12" customHeight="1" x14ac:dyDescent="0.2">
      <c r="A182" s="1792"/>
      <c r="B182" s="1812"/>
      <c r="C182" s="1807"/>
      <c r="D182" s="1808" t="str">
        <f>D78</f>
        <v>9 Month ADA from District Average Daily Attendance/Prior General State Aid Inquiry 2017-2018</v>
      </c>
      <c r="E182" s="1809"/>
      <c r="F182" s="1813">
        <f>'PCTC-OEPP 27-28'!F78</f>
        <v>649</v>
      </c>
      <c r="G182" s="931"/>
    </row>
    <row r="183" spans="1:7" ht="12" customHeight="1" thickBot="1" x14ac:dyDescent="0.25">
      <c r="A183" s="1792"/>
      <c r="B183" s="1812"/>
      <c r="C183" s="1807"/>
      <c r="D183" s="1808" t="s">
        <v>2017</v>
      </c>
      <c r="E183" s="1809" t="s">
        <v>1626</v>
      </c>
      <c r="F183" s="1814">
        <f>F181/F182</f>
        <v>9397.7334360554705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pageMargins left="0.75" right="0.75" top="1" bottom="0.5" header="0.5" footer="0.5"/>
  <pageSetup scale="65" firstPageNumber="27" orientation="portrait" r:id="rId2"/>
  <headerFooter>
    <oddHeader>&amp;C&amp;"Times New Roman,Regular"PONTIAC-WILLIAM HOLLIDAY SCHOOL DISTRICT NO. 105
ESTIMATED OPERATING EXPENSE PER PUPIL/PER CAPITA TUITION CHARGE COMPUTATIONS
FOR THE YEAR ENDED JUNE 30, 2018</oddHeader>
    <oddFooter>&amp;C&amp;"Times New Roman,Regular"See Independent Auditor's Reports
&amp;P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pane ySplit="16" topLeftCell="A17" activePane="bottomLeft" state="frozen"/>
      <selection activeCell="AF38" sqref="AF38"/>
      <selection pane="bottomLeft" activeCell="B20" sqref="B2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2109</v>
      </c>
      <c r="B17" s="2506" t="s">
        <v>2115</v>
      </c>
      <c r="C17" s="1958" t="s">
        <v>2110</v>
      </c>
      <c r="D17" s="1867">
        <v>69213</v>
      </c>
      <c r="E17" s="1562">
        <f t="shared" ref="E17:E141" si="1">IF(D17&lt;=25000,D17,IF(D17&gt;25000,25000,0))</f>
        <v>25000</v>
      </c>
      <c r="F17" s="1815">
        <f t="shared" si="0"/>
        <v>25000</v>
      </c>
      <c r="G17" s="1816">
        <f>IF(F17=0,0,D17-F17)</f>
        <v>44213</v>
      </c>
      <c r="H17" s="1669"/>
    </row>
    <row r="18" spans="1:8" x14ac:dyDescent="0.25">
      <c r="A18" s="1957" t="s">
        <v>2112</v>
      </c>
      <c r="B18" s="2506" t="s">
        <v>2116</v>
      </c>
      <c r="C18" s="1958" t="s">
        <v>2111</v>
      </c>
      <c r="D18" s="1867">
        <v>37869</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12869</v>
      </c>
    </row>
    <row r="19" spans="1:8" x14ac:dyDescent="0.25">
      <c r="A19" s="1957" t="s">
        <v>2112</v>
      </c>
      <c r="B19" s="2506" t="s">
        <v>2116</v>
      </c>
      <c r="C19" s="1958" t="s">
        <v>2113</v>
      </c>
      <c r="D19" s="1867">
        <v>28491</v>
      </c>
      <c r="E19" s="1562">
        <f t="shared" si="2"/>
        <v>25000</v>
      </c>
      <c r="F19" s="1815">
        <f t="shared" si="3"/>
        <v>25000</v>
      </c>
      <c r="G19" s="1816">
        <f t="shared" si="4"/>
        <v>3491</v>
      </c>
    </row>
    <row r="20" spans="1:8" x14ac:dyDescent="0.25">
      <c r="A20" s="1957"/>
      <c r="B20" s="1959"/>
      <c r="C20" s="195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957"/>
      <c r="B127" s="1860"/>
      <c r="C127" s="1958"/>
      <c r="D127" s="1867"/>
      <c r="E127" s="1562">
        <f t="shared" si="23"/>
        <v>0</v>
      </c>
      <c r="F127" s="1815">
        <f t="shared" si="24"/>
        <v>0</v>
      </c>
      <c r="G127" s="1816">
        <f t="shared" si="25"/>
        <v>0</v>
      </c>
    </row>
    <row r="128" spans="1:7" x14ac:dyDescent="0.25">
      <c r="A128" s="1957"/>
      <c r="B128" s="1860"/>
      <c r="C128" s="1958"/>
      <c r="D128" s="1867"/>
      <c r="E128" s="1562">
        <f t="shared" si="23"/>
        <v>0</v>
      </c>
      <c r="F128" s="1815">
        <f t="shared" si="24"/>
        <v>0</v>
      </c>
      <c r="G128" s="1816">
        <f t="shared" si="25"/>
        <v>0</v>
      </c>
    </row>
    <row r="129" spans="1:7" x14ac:dyDescent="0.25">
      <c r="A129" s="1957"/>
      <c r="B129" s="1860"/>
      <c r="C129" s="1958"/>
      <c r="D129" s="1867"/>
      <c r="E129" s="1562">
        <f t="shared" si="23"/>
        <v>0</v>
      </c>
      <c r="F129" s="1815">
        <f t="shared" si="24"/>
        <v>0</v>
      </c>
      <c r="G129" s="1816">
        <f t="shared" si="25"/>
        <v>0</v>
      </c>
    </row>
    <row r="130" spans="1:7" x14ac:dyDescent="0.25">
      <c r="A130" s="1957"/>
      <c r="B130" s="1860"/>
      <c r="C130" s="1958"/>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135573</v>
      </c>
      <c r="E141" s="1563">
        <f t="shared" si="1"/>
        <v>25000</v>
      </c>
      <c r="F141" s="1817">
        <f>SUM(F17:F140)</f>
        <v>75000</v>
      </c>
      <c r="G141" s="1818">
        <f>SUM(G17:G140)</f>
        <v>60573</v>
      </c>
    </row>
  </sheetData>
  <sheetProtection sheet="1" selectLockedCells="1"/>
  <mergeCells count="6">
    <mergeCell ref="A13:G13"/>
    <mergeCell ref="A4:G5"/>
    <mergeCell ref="A11:G11"/>
    <mergeCell ref="A7:G7"/>
    <mergeCell ref="A8:G8"/>
    <mergeCell ref="A9:G9"/>
  </mergeCells>
  <printOptions horizontalCentered="1"/>
  <pageMargins left="0.75" right="0.75" top="1.1000000000000001" bottom="0.5" header="0.5" footer="0.5"/>
  <pageSetup scale="54" firstPageNumber="30" fitToHeight="0" orientation="portrait" r:id="rId1"/>
  <headerFooter>
    <oddHeader>&amp;C&amp;"Times New Roman,Regular"PONTIAC-WILLIAM HOLLIDAY SCHOOL DISTRICT NO. 105
CURRENT YEAR PAYMENT ON CONTRACTS FOR INDIRECT COST RATE COMPUTATION
FOR THE YEAR ENDED JUNE 30, 2018</oddHeader>
    <oddFooter>&amp;C&amp;"Times New Roman,Regular"See Independent Auditor's Reports
&amp;P</oddFooter>
  </headerFooter>
  <rowBreaks count="1" manualBreakCount="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268035</v>
      </c>
      <c r="F10" s="975"/>
      <c r="G10" s="976"/>
      <c r="H10" s="162"/>
      <c r="I10" s="162"/>
    </row>
    <row r="11" spans="1:9" s="669" customFormat="1" ht="22.5" customHeight="1" x14ac:dyDescent="0.2">
      <c r="A11" s="2306" t="s">
        <v>1945</v>
      </c>
      <c r="B11" s="2307"/>
      <c r="C11" s="2307"/>
      <c r="D11" s="2308"/>
      <c r="E11" s="978">
        <v>28276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4170201</v>
      </c>
      <c r="F19" s="1822"/>
      <c r="G19" s="1824">
        <f>'Expenditures 15-22'!K33-SUM('Expenditures 15-22'!G33,'Expenditures 15-22'!I33)+'Expenditures 15-22'!D229</f>
        <v>4170201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249207</v>
      </c>
      <c r="F21" s="1825"/>
      <c r="G21" s="1828">
        <f>'Expenditures 15-22'!K42-SUM('Expenditures 15-22'!G42,'Expenditures 15-22'!I42)+'Expenditures 15-22'!K120-SUM('Expenditures 15-22'!G120,'Expenditures 15-22'!I120)+'Expenditures 15-22'!K180-SUM('Expenditures 15-22'!G180,'Expenditures 15-22'!I180)+'Expenditures 15-22'!D238</f>
        <v>249207</v>
      </c>
      <c r="H21" s="988"/>
      <c r="I21" s="162"/>
    </row>
    <row r="22" spans="1:9" s="669" customFormat="1" ht="12" customHeight="1" x14ac:dyDescent="0.2">
      <c r="A22" s="995" t="s">
        <v>585</v>
      </c>
      <c r="B22" s="996"/>
      <c r="C22" s="994">
        <v>2200</v>
      </c>
      <c r="D22" s="1825"/>
      <c r="E22" s="1827">
        <f>'Expenditures 15-22'!K47-SUM('Expenditures 15-22'!G47,'Expenditures 15-22'!I47)+'Expenditures 15-22'!D243</f>
        <v>31590</v>
      </c>
      <c r="F22" s="1825"/>
      <c r="G22" s="1828">
        <f>'Expenditures 15-22'!K47-SUM('Expenditures 15-22'!G47,'Expenditures 15-22'!I47)+'Expenditures 15-22'!D243</f>
        <v>31590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616816</v>
      </c>
      <c r="F23" s="1825"/>
      <c r="G23" s="1827">
        <f>'Expenditures 15-22'!K53-SUM('Expenditures 15-22'!G53,'Expenditures 15-22'!I53)+'Expenditures 15-22'!D257+'Expenditures 15-22'!K330-SUM('Expenditures 15-22'!G330,'Expenditures 15-22'!I330)</f>
        <v>616816</v>
      </c>
      <c r="H23" s="988"/>
      <c r="I23" s="162"/>
    </row>
    <row r="24" spans="1:9" s="669" customFormat="1" ht="12" customHeight="1" x14ac:dyDescent="0.2">
      <c r="A24" s="995" t="s">
        <v>587</v>
      </c>
      <c r="B24" s="996"/>
      <c r="C24" s="994">
        <v>2400</v>
      </c>
      <c r="D24" s="1825"/>
      <c r="E24" s="1827">
        <f>'Expenditures 15-22'!K57-SUM('Expenditures 15-22'!G57,'Expenditures 15-22'!I57)+'Expenditures 15-22'!D261</f>
        <v>385943</v>
      </c>
      <c r="F24" s="1825"/>
      <c r="G24" s="1828">
        <f>'Expenditures 15-22'!K57-SUM('Expenditures 15-22'!G57,'Expenditures 15-22'!I57)+'Expenditures 15-22'!D261</f>
        <v>385943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112085</v>
      </c>
      <c r="E27" s="1827">
        <f>E8</f>
        <v>0</v>
      </c>
      <c r="F27" s="1827">
        <f>'Expenditures 15-22'!K60-SUM('Expenditures 15-22'!G60,'Expenditures 15-22'!I60)+'Expenditures 15-22'!D264-E8</f>
        <v>112085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645648</v>
      </c>
      <c r="F28" s="1829">
        <f>'Expenditures 15-22'!K61-SUM('Expenditures 15-22'!G61,'Expenditures 15-22'!I61)+'Expenditures 15-22'!K124-SUM('Expenditures 15-22'!G124,'Expenditures 15-22'!I124)+'Expenditures 15-22'!D266-E9</f>
        <v>645648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427164</v>
      </c>
      <c r="F29" s="1825"/>
      <c r="G29" s="1828">
        <f>'Expenditures 15-22'!K62-SUM('Expenditures 15-22'!G62,'Expenditures 15-22'!I62)+'Expenditures 15-22'!K125-SUM('Expenditures 15-22'!G125,'Expenditures 15-22'!I125)+'Expenditures 15-22'!K182-SUM('Expenditures 15-22'!G182,'Expenditures 15-22'!I182)+'Expenditures 15-22'!D267</f>
        <v>427164</v>
      </c>
      <c r="H29" s="986"/>
    </row>
    <row r="30" spans="1:9" ht="12" customHeight="1" x14ac:dyDescent="0.2">
      <c r="A30" s="995" t="s">
        <v>102</v>
      </c>
      <c r="B30" s="998"/>
      <c r="C30" s="994">
        <v>2560</v>
      </c>
      <c r="D30" s="1825"/>
      <c r="E30" s="1827">
        <f>'Expenditures 15-22'!K63-SUM('Expenditures 15-22'!G63,'Expenditures 15-22'!I63)+'Expenditures 15-22'!D268-E10</f>
        <v>40280</v>
      </c>
      <c r="F30" s="1825"/>
      <c r="G30" s="1827">
        <f>'Expenditures 15-22'!K63-SUM('Expenditures 15-22'!G63,'Expenditures 15-22'!I63)+'Expenditures 15-22'!D268-E10</f>
        <v>40280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176</v>
      </c>
      <c r="F38" s="1825"/>
      <c r="G38" s="1827">
        <f>'Expenditures 15-22'!K73-SUM('Expenditures 15-22'!G73,'Expenditures 15-22'!I73)+'Expenditures 15-22'!K128-SUM('Expenditures 15-22'!G128,'Expenditures 15-22'!I128)+'Expenditures 15-22'!K183-SUM('Expenditures 15-22'!G183,'Expenditures 15-22'!I183)+'Expenditures 15-22'!D278</f>
        <v>176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91504</v>
      </c>
      <c r="F39" s="1825"/>
      <c r="G39" s="1827">
        <f>'Expenditures 15-22'!K75-SUM('Expenditures 15-22'!G75,'Expenditures 15-22'!I75)+'Expenditures 15-22'!K130-SUM('Expenditures 15-22'!G130,'Expenditures 15-22'!I130)+'Expenditures 15-22'!K185-SUM('Expenditures 15-22'!G185,'Expenditures 15-22'!I185)+'Expenditures 15-22'!D280</f>
        <v>91504</v>
      </c>
    </row>
    <row r="40" spans="1:7" ht="12" customHeight="1" x14ac:dyDescent="0.2">
      <c r="A40" s="991" t="s">
        <v>1930</v>
      </c>
      <c r="B40" s="992"/>
      <c r="C40" s="994"/>
      <c r="D40" s="1825"/>
      <c r="E40" s="1829">
        <f>-'Contracts Paid in CY 29'!G141</f>
        <v>-60573</v>
      </c>
      <c r="F40" s="1825"/>
      <c r="G40" s="1829">
        <f>-'Contracts Paid in CY 29'!G141</f>
        <v>-60573</v>
      </c>
    </row>
    <row r="41" spans="1:7" ht="12" customHeight="1" x14ac:dyDescent="0.2">
      <c r="A41" s="999" t="s">
        <v>158</v>
      </c>
      <c r="B41" s="1000"/>
      <c r="C41" s="1001"/>
      <c r="D41" s="1829">
        <f>SUM(D19:D39)</f>
        <v>112085</v>
      </c>
      <c r="E41" s="1829">
        <f>SUM(E19:E40)</f>
        <v>6597956</v>
      </c>
      <c r="F41" s="1829">
        <f>SUM(F19:F39)</f>
        <v>757733</v>
      </c>
      <c r="G41" s="1829">
        <f>SUM(G19:G40)</f>
        <v>5952308</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112085</v>
      </c>
      <c r="F43" s="1830" t="s">
        <v>495</v>
      </c>
      <c r="G43" s="1831">
        <f>F41</f>
        <v>757733</v>
      </c>
    </row>
    <row r="44" spans="1:7" ht="12" customHeight="1" x14ac:dyDescent="0.2">
      <c r="A44" s="988"/>
      <c r="B44" s="162"/>
      <c r="C44" s="1002"/>
      <c r="D44" s="1830" t="s">
        <v>494</v>
      </c>
      <c r="E44" s="1831">
        <f>E41</f>
        <v>6597956</v>
      </c>
      <c r="F44" s="1830" t="s">
        <v>494</v>
      </c>
      <c r="G44" s="1831">
        <f>G41</f>
        <v>5952308</v>
      </c>
    </row>
    <row r="45" spans="1:7" ht="12" customHeight="1" x14ac:dyDescent="0.2">
      <c r="A45" s="988"/>
      <c r="B45" s="162"/>
      <c r="C45" s="162"/>
      <c r="D45" s="1832" t="s">
        <v>1063</v>
      </c>
      <c r="E45" s="1833">
        <f>(E43/E44)</f>
        <v>1.6987836839166555E-2</v>
      </c>
      <c r="F45" s="1832" t="s">
        <v>1063</v>
      </c>
      <c r="G45" s="1833">
        <f>(G43/G44)</f>
        <v>0.12730070419743064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1"/>
  <headerFooter>
    <oddHeader>&amp;C&amp;"Times New Roman,Regular"PONTIAC-WILLIAM HOLLIDAY SCHOOL DISTRICT NO. 105
ESTIMATED INDIRECT COST RATE DATA
FOR THE YEAR ENDED JUNE 30, 2018</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F38" sqref="AF38"/>
      <selection pane="bottomLeft" activeCell="D31" sqref="D3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Pontiac-W Holliday SD 105</v>
      </c>
      <c r="D6" s="2316"/>
      <c r="E6" s="2316"/>
      <c r="F6" s="1877"/>
    </row>
    <row r="7" spans="1:10" ht="11.25" customHeight="1" thickBot="1" x14ac:dyDescent="0.3">
      <c r="A7" s="1875"/>
      <c r="B7" s="1876"/>
      <c r="C7" s="2317">
        <f>COVER!A13</f>
        <v>50082105002</v>
      </c>
      <c r="D7" s="2317"/>
      <c r="E7" s="231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c r="F13" s="1892" t="s">
        <v>2097</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t="s">
        <v>2077</v>
      </c>
      <c r="E16" s="1893"/>
      <c r="F16" s="1892" t="s">
        <v>2098</v>
      </c>
      <c r="H16" s="1903">
        <f t="shared" si="0"/>
        <v>0</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2099</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t="s">
        <v>2077</v>
      </c>
      <c r="E30" s="1893"/>
      <c r="F30" s="1892" t="s">
        <v>2100</v>
      </c>
      <c r="H30" s="1903">
        <f t="shared" si="0"/>
        <v>0</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20</v>
      </c>
      <c r="J34" s="1903">
        <f>SUM(J11:J32)</f>
        <v>0</v>
      </c>
      <c r="K34" s="1903">
        <f>SUM(H34:J34)</f>
        <v>30</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25" bottom="0.5" header="0.5" footer="0.5"/>
  <pageSetup scale="76" orientation="landscape" r:id="rId1"/>
  <headerFooter>
    <oddHeader>&amp;C&amp;"Times New Roman,Regular"PONTIAC-WILLIAM HOLLIDAY SCHOOL DISTRICT NO. 105</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E1"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Pontiac-W Holliday SD 105</v>
      </c>
      <c r="J6" s="2337"/>
      <c r="Q6" s="1686"/>
    </row>
    <row r="7" spans="1:17" x14ac:dyDescent="0.2">
      <c r="A7" s="2338" t="s">
        <v>924</v>
      </c>
      <c r="B7" s="2339"/>
      <c r="C7" s="2339"/>
      <c r="D7" s="2339"/>
      <c r="E7" s="2340"/>
      <c r="F7" s="1018"/>
      <c r="G7" s="1010"/>
      <c r="H7" s="1017" t="s">
        <v>390</v>
      </c>
      <c r="I7" s="2341">
        <f>COVER!A13</f>
        <v>50082105002</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142228</v>
      </c>
      <c r="F12" s="1040"/>
      <c r="G12" s="1834">
        <f t="shared" ref="G12:G18" si="0">SUM(E12:F12)</f>
        <v>142228</v>
      </c>
      <c r="H12" s="1041">
        <v>149335</v>
      </c>
      <c r="I12" s="1040"/>
      <c r="J12" s="1834">
        <f t="shared" ref="J12:J18" si="1">SUM(H12:I12)</f>
        <v>149335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142228</v>
      </c>
      <c r="F19" s="1836">
        <f t="shared" si="2"/>
        <v>0</v>
      </c>
      <c r="G19" s="1836">
        <f t="shared" si="2"/>
        <v>142228</v>
      </c>
      <c r="H19" s="1836">
        <f t="shared" si="2"/>
        <v>149335</v>
      </c>
      <c r="I19" s="1836">
        <f t="shared" si="2"/>
        <v>0</v>
      </c>
      <c r="J19" s="1836">
        <f t="shared" si="2"/>
        <v>149335</v>
      </c>
    </row>
    <row r="20" spans="1:10" ht="13.5" thickTop="1" x14ac:dyDescent="0.2">
      <c r="A20" s="1036">
        <v>9</v>
      </c>
      <c r="B20" s="2348" t="s">
        <v>1703</v>
      </c>
      <c r="C20" s="2348"/>
      <c r="D20" s="2349"/>
      <c r="E20" s="1047"/>
      <c r="F20" s="1047"/>
      <c r="G20" s="1047"/>
      <c r="H20" s="1047"/>
      <c r="I20" s="1047"/>
      <c r="J20" s="1837">
        <f>IF(AND(G19&gt;0,J19&gt;0),(((J19-G19)/G19)),"Enter Budget Data")</f>
        <v>4.9969063756784879E-2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66" orientation="landscape" useFirstPageNumber="1" r:id="rId1"/>
  <headerFooter>
    <oddHeader>&amp;C&amp;"Times New Roman,Regular"PONTIAC-WILLIAM HOLLIDAY SCHOOL DISTRICT NO. 105
LIMITATION OF ADMINISTRATIVE COSTS WORKSHEET
FOR THE YEAR ENDED JUNE 30, 2018</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BreakPreview" zoomScale="60" zoomScaleNormal="110" workbookViewId="0">
      <selection activeCell="A14" sqref="A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2101</v>
      </c>
    </row>
    <row r="6" spans="1:2" x14ac:dyDescent="0.2">
      <c r="A6" s="1069">
        <v>2</v>
      </c>
      <c r="B6" s="329" t="s">
        <v>2102</v>
      </c>
    </row>
    <row r="7" spans="1:2" x14ac:dyDescent="0.2">
      <c r="A7" s="1069">
        <v>3</v>
      </c>
      <c r="B7" s="329" t="s">
        <v>2103</v>
      </c>
    </row>
    <row r="8" spans="1:2" x14ac:dyDescent="0.2">
      <c r="A8" s="1069">
        <v>4</v>
      </c>
      <c r="B8" s="329" t="s">
        <v>2104</v>
      </c>
    </row>
    <row r="9" spans="1:2" x14ac:dyDescent="0.2">
      <c r="A9" s="1070">
        <v>5</v>
      </c>
      <c r="B9" s="329" t="s">
        <v>2105</v>
      </c>
    </row>
    <row r="10" spans="1:2" x14ac:dyDescent="0.2">
      <c r="A10" s="1070">
        <v>6</v>
      </c>
      <c r="B10" s="329" t="s">
        <v>2106</v>
      </c>
    </row>
    <row r="11" spans="1:2" x14ac:dyDescent="0.2">
      <c r="A11" s="1070">
        <v>7</v>
      </c>
      <c r="B11" s="329" t="s">
        <v>2107</v>
      </c>
    </row>
    <row r="12" spans="1:2" x14ac:dyDescent="0.2">
      <c r="A12" s="1070">
        <v>8</v>
      </c>
      <c r="B12" s="329" t="s">
        <v>2108</v>
      </c>
    </row>
    <row r="13" spans="1:2" x14ac:dyDescent="0.2">
      <c r="A13" s="1070">
        <v>9</v>
      </c>
    </row>
    <row r="14" spans="1:2" x14ac:dyDescent="0.2">
      <c r="A14" s="1070">
        <v>10</v>
      </c>
    </row>
    <row r="15" spans="1:2" x14ac:dyDescent="0.2">
      <c r="A15" s="1070">
        <v>11</v>
      </c>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Pontiac-W Holliday SD 105</v>
      </c>
    </row>
    <row r="65" spans="2:2" x14ac:dyDescent="0.2">
      <c r="B65" s="1071">
        <f>COVER!A13</f>
        <v>50082105002</v>
      </c>
    </row>
  </sheetData>
  <phoneticPr fontId="13" type="noConversion"/>
  <printOptions horizontalCentered="1"/>
  <pageMargins left="0.75" right="0.75" top="1.1000000000000001" bottom="0.5" header="0.5" footer="0.5"/>
  <pageSetup scale="80" firstPageNumber="67" orientation="portrait" useFirstPageNumber="1" r:id="rId1"/>
  <headerFooter>
    <oddHeader>&amp;C&amp;"Times New Roman,Regular"PONTIAC-WILLIAM HOLLIDAY SCHOOL DISTRICT NO. 105
ITEMIZATION SCHEDULE
FOR THE YEAR ENDED JUNE 30, 2018</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view="pageBreakPreview" topLeftCell="A10" zoomScale="80" zoomScaleNormal="110" zoomScaleSheetLayoutView="80" workbookViewId="0">
      <selection activeCell="B50" sqref="B5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5" right="0.75" top="1" bottom="0.5" header="0.5" footer="0.5"/>
  <pageSetup scale="72" fitToHeight="0" orientation="portrait" r:id="rId4"/>
  <headerFooter>
    <oddHeader>&amp;C&amp;"Times New Roman,Regular"PONTIAC-WILLIAM HOLLIDAY SCHOOL DISTRICT NO. 105</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F38" sqref="AF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rintOptions horizontalCentered="1"/>
  <pageMargins left="0.75" right="0.75" top="1" bottom="0.5" header="0.5" footer="0.5"/>
  <pageSetup scale="75" firstPageNumber="33" orientation="landscape" r:id="rId1"/>
  <headerFooter>
    <oddHeader>&amp;C
&amp;"Times New Roman,Regular"FOR THE YEAR ENDED JUNE 30, 2018</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rintOptions horizontalCentered="1"/>
  <pageMargins left="0.75" right="0.75" top="1" bottom="0.5" header="0.5" footer="0.5"/>
  <pageSetup scale="75" firstPageNumber="34" orientation="landscape" r:id="rId1"/>
  <headerFooter>
    <oddHeader>&amp;C
&amp;"Times New Roman,Regular"FOR THE YEAR ENDED JUNE 30, 2018</oddHeader>
    <oddFooter>&amp;C&amp;"Times New Roman,Regular"See Independent Auditor's Reports
&amp;P</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view="pageBreakPreview" zoomScale="60" zoomScaleNormal="110" workbookViewId="0">
      <selection activeCell="AF38" sqref="AF3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6561836</v>
      </c>
      <c r="C8" s="1838">
        <f>'Acct Summary 7-8'!D8</f>
        <v>777582</v>
      </c>
      <c r="D8" s="1838">
        <f>'Acct Summary 7-8'!F8</f>
        <v>558943</v>
      </c>
      <c r="E8" s="1838">
        <f>'Acct Summary 7-8'!I8</f>
        <v>144235</v>
      </c>
      <c r="F8" s="1838">
        <f>SUM(B8:E8)</f>
        <v>8042596</v>
      </c>
    </row>
    <row r="9" spans="1:8" s="1080" customFormat="1" ht="14.25" customHeight="1" thickBot="1" x14ac:dyDescent="0.25">
      <c r="A9" s="1079" t="s">
        <v>1436</v>
      </c>
      <c r="B9" s="1839">
        <f>'Acct Summary 7-8'!C17</f>
        <v>5798184</v>
      </c>
      <c r="C9" s="1839">
        <f>'Acct Summary 7-8'!D17</f>
        <v>629926</v>
      </c>
      <c r="D9" s="1839">
        <f>'Acct Summary 7-8'!F17</f>
        <v>411074</v>
      </c>
      <c r="E9" s="1838"/>
      <c r="F9" s="1838">
        <f>SUM(B9:E9)</f>
        <v>6839184</v>
      </c>
    </row>
    <row r="10" spans="1:8" s="1080" customFormat="1" ht="14.25" thickTop="1" thickBot="1" x14ac:dyDescent="0.25">
      <c r="A10" s="1081" t="s">
        <v>1437</v>
      </c>
      <c r="B10" s="1840">
        <f>(B8-B9)</f>
        <v>763652</v>
      </c>
      <c r="C10" s="1840">
        <f>(C8-C9)</f>
        <v>147656</v>
      </c>
      <c r="D10" s="1840">
        <f>(D8-D9)</f>
        <v>147869</v>
      </c>
      <c r="E10" s="1839">
        <f>(E8-E9)</f>
        <v>144235</v>
      </c>
      <c r="F10" s="1841">
        <f>SUM(F8-F9)</f>
        <v>1203412</v>
      </c>
    </row>
    <row r="11" spans="1:8" s="1080" customFormat="1" ht="14.25" thickTop="1" thickBot="1" x14ac:dyDescent="0.25">
      <c r="A11" s="1082" t="s">
        <v>1785</v>
      </c>
      <c r="B11" s="1842">
        <f>'Acct Summary 7-8'!C81</f>
        <v>1271577</v>
      </c>
      <c r="C11" s="1842">
        <f>'Acct Summary 7-8'!D81</f>
        <v>1214672</v>
      </c>
      <c r="D11" s="1842">
        <f>'Acct Summary 7-8'!F81</f>
        <v>521632</v>
      </c>
      <c r="E11" s="1842">
        <f>'Acct Summary 7-8'!I81</f>
        <v>2692350</v>
      </c>
      <c r="F11" s="1843">
        <f>SUM(B11:E11)</f>
        <v>5700231</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Roman,Regular"PONTIAC-WILLIAM HOLLIDAY SCHOOL DISTRICT NO. 105
DEFICIT ANNUAL FINANCIAL REPORT (AFR) SUMMARY INFORMATION
FOR THE YEAR ENDED JUNE 30, 2018</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D69" sqref="D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75" right="0.75" top="1" bottom="0.5" header="0.5" footer="0.5"/>
  <pageSetup scale="75" firstPageNumber="32" orientation="landscape" r:id="rId1"/>
  <headerFooter>
    <oddHeader>&amp;C
&amp;"Times New Roman,Regular"FOR THE YEAR ENDED JUNE 30, 2018</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50082105002</v>
      </c>
    </row>
    <row r="3" spans="1:2" x14ac:dyDescent="0.2">
      <c r="A3" t="s">
        <v>1013</v>
      </c>
      <c r="B3" s="138" t="str">
        <f>COVER!A15</f>
        <v>ST. CLAIR</v>
      </c>
    </row>
    <row r="4" spans="1:2" x14ac:dyDescent="0.2">
      <c r="A4" t="s">
        <v>1064</v>
      </c>
      <c r="B4" s="138" t="str">
        <f>COVER!A17</f>
        <v>Pontiac-W Holliday SD 105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066-005060</v>
      </c>
    </row>
    <row r="16" spans="1:2" x14ac:dyDescent="0.2">
      <c r="A16" t="s">
        <v>442</v>
      </c>
      <c r="B16" s="138" t="str">
        <f>COVER!T13</f>
        <v>DENNIS ROSE &amp; ASSOCIATES, P.C.</v>
      </c>
    </row>
    <row r="17" spans="1:2" x14ac:dyDescent="0.2">
      <c r="A17" t="s">
        <v>939</v>
      </c>
      <c r="B17" s="138" t="str">
        <f>COVER!T15</f>
        <v>DENNIS ROSE</v>
      </c>
    </row>
    <row r="18" spans="1:2" x14ac:dyDescent="0.2">
      <c r="A18" t="s">
        <v>1212</v>
      </c>
      <c r="B18" s="138" t="str">
        <f>COVER!T17</f>
        <v xml:space="preserve">1904 STATE STREET </v>
      </c>
    </row>
    <row r="19" spans="1:2" x14ac:dyDescent="0.2">
      <c r="A19" t="s">
        <v>941</v>
      </c>
      <c r="B19" s="138" t="str">
        <f>COVER!T25</f>
        <v>DROSECPA@DRA-CPA.COM</v>
      </c>
    </row>
    <row r="20" spans="1:2" x14ac:dyDescent="0.2">
      <c r="A20" t="s">
        <v>942</v>
      </c>
      <c r="B20" s="138" t="str">
        <f>COVER!T19</f>
        <v>ALTON</v>
      </c>
    </row>
    <row r="21" spans="1:2" x14ac:dyDescent="0.2">
      <c r="A21" t="s">
        <v>500</v>
      </c>
      <c r="B21" s="138" t="str">
        <f>COVER!X19</f>
        <v>IL</v>
      </c>
    </row>
    <row r="22" spans="1:2" x14ac:dyDescent="0.2">
      <c r="A22" t="s">
        <v>943</v>
      </c>
      <c r="B22" s="138">
        <f>COVER!Z19</f>
        <v>62002</v>
      </c>
    </row>
    <row r="23" spans="1:2" x14ac:dyDescent="0.2">
      <c r="A23" t="s">
        <v>1214</v>
      </c>
      <c r="B23" s="138" t="str">
        <f>COVER!T21</f>
        <v>618-465-4999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1271577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1271577</v>
      </c>
      <c r="D92" s="2" t="str">
        <f t="shared" si="0"/>
        <v>Error?</v>
      </c>
    </row>
    <row r="93" spans="1:4" x14ac:dyDescent="0.2">
      <c r="A93" s="5">
        <v>32</v>
      </c>
      <c r="B93" s="138">
        <f>'Assets-Liab 5-6'!C41</f>
        <v>1271577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1214672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1214672</v>
      </c>
      <c r="D123" s="2" t="str">
        <f t="shared" si="0"/>
        <v>Error?</v>
      </c>
    </row>
    <row r="124" spans="1:4" x14ac:dyDescent="0.2">
      <c r="A124" s="5">
        <v>63</v>
      </c>
      <c r="B124" s="138">
        <f>'Assets-Liab 5-6'!D41</f>
        <v>1214672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260199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260199</v>
      </c>
      <c r="D140" s="2" t="str">
        <f t="shared" si="1"/>
        <v>Error?</v>
      </c>
    </row>
    <row r="141" spans="1:4" x14ac:dyDescent="0.2">
      <c r="A141" s="5">
        <v>80</v>
      </c>
      <c r="B141" s="138">
        <f>'Assets-Liab 5-6'!E41</f>
        <v>260199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521632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521632</v>
      </c>
      <c r="D170" s="2" t="str">
        <f t="shared" si="1"/>
        <v>Error?</v>
      </c>
    </row>
    <row r="171" spans="1:4" x14ac:dyDescent="0.2">
      <c r="A171" s="5">
        <v>110</v>
      </c>
      <c r="B171" s="138">
        <f>'Assets-Liab 5-6'!F41</f>
        <v>521632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539733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279410</v>
      </c>
      <c r="D189" s="2" t="str">
        <f t="shared" si="1"/>
        <v>Error?</v>
      </c>
    </row>
    <row r="190" spans="1:4" x14ac:dyDescent="0.2">
      <c r="A190" s="5">
        <v>129</v>
      </c>
      <c r="B190" s="138">
        <f>'Assets-Liab 5-6'!G41</f>
        <v>539733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94796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94796</v>
      </c>
      <c r="D212" s="2" t="str">
        <f t="shared" si="2"/>
        <v>Error?</v>
      </c>
    </row>
    <row r="213" spans="1:4" x14ac:dyDescent="0.2">
      <c r="A213" s="12">
        <v>152</v>
      </c>
      <c r="B213" s="138">
        <f>'Assets-Liab 5-6'!H41</f>
        <v>94796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60065</v>
      </c>
      <c r="D273" s="2" t="str">
        <f t="shared" si="3"/>
        <v>Error?</v>
      </c>
    </row>
    <row r="274" spans="1:4" x14ac:dyDescent="0.2">
      <c r="A274" s="5">
        <v>213</v>
      </c>
      <c r="B274" s="138">
        <f>'Assets-Liab 5-6'!M17</f>
        <v>13219824</v>
      </c>
      <c r="D274" s="2" t="str">
        <f t="shared" si="3"/>
        <v>Error?</v>
      </c>
    </row>
    <row r="275" spans="1:4" x14ac:dyDescent="0.2">
      <c r="A275" s="5">
        <v>214</v>
      </c>
      <c r="B275" s="138">
        <f>'Assets-Liab 5-6'!M18</f>
        <v>108569</v>
      </c>
      <c r="D275" s="2" t="str">
        <f t="shared" si="3"/>
        <v>Error?</v>
      </c>
    </row>
    <row r="276" spans="1:4" x14ac:dyDescent="0.2">
      <c r="A276" s="5">
        <v>215</v>
      </c>
      <c r="B276" s="138">
        <f>'Assets-Liab 5-6'!M19</f>
        <v>564180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13952638</v>
      </c>
      <c r="C279" s="2" t="s">
        <v>594</v>
      </c>
      <c r="D279" s="2" t="str">
        <f t="shared" si="3"/>
        <v>Error?</v>
      </c>
    </row>
    <row r="280" spans="1:4" x14ac:dyDescent="0.2">
      <c r="A280" s="5">
        <v>219</v>
      </c>
      <c r="B280" s="138">
        <f>'Assets-Liab 5-6'!M40</f>
        <v>13952638</v>
      </c>
      <c r="D280" s="2" t="str">
        <f t="shared" si="3"/>
        <v>Error?</v>
      </c>
    </row>
    <row r="281" spans="1:4" x14ac:dyDescent="0.2">
      <c r="A281" s="5">
        <v>220</v>
      </c>
      <c r="B281" s="138">
        <f>'Assets-Liab 5-6'!M41</f>
        <v>13952638</v>
      </c>
      <c r="C281" s="2" t="s">
        <v>594</v>
      </c>
      <c r="D281" s="2" t="str">
        <f t="shared" si="3"/>
        <v>Error?</v>
      </c>
    </row>
    <row r="282" spans="1:4" x14ac:dyDescent="0.2">
      <c r="A282" s="5">
        <v>221</v>
      </c>
      <c r="B282" s="138">
        <f>'Assets-Liab 5-6'!N21</f>
        <v>260199</v>
      </c>
      <c r="D282" s="2" t="str">
        <f t="shared" si="3"/>
        <v>Error?</v>
      </c>
    </row>
    <row r="283" spans="1:4" x14ac:dyDescent="0.2">
      <c r="A283" s="5">
        <v>222</v>
      </c>
      <c r="B283" s="138">
        <f>'Assets-Liab 5-6'!N22</f>
        <v>1255034</v>
      </c>
      <c r="D283" s="2" t="str">
        <f t="shared" si="3"/>
        <v>Error?</v>
      </c>
    </row>
    <row r="284" spans="1:4" x14ac:dyDescent="0.2">
      <c r="A284" s="5">
        <v>223</v>
      </c>
      <c r="B284" s="138">
        <f>'Assets-Liab 5-6'!N23</f>
        <v>1515233</v>
      </c>
      <c r="C284" s="2" t="s">
        <v>594</v>
      </c>
      <c r="D284" s="2" t="str">
        <f t="shared" si="3"/>
        <v>Error?</v>
      </c>
    </row>
    <row r="285" spans="1:4" x14ac:dyDescent="0.2">
      <c r="A285" s="5">
        <v>224</v>
      </c>
      <c r="B285" s="138">
        <f>'Assets-Liab 5-6'!N36</f>
        <v>1515233</v>
      </c>
      <c r="D285" s="2" t="str">
        <f t="shared" si="3"/>
        <v>Error?</v>
      </c>
    </row>
    <row r="286" spans="1:4" x14ac:dyDescent="0.2">
      <c r="A286" s="10">
        <v>225</v>
      </c>
      <c r="D286" s="2" t="str">
        <f t="shared" si="3"/>
        <v>OK</v>
      </c>
    </row>
    <row r="287" spans="1:4" x14ac:dyDescent="0.2">
      <c r="A287" s="5">
        <v>226</v>
      </c>
      <c r="B287" s="138">
        <f>'Assets-Liab 5-6'!N37</f>
        <v>1515233</v>
      </c>
      <c r="C287" s="2" t="s">
        <v>594</v>
      </c>
      <c r="D287" s="2" t="str">
        <f t="shared" si="3"/>
        <v>Error?</v>
      </c>
    </row>
    <row r="288" spans="1:4" x14ac:dyDescent="0.2">
      <c r="A288" s="5">
        <v>227</v>
      </c>
      <c r="B288" s="138">
        <f>'Assets-Liab 5-6'!N41</f>
        <v>1515233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2335703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44510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3148443</v>
      </c>
      <c r="C720" s="2" t="s">
        <v>594</v>
      </c>
      <c r="D720" s="2" t="str">
        <f t="shared" si="10"/>
        <v>Error?</v>
      </c>
    </row>
    <row r="721" spans="1:4" x14ac:dyDescent="0.2">
      <c r="A721" s="5">
        <v>660</v>
      </c>
      <c r="B721" s="138">
        <f>'Expenditures 15-22'!C36</f>
        <v>99706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18698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45075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163479</v>
      </c>
      <c r="C727" s="2" t="s">
        <v>594</v>
      </c>
      <c r="D727" s="2" t="str">
        <f t="shared" si="10"/>
        <v>Error?</v>
      </c>
    </row>
    <row r="728" spans="1:4" x14ac:dyDescent="0.2">
      <c r="A728" s="5">
        <v>667</v>
      </c>
      <c r="B728" s="138">
        <f>'Expenditures 15-22'!C44</f>
        <v>2127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2127</v>
      </c>
      <c r="C731" s="2" t="s">
        <v>594</v>
      </c>
      <c r="D731" s="2" t="str">
        <f t="shared" si="10"/>
        <v>Error?</v>
      </c>
    </row>
    <row r="732" spans="1:4" x14ac:dyDescent="0.2">
      <c r="A732" s="5">
        <v>671</v>
      </c>
      <c r="B732" s="138">
        <f>'Expenditures 15-22'!C49</f>
        <v>1230</v>
      </c>
      <c r="D732" s="2" t="str">
        <f t="shared" si="10"/>
        <v>Error?</v>
      </c>
    </row>
    <row r="733" spans="1:4" x14ac:dyDescent="0.2">
      <c r="A733" s="5">
        <v>672</v>
      </c>
      <c r="B733" s="138">
        <f>'Expenditures 15-22'!C50</f>
        <v>102516</v>
      </c>
      <c r="D733" s="2" t="str">
        <f t="shared" si="10"/>
        <v>Error?</v>
      </c>
    </row>
    <row r="734" spans="1:4" x14ac:dyDescent="0.2">
      <c r="A734" s="5">
        <v>673</v>
      </c>
      <c r="B734" s="138">
        <f>'Expenditures 15-22'!C53</f>
        <v>103746</v>
      </c>
      <c r="C734" s="2" t="s">
        <v>594</v>
      </c>
      <c r="D734" s="2" t="str">
        <f t="shared" si="10"/>
        <v>Error?</v>
      </c>
    </row>
    <row r="735" spans="1:4" x14ac:dyDescent="0.2">
      <c r="A735" s="5">
        <v>674</v>
      </c>
      <c r="B735" s="138">
        <f>'Expenditures 15-22'!C55</f>
        <v>252996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252996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72703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108952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181655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704003</v>
      </c>
      <c r="C755" s="2" t="s">
        <v>594</v>
      </c>
      <c r="D755" s="2" t="str">
        <f t="shared" si="10"/>
        <v>Error?</v>
      </c>
    </row>
    <row r="756" spans="1:4" x14ac:dyDescent="0.2">
      <c r="A756" s="5">
        <v>695</v>
      </c>
      <c r="B756" s="138">
        <f>'Expenditures 15-22'!C75</f>
        <v>69486</v>
      </c>
      <c r="D756" s="2" t="str">
        <f t="shared" si="10"/>
        <v>Error?</v>
      </c>
    </row>
    <row r="757" spans="1:4" x14ac:dyDescent="0.2">
      <c r="A757" s="5">
        <v>696</v>
      </c>
      <c r="B757" s="138">
        <f>'Expenditures 15-22'!C114</f>
        <v>3921932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596994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4560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789147</v>
      </c>
      <c r="C778" s="2" t="s">
        <v>594</v>
      </c>
      <c r="D778" s="2" t="str">
        <f t="shared" si="11"/>
        <v>Error?</v>
      </c>
    </row>
    <row r="779" spans="1:4" x14ac:dyDescent="0.2">
      <c r="A779" s="5">
        <v>718</v>
      </c>
      <c r="B779" s="138">
        <f>'Expenditures 15-22'!D36</f>
        <v>31023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5344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18677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55044</v>
      </c>
      <c r="C785" s="2" t="s">
        <v>594</v>
      </c>
      <c r="D785" s="2" t="str">
        <f t="shared" si="11"/>
        <v>Error?</v>
      </c>
    </row>
    <row r="786" spans="1:4" x14ac:dyDescent="0.2">
      <c r="A786" s="5">
        <v>725</v>
      </c>
      <c r="B786" s="138">
        <f>'Expenditures 15-22'!D44</f>
        <v>3185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3185</v>
      </c>
      <c r="C789" s="2" t="s">
        <v>594</v>
      </c>
      <c r="D789" s="2" t="str">
        <f t="shared" si="11"/>
        <v>Error?</v>
      </c>
    </row>
    <row r="790" spans="1:4" x14ac:dyDescent="0.2">
      <c r="A790" s="5">
        <v>729</v>
      </c>
      <c r="B790" s="138">
        <f>'Expenditures 15-22'!D49</f>
        <v>142</v>
      </c>
      <c r="D790" s="2" t="str">
        <f t="shared" si="11"/>
        <v>Error?</v>
      </c>
    </row>
    <row r="791" spans="1:4" x14ac:dyDescent="0.2">
      <c r="A791" s="5">
        <v>730</v>
      </c>
      <c r="B791" s="138">
        <f>'Expenditures 15-22'!D50</f>
        <v>36270</v>
      </c>
      <c r="D791" s="2" t="str">
        <f t="shared" si="11"/>
        <v>Error?</v>
      </c>
    </row>
    <row r="792" spans="1:4" x14ac:dyDescent="0.2">
      <c r="A792" s="5">
        <v>731</v>
      </c>
      <c r="B792" s="138">
        <f>'Expenditures 15-22'!D53</f>
        <v>36412</v>
      </c>
      <c r="C792" s="2" t="s">
        <v>594</v>
      </c>
      <c r="D792" s="2" t="str">
        <f t="shared" si="11"/>
        <v>Error?</v>
      </c>
    </row>
    <row r="793" spans="1:4" x14ac:dyDescent="0.2">
      <c r="A793" s="5">
        <v>732</v>
      </c>
      <c r="B793" s="138">
        <f>'Expenditures 15-22'!D55</f>
        <v>127133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127133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16669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10400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27069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248843</v>
      </c>
      <c r="C813" s="2" t="s">
        <v>594</v>
      </c>
      <c r="D813" s="2" t="str">
        <f t="shared" si="11"/>
        <v>Error?</v>
      </c>
    </row>
    <row r="814" spans="1:4" x14ac:dyDescent="0.2">
      <c r="A814" s="5">
        <v>753</v>
      </c>
      <c r="B814" s="138">
        <f>'Expenditures 15-22'!D75</f>
        <v>2635</v>
      </c>
      <c r="D814" s="2" t="str">
        <f t="shared" si="11"/>
        <v>Error?</v>
      </c>
    </row>
    <row r="815" spans="1:4" x14ac:dyDescent="0.2">
      <c r="A815" s="5">
        <v>754</v>
      </c>
      <c r="B815" s="138">
        <f>'Expenditures 15-22'!D114</f>
        <v>1040625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10751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6708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18149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2735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2735</v>
      </c>
      <c r="C843" s="2" t="s">
        <v>594</v>
      </c>
      <c r="D843" s="2" t="str">
        <f t="shared" si="12"/>
        <v>Error?</v>
      </c>
    </row>
    <row r="844" spans="1:4" x14ac:dyDescent="0.2">
      <c r="A844" s="5">
        <v>783</v>
      </c>
      <c r="B844" s="138">
        <f>'Expenditures 15-22'!E44</f>
        <v>18680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18680</v>
      </c>
      <c r="C847" s="2" t="s">
        <v>594</v>
      </c>
      <c r="D847" s="2" t="str">
        <f t="shared" si="12"/>
        <v>Error?</v>
      </c>
    </row>
    <row r="848" spans="1:4" x14ac:dyDescent="0.2">
      <c r="A848" s="5">
        <v>787</v>
      </c>
      <c r="B848" s="138">
        <f>'Expenditures 15-22'!E49</f>
        <v>25122</v>
      </c>
      <c r="D848" s="2" t="str">
        <f t="shared" si="12"/>
        <v>Error?</v>
      </c>
    </row>
    <row r="849" spans="1:4" x14ac:dyDescent="0.2">
      <c r="A849" s="5">
        <v>788</v>
      </c>
      <c r="B849" s="138">
        <f>'Expenditures 15-22'!E50</f>
        <v>2041</v>
      </c>
      <c r="D849" s="2" t="str">
        <f t="shared" si="12"/>
        <v>Error?</v>
      </c>
    </row>
    <row r="850" spans="1:4" x14ac:dyDescent="0.2">
      <c r="A850" s="5">
        <v>789</v>
      </c>
      <c r="B850" s="138">
        <f>'Expenditures 15-22'!E53</f>
        <v>27163</v>
      </c>
      <c r="C850" s="2" t="s">
        <v>594</v>
      </c>
      <c r="D850" s="2" t="str">
        <f t="shared" si="12"/>
        <v>Error?</v>
      </c>
    </row>
    <row r="851" spans="1:4" x14ac:dyDescent="0.2">
      <c r="A851" s="5">
        <v>790</v>
      </c>
      <c r="B851" s="138">
        <f>'Expenditures 15-22'!E55</f>
        <v>1405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1405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6814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2418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9232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59215</v>
      </c>
      <c r="C871" s="2" t="s">
        <v>594</v>
      </c>
      <c r="D871" s="2" t="str">
        <f t="shared" si="12"/>
        <v>Error?</v>
      </c>
    </row>
    <row r="872" spans="1:4" x14ac:dyDescent="0.2">
      <c r="A872" s="5">
        <v>811</v>
      </c>
      <c r="B872" s="138">
        <f>'Expenditures 15-22'!E75</f>
        <v>12458</v>
      </c>
      <c r="D872" s="2" t="str">
        <f t="shared" si="12"/>
        <v>Error?</v>
      </c>
    </row>
    <row r="873" spans="1:4" x14ac:dyDescent="0.2">
      <c r="A873" s="5">
        <v>812</v>
      </c>
      <c r="B873" s="138">
        <f>'Expenditures 15-22'!E114</f>
        <v>124361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78050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9736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93214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1874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1874</v>
      </c>
      <c r="C901" s="2" t="s">
        <v>594</v>
      </c>
      <c r="D901" s="2" t="str">
        <f t="shared" si="13"/>
        <v>Error?</v>
      </c>
    </row>
    <row r="902" spans="1:4" x14ac:dyDescent="0.2">
      <c r="A902" s="5">
        <v>841</v>
      </c>
      <c r="B902" s="138">
        <f>'Expenditures 15-22'!F44</f>
        <v>4479</v>
      </c>
      <c r="D902" s="2" t="str">
        <f t="shared" si="13"/>
        <v>Error?</v>
      </c>
    </row>
    <row r="903" spans="1:4" x14ac:dyDescent="0.2">
      <c r="A903" s="5">
        <v>842</v>
      </c>
      <c r="B903" s="138">
        <f>'Expenditures 15-22'!F45</f>
        <v>3068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7547</v>
      </c>
      <c r="C905" s="2" t="s">
        <v>594</v>
      </c>
      <c r="D905" s="2" t="str">
        <f t="shared" si="13"/>
        <v>Error?</v>
      </c>
    </row>
    <row r="906" spans="1:4" x14ac:dyDescent="0.2">
      <c r="A906" s="5">
        <v>845</v>
      </c>
      <c r="B906" s="138">
        <f>'Expenditures 15-22'!F49</f>
        <v>3020</v>
      </c>
      <c r="D906" s="2" t="str">
        <f t="shared" si="13"/>
        <v>Error?</v>
      </c>
    </row>
    <row r="907" spans="1:4" x14ac:dyDescent="0.2">
      <c r="A907" s="5">
        <v>846</v>
      </c>
      <c r="B907" s="138">
        <f>'Expenditures 15-22'!F50</f>
        <v>1401</v>
      </c>
      <c r="D907" s="2" t="str">
        <f t="shared" si="13"/>
        <v>Error?</v>
      </c>
    </row>
    <row r="908" spans="1:4" x14ac:dyDescent="0.2">
      <c r="A908" s="5">
        <v>847</v>
      </c>
      <c r="B908" s="138">
        <f>'Expenditures 15-22'!F53</f>
        <v>4421</v>
      </c>
      <c r="C908" s="2" t="s">
        <v>594</v>
      </c>
      <c r="D908" s="2" t="str">
        <f t="shared" si="13"/>
        <v>Error?</v>
      </c>
    </row>
    <row r="909" spans="1:4" x14ac:dyDescent="0.2">
      <c r="A909" s="5">
        <v>848</v>
      </c>
      <c r="B909" s="138">
        <f>'Expenditures 15-22'!F55</f>
        <v>244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1462</v>
      </c>
      <c r="D913" s="2" t="str">
        <f t="shared" si="13"/>
        <v>Error?</v>
      </c>
    </row>
    <row r="914" spans="1:4" x14ac:dyDescent="0.2">
      <c r="A914" s="5">
        <v>853</v>
      </c>
      <c r="B914" s="138">
        <f>'Expenditures 15-22'!F61</f>
        <v>1215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174541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177218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176</v>
      </c>
      <c r="D928" s="2" t="str">
        <f t="shared" si="13"/>
        <v>Error?</v>
      </c>
    </row>
    <row r="929" spans="1:4" x14ac:dyDescent="0.2">
      <c r="A929" s="5">
        <v>868</v>
      </c>
      <c r="B929" s="138">
        <f>'Expenditures 15-22'!F74</f>
        <v>191480</v>
      </c>
      <c r="C929" s="2" t="s">
        <v>594</v>
      </c>
      <c r="D929" s="2" t="str">
        <f t="shared" si="13"/>
        <v>Error?</v>
      </c>
    </row>
    <row r="930" spans="1:4" x14ac:dyDescent="0.2">
      <c r="A930" s="5">
        <v>869</v>
      </c>
      <c r="B930" s="138">
        <f>'Expenditures 15-22'!F75</f>
        <v>6925</v>
      </c>
      <c r="D930" s="2" t="str">
        <f t="shared" si="13"/>
        <v>Error?</v>
      </c>
    </row>
    <row r="931" spans="1:4" x14ac:dyDescent="0.2">
      <c r="A931" s="5">
        <v>870</v>
      </c>
      <c r="B931" s="138">
        <f>'Expenditures 15-22'!F114</f>
        <v>291619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5286</v>
      </c>
      <c r="D964" s="2" t="str">
        <f t="shared" si="14"/>
        <v>Error?</v>
      </c>
    </row>
    <row r="965" spans="1:4" x14ac:dyDescent="0.2">
      <c r="A965" s="5">
        <v>904</v>
      </c>
      <c r="B965" s="138">
        <f>'Expenditures 15-22'!G50</f>
        <v>0</v>
      </c>
      <c r="D965" s="2" t="str">
        <f t="shared" si="14"/>
        <v>Error?</v>
      </c>
    </row>
    <row r="966" spans="1:4" x14ac:dyDescent="0.2">
      <c r="A966" s="5">
        <v>905</v>
      </c>
      <c r="B966" s="138">
        <f>'Expenditures 15-22'!G53</f>
        <v>5286</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2157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2157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7443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7443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412204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412204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3021498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65514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4048953</v>
      </c>
      <c r="C1108" s="2" t="s">
        <v>594</v>
      </c>
      <c r="D1108" s="2" t="str">
        <f t="shared" si="16"/>
        <v>Error?</v>
      </c>
    </row>
    <row r="1109" spans="1:4" x14ac:dyDescent="0.2">
      <c r="A1109" s="5">
        <v>1048</v>
      </c>
      <c r="B1109" s="138">
        <f>'Expenditures 15-22'!K36</f>
        <v>130729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28651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63752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223132</v>
      </c>
      <c r="C1115" s="2" t="s">
        <v>594</v>
      </c>
      <c r="D1115" s="2" t="str">
        <f t="shared" si="16"/>
        <v>Error?</v>
      </c>
    </row>
    <row r="1116" spans="1:4" x14ac:dyDescent="0.2">
      <c r="A1116" s="5">
        <v>1055</v>
      </c>
      <c r="B1116" s="138">
        <f>'Expenditures 15-22'!K44</f>
        <v>28471</v>
      </c>
      <c r="C1116" s="2" t="s">
        <v>594</v>
      </c>
      <c r="D1116" s="2" t="str">
        <f t="shared" si="16"/>
        <v>Error?</v>
      </c>
    </row>
    <row r="1117" spans="1:4" x14ac:dyDescent="0.2">
      <c r="A1117" s="5">
        <v>1056</v>
      </c>
      <c r="B1117" s="138">
        <f>'Expenditures 15-22'!K45</f>
        <v>3068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31539</v>
      </c>
      <c r="C1119" s="2" t="s">
        <v>594</v>
      </c>
      <c r="D1119" s="2" t="str">
        <f t="shared" si="16"/>
        <v>Error?</v>
      </c>
    </row>
    <row r="1120" spans="1:4" x14ac:dyDescent="0.2">
      <c r="A1120" s="5">
        <v>1059</v>
      </c>
      <c r="B1120" s="138">
        <f>'Expenditures 15-22'!K49</f>
        <v>34800</v>
      </c>
      <c r="C1120" s="2" t="s">
        <v>594</v>
      </c>
      <c r="D1120" s="2" t="str">
        <f t="shared" si="16"/>
        <v>Error?</v>
      </c>
    </row>
    <row r="1121" spans="1:4" x14ac:dyDescent="0.2">
      <c r="A1121" s="5">
        <v>1060</v>
      </c>
      <c r="B1121" s="138">
        <f>'Expenditures 15-22'!K50</f>
        <v>142228</v>
      </c>
      <c r="C1121" s="2" t="s">
        <v>594</v>
      </c>
      <c r="D1121" s="2" t="str">
        <f t="shared" si="16"/>
        <v>Error?</v>
      </c>
    </row>
    <row r="1122" spans="1:4" x14ac:dyDescent="0.2">
      <c r="A1122" s="5">
        <v>1061</v>
      </c>
      <c r="B1122" s="138">
        <f>'Expenditures 15-22'!K53</f>
        <v>177028</v>
      </c>
      <c r="C1122" s="2" t="s">
        <v>594</v>
      </c>
      <c r="D1122" s="2" t="str">
        <f t="shared" si="16"/>
        <v>Error?</v>
      </c>
    </row>
    <row r="1123" spans="1:4" x14ac:dyDescent="0.2">
      <c r="A1123" s="5">
        <v>1062</v>
      </c>
      <c r="B1123" s="138">
        <f>'Expenditures 15-22'!K55</f>
        <v>381778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381778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99805</v>
      </c>
      <c r="C1127" s="2" t="s">
        <v>594</v>
      </c>
      <c r="D1127" s="2" t="str">
        <f t="shared" si="16"/>
        <v>Error?</v>
      </c>
    </row>
    <row r="1128" spans="1:4" x14ac:dyDescent="0.2">
      <c r="A1128" s="5">
        <v>1067</v>
      </c>
      <c r="B1128" s="138">
        <f>'Expenditures 15-22'!K61</f>
        <v>1215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296311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397331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176</v>
      </c>
      <c r="C1142" s="2" t="s">
        <v>594</v>
      </c>
      <c r="D1142" s="2" t="str">
        <f t="shared" si="16"/>
        <v>Error?</v>
      </c>
    </row>
    <row r="1143" spans="1:4" x14ac:dyDescent="0.2">
      <c r="A1143" s="5">
        <v>1082</v>
      </c>
      <c r="B1143" s="138">
        <f>'Expenditures 15-22'!K74</f>
        <v>1210984</v>
      </c>
      <c r="C1143" s="2" t="s">
        <v>594</v>
      </c>
      <c r="D1143" s="2" t="str">
        <f t="shared" si="16"/>
        <v>Error?</v>
      </c>
    </row>
    <row r="1144" spans="1:4" x14ac:dyDescent="0.2">
      <c r="A1144" s="5">
        <v>1083</v>
      </c>
      <c r="B1144" s="138">
        <f>'Expenditures 15-22'!K75</f>
        <v>91504</v>
      </c>
      <c r="C1144" s="2" t="s">
        <v>594</v>
      </c>
      <c r="D1144" s="2" t="str">
        <f t="shared" si="16"/>
        <v>Error?</v>
      </c>
    </row>
    <row r="1145" spans="1:4" x14ac:dyDescent="0.2">
      <c r="A1145" s="5">
        <v>1084</v>
      </c>
      <c r="B1145" s="138">
        <f>'Expenditures 15-22'!K102</f>
        <v>446743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5798184</v>
      </c>
      <c r="C1152" s="2" t="s">
        <v>594</v>
      </c>
      <c r="D1152" s="2" t="str">
        <f t="shared" si="17"/>
        <v>Error?</v>
      </c>
    </row>
    <row r="1153" spans="1:4" x14ac:dyDescent="0.2">
      <c r="A1153" s="5">
        <v>1092</v>
      </c>
      <c r="B1153" s="138">
        <f>'Expenditures 15-22'!K115</f>
        <v>763652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301202</v>
      </c>
      <c r="D1221" s="2" t="str">
        <f t="shared" si="18"/>
        <v>Error?</v>
      </c>
    </row>
    <row r="1222" spans="1:4" x14ac:dyDescent="0.2">
      <c r="A1222" s="10">
        <v>1161</v>
      </c>
      <c r="D1222" s="2" t="str">
        <f t="shared" si="18"/>
        <v>OK</v>
      </c>
    </row>
    <row r="1223" spans="1:4" x14ac:dyDescent="0.2">
      <c r="A1223" s="5">
        <v>1162</v>
      </c>
      <c r="B1223" s="138">
        <f>'Expenditures 15-22'!C127</f>
        <v>301202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301202</v>
      </c>
      <c r="C1225" s="2" t="s">
        <v>594</v>
      </c>
      <c r="D1225" s="2" t="str">
        <f t="shared" si="18"/>
        <v>Error?</v>
      </c>
    </row>
    <row r="1226" spans="1:4" x14ac:dyDescent="0.2">
      <c r="A1226" s="5">
        <v>1165</v>
      </c>
      <c r="B1226" s="138">
        <f>'Expenditures 15-22'!C151</f>
        <v>301202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68279</v>
      </c>
      <c r="D1229" s="2" t="str">
        <f t="shared" si="18"/>
        <v>Error?</v>
      </c>
    </row>
    <row r="1230" spans="1:4" x14ac:dyDescent="0.2">
      <c r="A1230" s="10">
        <v>1169</v>
      </c>
      <c r="D1230" s="2" t="str">
        <f t="shared" si="18"/>
        <v>OK</v>
      </c>
    </row>
    <row r="1231" spans="1:4" x14ac:dyDescent="0.2">
      <c r="A1231" s="5">
        <v>1170</v>
      </c>
      <c r="B1231" s="138">
        <f>'Expenditures 15-22'!D127</f>
        <v>68279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68279</v>
      </c>
      <c r="C1233" s="2" t="s">
        <v>594</v>
      </c>
      <c r="D1233" s="2" t="str">
        <f t="shared" si="18"/>
        <v>Error?</v>
      </c>
    </row>
    <row r="1234" spans="1:4" x14ac:dyDescent="0.2">
      <c r="A1234" s="5">
        <v>1173</v>
      </c>
      <c r="B1234" s="138">
        <f>'Expenditures 15-22'!D151</f>
        <v>68279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87192</v>
      </c>
      <c r="D1237" s="2" t="str">
        <f t="shared" si="18"/>
        <v>Error?</v>
      </c>
    </row>
    <row r="1238" spans="1:4" x14ac:dyDescent="0.2">
      <c r="A1238" s="10">
        <v>1177</v>
      </c>
      <c r="D1238" s="2" t="str">
        <f t="shared" si="18"/>
        <v>OK</v>
      </c>
    </row>
    <row r="1239" spans="1:4" x14ac:dyDescent="0.2">
      <c r="A1239" s="5">
        <v>1178</v>
      </c>
      <c r="B1239" s="138">
        <f>'Expenditures 15-22'!E127</f>
        <v>87192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87192</v>
      </c>
      <c r="C1241" s="2" t="s">
        <v>594</v>
      </c>
      <c r="D1241" s="2" t="str">
        <f t="shared" si="18"/>
        <v>Error?</v>
      </c>
    </row>
    <row r="1242" spans="1:4" x14ac:dyDescent="0.2">
      <c r="A1242" s="5">
        <v>1181</v>
      </c>
      <c r="B1242" s="138">
        <f>'Expenditures 15-22'!E151</f>
        <v>87192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129713</v>
      </c>
      <c r="D1245" s="2" t="str">
        <f t="shared" si="18"/>
        <v>Error?</v>
      </c>
    </row>
    <row r="1246" spans="1:4" x14ac:dyDescent="0.2">
      <c r="A1246" s="10">
        <v>1185</v>
      </c>
      <c r="D1246" s="2" t="str">
        <f t="shared" si="18"/>
        <v>OK</v>
      </c>
    </row>
    <row r="1247" spans="1:4" x14ac:dyDescent="0.2">
      <c r="A1247" s="5">
        <v>1186</v>
      </c>
      <c r="B1247" s="138">
        <f>'Expenditures 15-22'!F127</f>
        <v>129713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129713</v>
      </c>
      <c r="C1249" s="2" t="s">
        <v>594</v>
      </c>
      <c r="D1249" s="2" t="str">
        <f t="shared" si="18"/>
        <v>Error?</v>
      </c>
    </row>
    <row r="1250" spans="1:4" x14ac:dyDescent="0.2">
      <c r="A1250" s="5">
        <v>1189</v>
      </c>
      <c r="B1250" s="138">
        <f>'Expenditures 15-22'!F151</f>
        <v>129713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43540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43540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43540</v>
      </c>
      <c r="C1258" s="2" t="s">
        <v>594</v>
      </c>
      <c r="D1258" s="2" t="str">
        <f t="shared" si="18"/>
        <v>Error?</v>
      </c>
    </row>
    <row r="1259" spans="1:4" x14ac:dyDescent="0.2">
      <c r="A1259" s="5">
        <v>1198</v>
      </c>
      <c r="B1259" s="138">
        <f>'Expenditures 15-22'!G151</f>
        <v>43540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629926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629926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629926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629926</v>
      </c>
      <c r="C1288" s="2" t="s">
        <v>594</v>
      </c>
      <c r="D1288" s="2" t="str">
        <f t="shared" si="19"/>
        <v>Error?</v>
      </c>
    </row>
    <row r="1289" spans="1:4" x14ac:dyDescent="0.2">
      <c r="A1289" s="5">
        <v>1228</v>
      </c>
      <c r="B1289" s="138">
        <f>'Expenditures 15-22'!K152</f>
        <v>147656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50630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725500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776130</v>
      </c>
      <c r="C1317" s="2" t="s">
        <v>594</v>
      </c>
      <c r="D1317" s="2" t="str">
        <f t="shared" si="19"/>
        <v>Error?</v>
      </c>
    </row>
    <row r="1318" spans="1:4" x14ac:dyDescent="0.2">
      <c r="A1318" s="5">
        <v>1257</v>
      </c>
      <c r="B1318" s="138">
        <f>'Expenditures 15-22'!H174</f>
        <v>776130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50630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725500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776130</v>
      </c>
      <c r="C1331" s="2" t="s">
        <v>594</v>
      </c>
      <c r="D1331" s="2" t="str">
        <f t="shared" si="19"/>
        <v>Error?</v>
      </c>
    </row>
    <row r="1332" spans="1:4" x14ac:dyDescent="0.2">
      <c r="A1332" s="5">
        <v>1271</v>
      </c>
      <c r="B1332" s="138">
        <f>'Expenditures 15-22'!K174</f>
        <v>776130</v>
      </c>
      <c r="C1332" s="2" t="s">
        <v>594</v>
      </c>
      <c r="D1332" s="2" t="str">
        <f t="shared" si="19"/>
        <v>Error?</v>
      </c>
    </row>
    <row r="1333" spans="1:4" x14ac:dyDescent="0.2">
      <c r="A1333" s="5">
        <v>1272</v>
      </c>
      <c r="B1333" s="138">
        <f>'Expenditures 15-22'!K175</f>
        <v>109921</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7052</v>
      </c>
      <c r="C1339" s="2" t="s">
        <v>594</v>
      </c>
      <c r="D1339" s="2" t="str">
        <f t="shared" si="19"/>
        <v>Error?</v>
      </c>
    </row>
    <row r="1340" spans="1:4" x14ac:dyDescent="0.2">
      <c r="A1340" s="5">
        <v>1279</v>
      </c>
      <c r="B1340" s="138">
        <f>'Expenditures 15-22'!C210</f>
        <v>7052</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3426</v>
      </c>
      <c r="C1345" s="2" t="s">
        <v>594</v>
      </c>
      <c r="D1345" s="2" t="str">
        <f t="shared" si="20"/>
        <v>Error?</v>
      </c>
    </row>
    <row r="1346" spans="1:4" x14ac:dyDescent="0.2">
      <c r="A1346" s="5">
        <v>1285</v>
      </c>
      <c r="B1346" s="138">
        <f>'Expenditures 15-22'!D210</f>
        <v>3426</v>
      </c>
      <c r="C1346" s="2" t="s">
        <v>594</v>
      </c>
      <c r="D1346" s="2" t="str">
        <f t="shared" si="20"/>
        <v>Error?</v>
      </c>
    </row>
    <row r="1347" spans="1:4" x14ac:dyDescent="0.2">
      <c r="A1347" s="5">
        <v>1286</v>
      </c>
      <c r="B1347" s="138">
        <f>'Expenditures 15-22'!E182</f>
        <v>400596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400596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400596</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400596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411074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411074</v>
      </c>
      <c r="C1388" s="2" t="s">
        <v>594</v>
      </c>
      <c r="D1388" s="2" t="str">
        <f t="shared" si="20"/>
        <v>Error?</v>
      </c>
    </row>
    <row r="1389" spans="1:4" x14ac:dyDescent="0.2">
      <c r="A1389" s="5">
        <v>1328</v>
      </c>
      <c r="B1389" s="138">
        <f>'Expenditures 15-22'!K211</f>
        <v>147869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1283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121248</v>
      </c>
      <c r="C1410" s="2" t="s">
        <v>594</v>
      </c>
      <c r="D1410" s="2" t="str">
        <f t="shared" si="21"/>
        <v>Error?</v>
      </c>
    </row>
    <row r="1411" spans="1:4" x14ac:dyDescent="0.2">
      <c r="A1411" s="5">
        <v>1350</v>
      </c>
      <c r="B1411" s="138">
        <f>'Expenditures 15-22'!D232</f>
        <v>1348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7226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636</v>
      </c>
      <c r="D1415" s="2" t="str">
        <f t="shared" si="21"/>
        <v>Error?</v>
      </c>
    </row>
    <row r="1416" spans="1:4" x14ac:dyDescent="0.2">
      <c r="A1416" s="5">
        <v>1355</v>
      </c>
      <c r="B1416" s="138">
        <f>'Expenditures 15-22'!D237</f>
        <v>6387</v>
      </c>
      <c r="D1416" s="2" t="str">
        <f t="shared" si="21"/>
        <v>Error?</v>
      </c>
    </row>
    <row r="1417" spans="1:4" x14ac:dyDescent="0.2">
      <c r="A1417" s="5">
        <v>1356</v>
      </c>
      <c r="B1417" s="138">
        <f>'Expenditures 15-22'!D238</f>
        <v>15597</v>
      </c>
      <c r="C1417" s="2" t="s">
        <v>594</v>
      </c>
      <c r="D1417" s="2" t="str">
        <f t="shared" si="21"/>
        <v>Error?</v>
      </c>
    </row>
    <row r="1418" spans="1:4" x14ac:dyDescent="0.2">
      <c r="A1418" s="5">
        <v>1357</v>
      </c>
      <c r="B1418" s="138">
        <f>'Expenditures 15-22'!D240</f>
        <v>51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1984</v>
      </c>
      <c r="D1423" s="2" t="str">
        <f t="shared" si="21"/>
        <v>Error?</v>
      </c>
    </row>
    <row r="1424" spans="1:4" x14ac:dyDescent="0.2">
      <c r="A1424" s="5">
        <v>1363</v>
      </c>
      <c r="B1424" s="138">
        <f>'Expenditures 15-22'!D257</f>
        <v>1984</v>
      </c>
      <c r="C1424" s="2" t="s">
        <v>594</v>
      </c>
      <c r="D1424" s="2" t="str">
        <f t="shared" si="21"/>
        <v>Error?</v>
      </c>
    </row>
    <row r="1425" spans="1:4" x14ac:dyDescent="0.2">
      <c r="A1425" s="5">
        <v>1364</v>
      </c>
      <c r="B1425" s="138">
        <f>'Expenditures 15-22'!D259</f>
        <v>4165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4165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14437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58047</v>
      </c>
      <c r="D1431" s="2" t="str">
        <f t="shared" si="21"/>
        <v>Error?</v>
      </c>
    </row>
    <row r="1432" spans="1:4" x14ac:dyDescent="0.2">
      <c r="A1432" s="5">
        <v>1371</v>
      </c>
      <c r="B1432" s="138">
        <f>'Expenditures 15-22'!D267</f>
        <v>26568</v>
      </c>
      <c r="D1432" s="2" t="str">
        <f t="shared" si="21"/>
        <v>Error?</v>
      </c>
    </row>
    <row r="1433" spans="1:4" x14ac:dyDescent="0.2">
      <c r="A1433" s="5">
        <v>1372</v>
      </c>
      <c r="B1433" s="138">
        <f>'Expenditures 15-22'!D268</f>
        <v>12004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111056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132853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254735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1283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121248</v>
      </c>
      <c r="C1474" s="2" t="s">
        <v>594</v>
      </c>
      <c r="D1474" s="2" t="str">
        <f t="shared" si="22"/>
        <v>Error?</v>
      </c>
    </row>
    <row r="1475" spans="1:4" x14ac:dyDescent="0.2">
      <c r="A1475" s="5">
        <v>1414</v>
      </c>
      <c r="B1475" s="138">
        <f>'Expenditures 15-22'!K232</f>
        <v>1348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7226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636</v>
      </c>
      <c r="C1479" s="2" t="s">
        <v>594</v>
      </c>
      <c r="D1479" s="2" t="str">
        <f t="shared" si="22"/>
        <v>Error?</v>
      </c>
    </row>
    <row r="1480" spans="1:4" x14ac:dyDescent="0.2">
      <c r="A1480" s="5">
        <v>1419</v>
      </c>
      <c r="B1480" s="138">
        <f>'Expenditures 15-22'!K237</f>
        <v>6387</v>
      </c>
      <c r="C1480" s="2" t="s">
        <v>594</v>
      </c>
      <c r="D1480" s="2" t="str">
        <f t="shared" si="22"/>
        <v>Error?</v>
      </c>
    </row>
    <row r="1481" spans="1:4" x14ac:dyDescent="0.2">
      <c r="A1481" s="5">
        <v>1420</v>
      </c>
      <c r="B1481" s="138">
        <f>'Expenditures 15-22'!K238</f>
        <v>15597</v>
      </c>
      <c r="C1481" s="2" t="s">
        <v>594</v>
      </c>
      <c r="D1481" s="2" t="str">
        <f t="shared" si="22"/>
        <v>Error?</v>
      </c>
    </row>
    <row r="1482" spans="1:4" x14ac:dyDescent="0.2">
      <c r="A1482" s="5">
        <v>1421</v>
      </c>
      <c r="B1482" s="138">
        <f>'Expenditures 15-22'!K240</f>
        <v>51</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1984</v>
      </c>
      <c r="C1487" s="2" t="s">
        <v>594</v>
      </c>
      <c r="D1487" s="2" t="str">
        <f t="shared" si="22"/>
        <v>Error?</v>
      </c>
    </row>
    <row r="1488" spans="1:4" x14ac:dyDescent="0.2">
      <c r="A1488" s="5">
        <v>1427</v>
      </c>
      <c r="B1488" s="138">
        <f>'Expenditures 15-22'!K257</f>
        <v>1984</v>
      </c>
      <c r="C1488" s="2" t="s">
        <v>594</v>
      </c>
      <c r="D1488" s="2" t="str">
        <f t="shared" si="22"/>
        <v>Error?</v>
      </c>
    </row>
    <row r="1489" spans="1:4" x14ac:dyDescent="0.2">
      <c r="A1489" s="5">
        <v>1428</v>
      </c>
      <c r="B1489" s="138">
        <f>'Expenditures 15-22'!K259</f>
        <v>4165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4165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14437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58047</v>
      </c>
      <c r="C1495" s="2" t="s">
        <v>594</v>
      </c>
      <c r="D1495" s="2" t="str">
        <f t="shared" si="22"/>
        <v>Error?</v>
      </c>
    </row>
    <row r="1496" spans="1:4" x14ac:dyDescent="0.2">
      <c r="A1496" s="5">
        <v>1435</v>
      </c>
      <c r="B1496" s="138">
        <f>'Expenditures 15-22'!K267</f>
        <v>26568</v>
      </c>
      <c r="C1496" s="2" t="s">
        <v>594</v>
      </c>
      <c r="D1496" s="2" t="str">
        <f t="shared" si="22"/>
        <v>Error?</v>
      </c>
    </row>
    <row r="1497" spans="1:4" x14ac:dyDescent="0.2">
      <c r="A1497" s="5">
        <v>1436</v>
      </c>
      <c r="B1497" s="138">
        <f>'Expenditures 15-22'!K268</f>
        <v>12004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111056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132853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254735</v>
      </c>
      <c r="C1517" s="2" t="s">
        <v>594</v>
      </c>
      <c r="D1517" s="2" t="str">
        <f t="shared" si="22"/>
        <v>Error?</v>
      </c>
    </row>
    <row r="1518" spans="1:4" x14ac:dyDescent="0.2">
      <c r="A1518" s="5">
        <v>1457</v>
      </c>
      <c r="B1518" s="138">
        <f>'Expenditures 15-22'!K296</f>
        <v>192243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21380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21380</v>
      </c>
      <c r="C1529" s="2" t="s">
        <v>594</v>
      </c>
      <c r="D1529" s="2" t="str">
        <f t="shared" si="22"/>
        <v>Error?</v>
      </c>
    </row>
    <row r="1530" spans="1:4" x14ac:dyDescent="0.2">
      <c r="A1530" s="5">
        <v>1469</v>
      </c>
      <c r="B1530" s="138">
        <f>'Expenditures 15-22'!D312</f>
        <v>21380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24362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24362</v>
      </c>
      <c r="C1547" s="2" t="s">
        <v>594</v>
      </c>
      <c r="D1547" s="2" t="str">
        <f t="shared" si="23"/>
        <v>Error?</v>
      </c>
    </row>
    <row r="1548" spans="1:4" x14ac:dyDescent="0.2">
      <c r="A1548" s="5">
        <v>1487</v>
      </c>
      <c r="B1548" s="138">
        <f>'Expenditures 15-22'!G312</f>
        <v>24362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45742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45742</v>
      </c>
      <c r="C1559" s="2" t="s">
        <v>594</v>
      </c>
      <c r="D1559" s="2" t="str">
        <f t="shared" si="23"/>
        <v>Error?</v>
      </c>
    </row>
    <row r="1560" spans="1:4" x14ac:dyDescent="0.2">
      <c r="A1560" s="5">
        <v>1499</v>
      </c>
      <c r="B1560" s="138">
        <f>'Expenditures 15-22'!K312</f>
        <v>45742</v>
      </c>
      <c r="C1560" s="2" t="s">
        <v>594</v>
      </c>
      <c r="D1560" s="2" t="str">
        <f t="shared" si="23"/>
        <v>Error?</v>
      </c>
    </row>
    <row r="1561" spans="1:4" x14ac:dyDescent="0.2">
      <c r="A1561" s="5">
        <v>1500</v>
      </c>
      <c r="B1561" s="138">
        <f>'Expenditures 15-22'!K313</f>
        <v>-45566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526569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1271577</v>
      </c>
      <c r="C1630" s="2" t="s">
        <v>594</v>
      </c>
      <c r="D1630" s="2" t="str">
        <f t="shared" si="24"/>
        <v>Error?</v>
      </c>
    </row>
    <row r="1631" spans="1:4" x14ac:dyDescent="0.2">
      <c r="A1631" s="5">
        <v>1570</v>
      </c>
      <c r="B1631" s="138">
        <f>'Acct Summary 7-8'!D79</f>
        <v>1062016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1214672</v>
      </c>
      <c r="C1644" s="2" t="s">
        <v>594</v>
      </c>
      <c r="D1644" s="2" t="str">
        <f t="shared" si="24"/>
        <v>Error?</v>
      </c>
    </row>
    <row r="1645" spans="1:4" x14ac:dyDescent="0.2">
      <c r="A1645" s="5">
        <v>1584</v>
      </c>
      <c r="B1645" s="138">
        <f>'Acct Summary 7-8'!E79</f>
        <v>131634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260199</v>
      </c>
      <c r="C1658" s="2" t="s">
        <v>594</v>
      </c>
      <c r="D1658" s="2" t="str">
        <f t="shared" si="24"/>
        <v>Error?</v>
      </c>
    </row>
    <row r="1659" spans="1:4" x14ac:dyDescent="0.2">
      <c r="A1659" s="5">
        <v>1598</v>
      </c>
      <c r="B1659" s="138">
        <f>'Acct Summary 7-8'!F79</f>
        <v>373763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521632</v>
      </c>
      <c r="C1672" s="2" t="s">
        <v>594</v>
      </c>
      <c r="D1672" s="2" t="str">
        <f t="shared" si="25"/>
        <v>Error?</v>
      </c>
    </row>
    <row r="1673" spans="1:4" x14ac:dyDescent="0.2">
      <c r="A1673" s="5">
        <v>1612</v>
      </c>
      <c r="B1673" s="138">
        <f>'Acct Summary 7-8'!G79</f>
        <v>347490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539733</v>
      </c>
      <c r="C1686" s="2" t="s">
        <v>594</v>
      </c>
      <c r="D1686" s="2" t="str">
        <f t="shared" si="25"/>
        <v>Error?</v>
      </c>
    </row>
    <row r="1687" spans="1:4" x14ac:dyDescent="0.2">
      <c r="A1687" s="5">
        <v>1626</v>
      </c>
      <c r="B1687" s="138">
        <f>'Acct Summary 7-8'!H79</f>
        <v>140362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94796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4359660</v>
      </c>
      <c r="C1744" s="2" t="s">
        <v>594</v>
      </c>
      <c r="D1744" s="2" t="str">
        <f t="shared" si="26"/>
        <v>Error?</v>
      </c>
    </row>
    <row r="1745" spans="1:5" x14ac:dyDescent="0.2">
      <c r="A1745" s="5">
        <v>1684</v>
      </c>
      <c r="B1745" s="138">
        <f>'Tax Sched 23'!B5</f>
        <v>694212</v>
      </c>
      <c r="C1745" s="2" t="s">
        <v>594</v>
      </c>
      <c r="D1745" s="2" t="str">
        <f t="shared" si="26"/>
        <v>Error?</v>
      </c>
    </row>
    <row r="1746" spans="1:5" x14ac:dyDescent="0.2">
      <c r="A1746" s="5">
        <v>1685</v>
      </c>
      <c r="B1746" s="138">
        <f>'Tax Sched 23'!B6</f>
        <v>885567</v>
      </c>
      <c r="C1746" s="2" t="s">
        <v>594</v>
      </c>
      <c r="D1746" s="2" t="str">
        <f t="shared" si="26"/>
        <v>Error?</v>
      </c>
    </row>
    <row r="1747" spans="1:5" x14ac:dyDescent="0.2">
      <c r="A1747" s="5">
        <v>1686</v>
      </c>
      <c r="B1747" s="138">
        <f>'Tax Sched 23'!B7</f>
        <v>333224</v>
      </c>
      <c r="C1747" s="2" t="s">
        <v>594</v>
      </c>
      <c r="D1747" s="2" t="str">
        <f t="shared" si="26"/>
        <v>Error?</v>
      </c>
    </row>
    <row r="1748" spans="1:5" x14ac:dyDescent="0.2">
      <c r="A1748" s="5">
        <v>1687</v>
      </c>
      <c r="B1748" s="138">
        <f>'Tax Sched 23'!B8</f>
        <v>222621</v>
      </c>
      <c r="C1748" s="2" t="s">
        <v>594</v>
      </c>
      <c r="D1748" s="2" t="str">
        <f t="shared" si="26"/>
        <v>Error?</v>
      </c>
    </row>
    <row r="1749" spans="1:5" x14ac:dyDescent="0.2">
      <c r="A1749" s="5">
        <v>1688</v>
      </c>
      <c r="B1749" s="138">
        <f>'Tax Sched 23'!B10</f>
        <v>138843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821287</v>
      </c>
      <c r="C1752" s="2" t="s">
        <v>594</v>
      </c>
      <c r="D1752" s="2" t="str">
        <f t="shared" si="26"/>
        <v>Error?</v>
      </c>
    </row>
    <row r="1753" spans="1:5" x14ac:dyDescent="0.2">
      <c r="A1753" s="5">
        <v>1692</v>
      </c>
      <c r="B1753" s="138">
        <f>'Tax Sched 23'!B12</f>
        <v>138843</v>
      </c>
      <c r="C1753" s="2" t="s">
        <v>594</v>
      </c>
      <c r="D1753" s="2" t="str">
        <f t="shared" si="26"/>
        <v>Error?</v>
      </c>
    </row>
    <row r="1754" spans="1:5" x14ac:dyDescent="0.2">
      <c r="A1754" s="5">
        <v>1693</v>
      </c>
      <c r="B1754" s="138">
        <f>'Tax Sched 23'!B14</f>
        <v>55537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7973390</v>
      </c>
      <c r="C1759" s="2" t="s">
        <v>594</v>
      </c>
      <c r="D1759" s="2" t="str">
        <f t="shared" si="26"/>
        <v>Error?</v>
      </c>
    </row>
    <row r="1760" spans="1:5" x14ac:dyDescent="0.2">
      <c r="A1760" s="5">
        <v>1699</v>
      </c>
      <c r="B1760" s="138">
        <f>'Tax Sched 23'!D4</f>
        <v>3305998</v>
      </c>
      <c r="C1760" s="2" t="s">
        <v>594</v>
      </c>
      <c r="D1760" s="2" t="str">
        <f t="shared" si="26"/>
        <v>Error?</v>
      </c>
    </row>
    <row r="1761" spans="1:5" x14ac:dyDescent="0.2">
      <c r="A1761" s="5">
        <v>1700</v>
      </c>
      <c r="B1761" s="138">
        <f>'Tax Sched 23'!D5</f>
        <v>526432</v>
      </c>
      <c r="C1761" s="2" t="s">
        <v>594</v>
      </c>
      <c r="D1761" s="2" t="str">
        <f t="shared" si="26"/>
        <v>Error?</v>
      </c>
    </row>
    <row r="1762" spans="1:5" s="8" customFormat="1" x14ac:dyDescent="0.2">
      <c r="A1762" s="5">
        <v>1701</v>
      </c>
      <c r="B1762" s="138">
        <f>'Tax Sched 23'!D6</f>
        <v>679734</v>
      </c>
      <c r="C1762" s="2" t="s">
        <v>594</v>
      </c>
      <c r="D1762" s="2" t="str">
        <f t="shared" si="26"/>
        <v>Error?</v>
      </c>
      <c r="E1762" s="9"/>
    </row>
    <row r="1763" spans="1:5" x14ac:dyDescent="0.2">
      <c r="A1763" s="5">
        <v>1702</v>
      </c>
      <c r="B1763" s="138">
        <f>'Tax Sched 23'!D7</f>
        <v>252689</v>
      </c>
      <c r="C1763" s="2" t="s">
        <v>594</v>
      </c>
      <c r="D1763" s="2" t="str">
        <f t="shared" si="26"/>
        <v>Error?</v>
      </c>
    </row>
    <row r="1764" spans="1:5" x14ac:dyDescent="0.2">
      <c r="A1764" s="5">
        <v>1703</v>
      </c>
      <c r="B1764" s="138">
        <f>'Tax Sched 23'!D8</f>
        <v>168462</v>
      </c>
      <c r="C1764" s="2" t="s">
        <v>594</v>
      </c>
      <c r="D1764" s="2" t="str">
        <f t="shared" si="26"/>
        <v>Error?</v>
      </c>
    </row>
    <row r="1765" spans="1:5" x14ac:dyDescent="0.2">
      <c r="A1765" s="5">
        <v>1704</v>
      </c>
      <c r="B1765" s="138">
        <f>'Tax Sched 23'!D10</f>
        <v>105288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624985</v>
      </c>
      <c r="C1768" s="2" t="s">
        <v>594</v>
      </c>
      <c r="D1768" s="2" t="str">
        <f t="shared" si="26"/>
        <v>Error?</v>
      </c>
    </row>
    <row r="1769" spans="1:5" x14ac:dyDescent="0.2">
      <c r="A1769" s="5">
        <v>1708</v>
      </c>
      <c r="B1769" s="138">
        <f>'Tax Sched 23'!D12</f>
        <v>105288</v>
      </c>
      <c r="C1769" s="2" t="s">
        <v>594</v>
      </c>
      <c r="D1769" s="2" t="str">
        <f t="shared" si="26"/>
        <v>Error?</v>
      </c>
    </row>
    <row r="1770" spans="1:5" x14ac:dyDescent="0.2">
      <c r="A1770" s="5">
        <v>1709</v>
      </c>
      <c r="B1770" s="138">
        <f>'Tax Sched 23'!D14</f>
        <v>42114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6056937</v>
      </c>
      <c r="C1775" s="2" t="s">
        <v>594</v>
      </c>
      <c r="D1775" s="2" t="str">
        <f t="shared" si="26"/>
        <v>Error?</v>
      </c>
    </row>
    <row r="1776" spans="1:5" x14ac:dyDescent="0.2">
      <c r="A1776" s="5">
        <v>1715</v>
      </c>
      <c r="B1776" s="138">
        <f>'Tax Sched 23'!C4</f>
        <v>1053662</v>
      </c>
      <c r="D1776" s="2" t="str">
        <f t="shared" si="26"/>
        <v>Error?</v>
      </c>
    </row>
    <row r="1777" spans="1:4" x14ac:dyDescent="0.2">
      <c r="A1777" s="5">
        <v>1716</v>
      </c>
      <c r="B1777" s="138">
        <f>'Tax Sched 23'!C5</f>
        <v>167780</v>
      </c>
      <c r="D1777" s="2" t="str">
        <f t="shared" si="26"/>
        <v>Error?</v>
      </c>
    </row>
    <row r="1778" spans="1:4" x14ac:dyDescent="0.2">
      <c r="A1778" s="5">
        <v>1717</v>
      </c>
      <c r="B1778" s="138">
        <f>'Tax Sched 23'!C6</f>
        <v>205833</v>
      </c>
      <c r="D1778" s="2" t="str">
        <f t="shared" si="26"/>
        <v>Error?</v>
      </c>
    </row>
    <row r="1779" spans="1:4" x14ac:dyDescent="0.2">
      <c r="A1779" s="5">
        <v>1718</v>
      </c>
      <c r="B1779" s="138">
        <f>'Tax Sched 23'!C7</f>
        <v>80535</v>
      </c>
      <c r="D1779" s="2" t="str">
        <f t="shared" si="26"/>
        <v>Error?</v>
      </c>
    </row>
    <row r="1780" spans="1:4" x14ac:dyDescent="0.2">
      <c r="A1780" s="5">
        <v>1719</v>
      </c>
      <c r="B1780" s="138">
        <f>'Tax Sched 23'!C8</f>
        <v>54159</v>
      </c>
      <c r="D1780" s="2" t="str">
        <f t="shared" si="26"/>
        <v>Error?</v>
      </c>
    </row>
    <row r="1781" spans="1:4" x14ac:dyDescent="0.2">
      <c r="A1781" s="5">
        <v>1720</v>
      </c>
      <c r="B1781" s="138">
        <f>'Tax Sched 23'!C10</f>
        <v>33555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196302</v>
      </c>
      <c r="D1784" s="2" t="str">
        <f t="shared" si="26"/>
        <v>Error?</v>
      </c>
    </row>
    <row r="1785" spans="1:4" x14ac:dyDescent="0.2">
      <c r="A1785" s="5">
        <v>1724</v>
      </c>
      <c r="B1785" s="138">
        <f>'Tax Sched 23'!C12</f>
        <v>33555</v>
      </c>
      <c r="D1785" s="2" t="str">
        <f t="shared" si="26"/>
        <v>Error?</v>
      </c>
    </row>
    <row r="1786" spans="1:4" x14ac:dyDescent="0.2">
      <c r="A1786" s="5">
        <v>1725</v>
      </c>
      <c r="B1786" s="138">
        <f>'Tax Sched 23'!C14</f>
        <v>13423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1916453</v>
      </c>
      <c r="C1791" s="2" t="s">
        <v>594</v>
      </c>
      <c r="D1791" s="2" t="str">
        <f t="shared" ref="D1791:D1854" si="27">IF(ISBLANK(B1791),"OK",IF(A1791-B1791=0,"OK","Error?"))</f>
        <v>Error?</v>
      </c>
    </row>
    <row r="1792" spans="1:4" x14ac:dyDescent="0.2">
      <c r="A1792" s="5">
        <v>1731</v>
      </c>
      <c r="B1792" s="138">
        <f>'Tax Sched 23'!F4</f>
        <v>2821583</v>
      </c>
      <c r="C1792" s="2" t="s">
        <v>594</v>
      </c>
      <c r="D1792" s="2" t="str">
        <f t="shared" si="27"/>
        <v>Error?</v>
      </c>
    </row>
    <row r="1793" spans="1:4" x14ac:dyDescent="0.2">
      <c r="A1793" s="5">
        <v>1732</v>
      </c>
      <c r="B1793" s="138">
        <f>'Tax Sched 23'!F5</f>
        <v>449297</v>
      </c>
      <c r="C1793" s="2" t="s">
        <v>594</v>
      </c>
      <c r="D1793" s="2" t="str">
        <f t="shared" si="27"/>
        <v>Error?</v>
      </c>
    </row>
    <row r="1794" spans="1:4" x14ac:dyDescent="0.2">
      <c r="A1794" s="5">
        <v>1733</v>
      </c>
      <c r="B1794" s="138">
        <f>'Tax Sched 23'!F6</f>
        <v>551197</v>
      </c>
      <c r="C1794" s="2" t="s">
        <v>594</v>
      </c>
      <c r="D1794" s="2" t="str">
        <f t="shared" si="27"/>
        <v>Error?</v>
      </c>
    </row>
    <row r="1795" spans="1:4" x14ac:dyDescent="0.2">
      <c r="A1795" s="5">
        <v>1734</v>
      </c>
      <c r="B1795" s="138">
        <f>'Tax Sched 23'!F7</f>
        <v>215662</v>
      </c>
      <c r="C1795" s="2" t="s">
        <v>594</v>
      </c>
      <c r="D1795" s="2" t="str">
        <f t="shared" si="27"/>
        <v>Error?</v>
      </c>
    </row>
    <row r="1796" spans="1:4" x14ac:dyDescent="0.2">
      <c r="A1796" s="5">
        <v>1735</v>
      </c>
      <c r="B1796" s="138">
        <f>'Tax Sched 23'!F8</f>
        <v>145034</v>
      </c>
      <c r="C1796" s="2" t="s">
        <v>594</v>
      </c>
      <c r="D1796" s="2" t="str">
        <f t="shared" si="27"/>
        <v>Error?</v>
      </c>
    </row>
    <row r="1797" spans="1:4" x14ac:dyDescent="0.2">
      <c r="A1797" s="5">
        <v>1736</v>
      </c>
      <c r="B1797" s="138">
        <f>'Tax Sched 23'!F10</f>
        <v>89860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525678</v>
      </c>
      <c r="C1800" s="2" t="s">
        <v>594</v>
      </c>
      <c r="D1800" s="2" t="str">
        <f t="shared" si="27"/>
        <v>Error?</v>
      </c>
    </row>
    <row r="1801" spans="1:4" x14ac:dyDescent="0.2">
      <c r="A1801" s="5">
        <v>1740</v>
      </c>
      <c r="B1801" s="138">
        <f>'Tax Sched 23'!F12</f>
        <v>89860</v>
      </c>
      <c r="C1801" s="2" t="s">
        <v>594</v>
      </c>
      <c r="D1801" s="2" t="str">
        <f t="shared" si="27"/>
        <v>Error?</v>
      </c>
    </row>
    <row r="1802" spans="1:4" x14ac:dyDescent="0.2">
      <c r="A1802" s="5">
        <v>1741</v>
      </c>
      <c r="B1802" s="138">
        <f>'Tax Sched 23'!F14</f>
        <v>35943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5132048</v>
      </c>
      <c r="C1807" s="2" t="s">
        <v>594</v>
      </c>
      <c r="D1807" s="2" t="str">
        <f t="shared" si="27"/>
        <v>Error?</v>
      </c>
    </row>
    <row r="1808" spans="1:4" x14ac:dyDescent="0.2">
      <c r="A1808" s="5">
        <v>1747</v>
      </c>
      <c r="B1808" s="138">
        <f>'Tax Sched 23'!E4</f>
        <v>3875245</v>
      </c>
      <c r="D1808" s="2" t="str">
        <f t="shared" si="27"/>
        <v>Error?</v>
      </c>
    </row>
    <row r="1809" spans="1:4" x14ac:dyDescent="0.2">
      <c r="A1809" s="5">
        <v>1748</v>
      </c>
      <c r="B1809" s="138">
        <f>'Tax Sched 23'!E5</f>
        <v>617077</v>
      </c>
      <c r="D1809" s="2" t="str">
        <f t="shared" si="27"/>
        <v>Error?</v>
      </c>
    </row>
    <row r="1810" spans="1:4" x14ac:dyDescent="0.2">
      <c r="A1810" s="5">
        <v>1749</v>
      </c>
      <c r="B1810" s="138">
        <f>'Tax Sched 23'!E6</f>
        <v>757030</v>
      </c>
      <c r="D1810" s="2" t="str">
        <f t="shared" si="27"/>
        <v>Error?</v>
      </c>
    </row>
    <row r="1811" spans="1:4" x14ac:dyDescent="0.2">
      <c r="A1811" s="5">
        <v>1750</v>
      </c>
      <c r="B1811" s="138">
        <f>'Tax Sched 23'!E7</f>
        <v>296197</v>
      </c>
      <c r="D1811" s="2" t="str">
        <f t="shared" si="27"/>
        <v>Error?</v>
      </c>
    </row>
    <row r="1812" spans="1:4" x14ac:dyDescent="0.2">
      <c r="A1812" s="5">
        <v>1751</v>
      </c>
      <c r="B1812" s="138">
        <f>'Tax Sched 23'!E8</f>
        <v>199193</v>
      </c>
      <c r="D1812" s="2" t="str">
        <f t="shared" si="27"/>
        <v>Error?</v>
      </c>
    </row>
    <row r="1813" spans="1:4" x14ac:dyDescent="0.2">
      <c r="A1813" s="5">
        <v>1752</v>
      </c>
      <c r="B1813" s="138">
        <f>'Tax Sched 23'!E10</f>
        <v>123415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721980</v>
      </c>
      <c r="D1816" s="2" t="str">
        <f t="shared" si="27"/>
        <v>Error?</v>
      </c>
    </row>
    <row r="1817" spans="1:4" x14ac:dyDescent="0.2">
      <c r="A1817" s="5">
        <v>1756</v>
      </c>
      <c r="B1817" s="138">
        <f>'Tax Sched 23'!E12</f>
        <v>123415</v>
      </c>
      <c r="D1817" s="2" t="str">
        <f t="shared" si="27"/>
        <v>Error?</v>
      </c>
    </row>
    <row r="1818" spans="1:4" x14ac:dyDescent="0.2">
      <c r="A1818" s="5">
        <v>1757</v>
      </c>
      <c r="B1818" s="138">
        <f>'Tax Sched 23'!E14</f>
        <v>49366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7048501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2240733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55537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55537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55537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60065</v>
      </c>
      <c r="D2008" s="2" t="str">
        <f t="shared" si="30"/>
        <v>Error?</v>
      </c>
    </row>
    <row r="2009" spans="1:4" x14ac:dyDescent="0.2">
      <c r="A2009" s="5">
        <v>1948</v>
      </c>
      <c r="B2009" s="138">
        <f>'Cap Outlay Deprec 26'!C8</f>
        <v>13219824</v>
      </c>
      <c r="D2009" s="2" t="str">
        <f t="shared" si="30"/>
        <v>Error?</v>
      </c>
    </row>
    <row r="2010" spans="1:4" x14ac:dyDescent="0.2">
      <c r="A2010" s="5">
        <v>1949</v>
      </c>
      <c r="B2010" s="138">
        <f>'Cap Outlay Deprec 26'!C10</f>
        <v>108569</v>
      </c>
      <c r="D2010" s="2" t="str">
        <f t="shared" si="30"/>
        <v>Error?</v>
      </c>
    </row>
    <row r="2011" spans="1:4" x14ac:dyDescent="0.2">
      <c r="A2011" s="5">
        <v>1950</v>
      </c>
      <c r="B2011" s="138">
        <f>'Cap Outlay Deprec 26'!C12</f>
        <v>680063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14068521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69202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69202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185085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185085</v>
      </c>
      <c r="C2025" s="2" t="s">
        <v>594</v>
      </c>
      <c r="D2025" s="2" t="str">
        <f t="shared" si="30"/>
        <v>Error?</v>
      </c>
    </row>
    <row r="2026" spans="1:4" x14ac:dyDescent="0.2">
      <c r="A2026" s="5">
        <v>1965</v>
      </c>
      <c r="B2026" s="138">
        <f>'Cap Outlay Deprec 26'!F5</f>
        <v>60065</v>
      </c>
      <c r="C2026" s="2" t="s">
        <v>594</v>
      </c>
      <c r="D2026" s="2" t="str">
        <f t="shared" si="30"/>
        <v>Error?</v>
      </c>
    </row>
    <row r="2027" spans="1:4" x14ac:dyDescent="0.2">
      <c r="A2027" s="5">
        <v>1966</v>
      </c>
      <c r="B2027" s="138">
        <f>'Cap Outlay Deprec 26'!F8</f>
        <v>13219824</v>
      </c>
      <c r="C2027" s="2" t="s">
        <v>594</v>
      </c>
      <c r="D2027" s="2" t="str">
        <f t="shared" si="30"/>
        <v>Error?</v>
      </c>
    </row>
    <row r="2028" spans="1:4" x14ac:dyDescent="0.2">
      <c r="A2028" s="5">
        <v>1967</v>
      </c>
      <c r="B2028" s="138">
        <f>'Cap Outlay Deprec 26'!F10</f>
        <v>108569</v>
      </c>
      <c r="C2028" s="2" t="s">
        <v>594</v>
      </c>
      <c r="D2028" s="2" t="str">
        <f t="shared" si="30"/>
        <v>Error?</v>
      </c>
    </row>
    <row r="2029" spans="1:4" x14ac:dyDescent="0.2">
      <c r="A2029" s="5">
        <v>1968</v>
      </c>
      <c r="B2029" s="138">
        <f>'Cap Outlay Deprec 26'!F12</f>
        <v>564180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13952638</v>
      </c>
      <c r="C2031" s="2" t="s">
        <v>594</v>
      </c>
      <c r="D2031" s="2" t="str">
        <f t="shared" si="30"/>
        <v>Error?</v>
      </c>
    </row>
    <row r="2032" spans="1:4" x14ac:dyDescent="0.2">
      <c r="A2032" s="10">
        <v>1971</v>
      </c>
      <c r="D2032" s="2" t="str">
        <f t="shared" si="30"/>
        <v>OK</v>
      </c>
    </row>
    <row r="2033" spans="1:4" x14ac:dyDescent="0.2">
      <c r="A2033" s="5">
        <v>1972</v>
      </c>
      <c r="B2033" s="138">
        <f>'Cap Outlay Deprec 26'!H8</f>
        <v>4521311</v>
      </c>
      <c r="D2033" s="2" t="str">
        <f t="shared" si="30"/>
        <v>Error?</v>
      </c>
    </row>
    <row r="2034" spans="1:4" x14ac:dyDescent="0.2">
      <c r="A2034" s="5">
        <v>1973</v>
      </c>
      <c r="B2034" s="138">
        <f>'Cap Outlay Deprec 26'!H10</f>
        <v>96928</v>
      </c>
      <c r="D2034" s="2" t="str">
        <f t="shared" si="30"/>
        <v>Error?</v>
      </c>
    </row>
    <row r="2035" spans="1:4" x14ac:dyDescent="0.2">
      <c r="A2035" s="5">
        <v>1974</v>
      </c>
      <c r="B2035" s="138">
        <f>'Cap Outlay Deprec 26'!H12</f>
        <v>506151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5124390</v>
      </c>
      <c r="C2037" s="2" t="s">
        <v>594</v>
      </c>
      <c r="D2037" s="2" t="str">
        <f t="shared" si="30"/>
        <v>Error?</v>
      </c>
    </row>
    <row r="2038" spans="1:4" x14ac:dyDescent="0.2">
      <c r="A2038" s="10">
        <v>1977</v>
      </c>
      <c r="D2038" s="2" t="str">
        <f t="shared" si="30"/>
        <v>OK</v>
      </c>
    </row>
    <row r="2039" spans="1:4" x14ac:dyDescent="0.2">
      <c r="A2039" s="5">
        <v>1978</v>
      </c>
      <c r="B2039" s="138">
        <f>'Cap Outlay Deprec 26'!I8</f>
        <v>264395</v>
      </c>
      <c r="D2039" s="2" t="str">
        <f t="shared" si="30"/>
        <v>Error?</v>
      </c>
    </row>
    <row r="2040" spans="1:4" x14ac:dyDescent="0.2">
      <c r="A2040" s="5">
        <v>1979</v>
      </c>
      <c r="B2040" s="138">
        <f>'Cap Outlay Deprec 26'!I10</f>
        <v>2670</v>
      </c>
      <c r="D2040" s="2" t="str">
        <f t="shared" si="30"/>
        <v>Error?</v>
      </c>
    </row>
    <row r="2041" spans="1:4" x14ac:dyDescent="0.2">
      <c r="A2041" s="5">
        <v>1980</v>
      </c>
      <c r="B2041" s="138">
        <f>'Cap Outlay Deprec 26'!I12</f>
        <v>77179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344244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185085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185085</v>
      </c>
      <c r="C2049" s="2" t="s">
        <v>594</v>
      </c>
      <c r="D2049" s="2" t="str">
        <f t="shared" si="31"/>
        <v>Error?</v>
      </c>
    </row>
    <row r="2050" spans="1:4" x14ac:dyDescent="0.2">
      <c r="A2050" s="10">
        <v>1989</v>
      </c>
      <c r="D2050" s="2" t="str">
        <f t="shared" si="31"/>
        <v>OK</v>
      </c>
    </row>
    <row r="2051" spans="1:4" x14ac:dyDescent="0.2">
      <c r="A2051" s="5">
        <v>1990</v>
      </c>
      <c r="B2051" s="138">
        <f>'Cap Outlay Deprec 26'!K8</f>
        <v>4785706</v>
      </c>
      <c r="C2051" s="2" t="s">
        <v>594</v>
      </c>
      <c r="D2051" s="2" t="str">
        <f t="shared" si="31"/>
        <v>Error?</v>
      </c>
    </row>
    <row r="2052" spans="1:4" x14ac:dyDescent="0.2">
      <c r="A2052" s="5">
        <v>1991</v>
      </c>
      <c r="B2052" s="138">
        <f>'Cap Outlay Deprec 26'!K10</f>
        <v>99598</v>
      </c>
      <c r="C2052" s="2" t="s">
        <v>594</v>
      </c>
      <c r="D2052" s="2" t="str">
        <f t="shared" si="31"/>
        <v>Error?</v>
      </c>
    </row>
    <row r="2053" spans="1:4" x14ac:dyDescent="0.2">
      <c r="A2053" s="5">
        <v>1992</v>
      </c>
      <c r="B2053" s="138">
        <f>'Cap Outlay Deprec 26'!K12</f>
        <v>398245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5283549</v>
      </c>
      <c r="C2055" s="2" t="s">
        <v>594</v>
      </c>
      <c r="D2055" s="2" t="str">
        <f t="shared" si="31"/>
        <v>Error?</v>
      </c>
    </row>
    <row r="2056" spans="1:4" x14ac:dyDescent="0.2">
      <c r="A2056" s="5">
        <v>1995</v>
      </c>
      <c r="B2056" s="138">
        <f>'Cap Outlay Deprec 26'!L5</f>
        <v>60065</v>
      </c>
      <c r="C2056" s="2" t="s">
        <v>594</v>
      </c>
      <c r="D2056" s="2" t="str">
        <f t="shared" si="31"/>
        <v>Error?</v>
      </c>
    </row>
    <row r="2057" spans="1:4" x14ac:dyDescent="0.2">
      <c r="A2057" s="5">
        <v>1996</v>
      </c>
      <c r="B2057" s="138">
        <f>'Cap Outlay Deprec 26'!L8</f>
        <v>8434118</v>
      </c>
      <c r="C2057" s="2" t="s">
        <v>594</v>
      </c>
      <c r="D2057" s="2" t="str">
        <f t="shared" si="31"/>
        <v>Error?</v>
      </c>
    </row>
    <row r="2058" spans="1:4" x14ac:dyDescent="0.2">
      <c r="A2058" s="5">
        <v>1997</v>
      </c>
      <c r="B2058" s="138">
        <f>'Cap Outlay Deprec 26'!L10</f>
        <v>8971</v>
      </c>
      <c r="C2058" s="2" t="s">
        <v>594</v>
      </c>
      <c r="D2058" s="2" t="str">
        <f t="shared" si="31"/>
        <v>Error?</v>
      </c>
    </row>
    <row r="2059" spans="1:4" x14ac:dyDescent="0.2">
      <c r="A2059" s="5">
        <v>1998</v>
      </c>
      <c r="B2059" s="138">
        <f>'Cap Outlay Deprec 26'!L12</f>
        <v>165935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8669089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395578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430117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260323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5001131</v>
      </c>
      <c r="C2551" s="2" t="s">
        <v>594</v>
      </c>
      <c r="D2551" s="2" t="str">
        <f t="shared" si="38"/>
        <v>Error?</v>
      </c>
    </row>
    <row r="2552" spans="1:4" x14ac:dyDescent="0.2">
      <c r="A2552" s="10">
        <v>2491</v>
      </c>
      <c r="D2552" s="2" t="str">
        <f t="shared" si="38"/>
        <v>OK</v>
      </c>
    </row>
    <row r="2553" spans="1:4" x14ac:dyDescent="0.2">
      <c r="A2553" s="5">
        <v>2492</v>
      </c>
      <c r="B2553" s="138">
        <f>'Acct Summary 7-8'!C6</f>
        <v>1026574</v>
      </c>
      <c r="C2553" s="2" t="s">
        <v>594</v>
      </c>
      <c r="D2553" s="2" t="str">
        <f t="shared" si="38"/>
        <v>Error?</v>
      </c>
    </row>
    <row r="2554" spans="1:4" x14ac:dyDescent="0.2">
      <c r="A2554" s="5">
        <v>2493</v>
      </c>
      <c r="B2554" s="138">
        <f>'Acct Summary 7-8'!C7</f>
        <v>534131</v>
      </c>
      <c r="C2554" s="2" t="s">
        <v>594</v>
      </c>
      <c r="D2554" s="2" t="str">
        <f t="shared" si="38"/>
        <v>Error?</v>
      </c>
    </row>
    <row r="2555" spans="1:4" x14ac:dyDescent="0.2">
      <c r="A2555" s="5">
        <v>2494</v>
      </c>
      <c r="B2555" s="138">
        <f>'Acct Summary 7-8'!C8</f>
        <v>6561836</v>
      </c>
      <c r="C2555" s="2" t="s">
        <v>594</v>
      </c>
      <c r="D2555" s="2" t="str">
        <f t="shared" si="38"/>
        <v>Error?</v>
      </c>
    </row>
    <row r="2556" spans="1:4" x14ac:dyDescent="0.2">
      <c r="A2556" s="5">
        <v>2495</v>
      </c>
      <c r="B2556" s="138">
        <f>'Acct Summary 7-8'!C12</f>
        <v>4048953</v>
      </c>
      <c r="C2556" s="2" t="s">
        <v>594</v>
      </c>
      <c r="D2556" s="2" t="str">
        <f t="shared" si="38"/>
        <v>Error?</v>
      </c>
    </row>
    <row r="2557" spans="1:4" x14ac:dyDescent="0.2">
      <c r="A2557" s="5">
        <v>2496</v>
      </c>
      <c r="B2557" s="138">
        <f>'Acct Summary 7-8'!C13</f>
        <v>1210984</v>
      </c>
      <c r="C2557" s="2" t="s">
        <v>594</v>
      </c>
      <c r="D2557" s="2" t="str">
        <f t="shared" si="38"/>
        <v>Error?</v>
      </c>
    </row>
    <row r="2558" spans="1:4" x14ac:dyDescent="0.2">
      <c r="A2558" s="5">
        <v>2497</v>
      </c>
      <c r="B2558" s="138">
        <f>'Acct Summary 7-8'!C14</f>
        <v>91504</v>
      </c>
      <c r="C2558" s="2" t="s">
        <v>594</v>
      </c>
      <c r="D2558" s="2" t="str">
        <f t="shared" si="38"/>
        <v>Error?</v>
      </c>
    </row>
    <row r="2559" spans="1:4" x14ac:dyDescent="0.2">
      <c r="A2559" s="5">
        <v>2498</v>
      </c>
      <c r="B2559" s="138">
        <f>'Acct Summary 7-8'!C15</f>
        <v>446743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5798184</v>
      </c>
      <c r="C2561" s="2" t="s">
        <v>594</v>
      </c>
      <c r="D2561" s="2" t="str">
        <f t="shared" si="39"/>
        <v>Error?</v>
      </c>
    </row>
    <row r="2562" spans="1:4" x14ac:dyDescent="0.2">
      <c r="A2562" s="5">
        <v>2501</v>
      </c>
      <c r="B2562" s="138">
        <f>'Acct Summary 7-8'!C20</f>
        <v>763652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777582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777582</v>
      </c>
      <c r="C2568" s="2" t="s">
        <v>594</v>
      </c>
      <c r="D2568" s="2" t="str">
        <f t="shared" si="39"/>
        <v>Error?</v>
      </c>
    </row>
    <row r="2569" spans="1:4" x14ac:dyDescent="0.2">
      <c r="A2569" s="5">
        <v>2508</v>
      </c>
      <c r="B2569" s="138">
        <f>'Acct Summary 7-8'!D13</f>
        <v>629926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629926</v>
      </c>
      <c r="C2573" s="2" t="s">
        <v>594</v>
      </c>
      <c r="D2573" s="2" t="str">
        <f t="shared" si="39"/>
        <v>Error?</v>
      </c>
    </row>
    <row r="2574" spans="1:4" x14ac:dyDescent="0.2">
      <c r="A2574" s="5">
        <v>2513</v>
      </c>
      <c r="B2574" s="138">
        <f>'Acct Summary 7-8'!D20</f>
        <v>147656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334043</v>
      </c>
      <c r="C2591" s="2" t="s">
        <v>594</v>
      </c>
      <c r="D2591" s="2" t="str">
        <f t="shared" si="39"/>
        <v>Error?</v>
      </c>
    </row>
    <row r="2592" spans="1:4" x14ac:dyDescent="0.2">
      <c r="A2592" s="10">
        <v>2531</v>
      </c>
      <c r="D2592" s="2" t="str">
        <f t="shared" si="39"/>
        <v>OK</v>
      </c>
    </row>
    <row r="2593" spans="1:4" x14ac:dyDescent="0.2">
      <c r="A2593" s="5">
        <v>2532</v>
      </c>
      <c r="B2593" s="138">
        <f>'Acct Summary 7-8'!F6</f>
        <v>224900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558943</v>
      </c>
      <c r="C2595" s="2" t="s">
        <v>594</v>
      </c>
      <c r="D2595" s="2" t="str">
        <f t="shared" si="39"/>
        <v>Error?</v>
      </c>
    </row>
    <row r="2596" spans="1:4" x14ac:dyDescent="0.2">
      <c r="A2596" s="5">
        <v>2535</v>
      </c>
      <c r="B2596" s="138">
        <f>'Acct Summary 7-8'!F13</f>
        <v>411074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411074</v>
      </c>
      <c r="C2600" s="2" t="s">
        <v>594</v>
      </c>
      <c r="D2600" s="2" t="str">
        <f t="shared" si="39"/>
        <v>Error?</v>
      </c>
    </row>
    <row r="2601" spans="1:4" x14ac:dyDescent="0.2">
      <c r="A2601" s="5">
        <v>2540</v>
      </c>
      <c r="B2601" s="138">
        <f>'Acct Summary 7-8'!F20</f>
        <v>147869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446978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446978</v>
      </c>
      <c r="C2606" s="2" t="s">
        <v>594</v>
      </c>
      <c r="D2606" s="2" t="str">
        <f t="shared" si="39"/>
        <v>Error?</v>
      </c>
    </row>
    <row r="2607" spans="1:4" x14ac:dyDescent="0.2">
      <c r="A2607" s="5">
        <v>2546</v>
      </c>
      <c r="B2607" s="138">
        <f>'Acct Summary 7-8'!G12</f>
        <v>121248</v>
      </c>
      <c r="C2607" s="2" t="s">
        <v>594</v>
      </c>
      <c r="D2607" s="2" t="str">
        <f t="shared" si="39"/>
        <v>Error?</v>
      </c>
    </row>
    <row r="2608" spans="1:4" x14ac:dyDescent="0.2">
      <c r="A2608" s="5">
        <v>2547</v>
      </c>
      <c r="B2608" s="138">
        <f>'Acct Summary 7-8'!G13</f>
        <v>132853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254735</v>
      </c>
      <c r="C2612" s="2" t="s">
        <v>594</v>
      </c>
      <c r="D2612" s="2" t="str">
        <f t="shared" si="39"/>
        <v>Error?</v>
      </c>
    </row>
    <row r="2613" spans="1:4" x14ac:dyDescent="0.2">
      <c r="A2613" s="5">
        <v>2552</v>
      </c>
      <c r="B2613" s="138">
        <f>'Acct Summary 7-8'!G20</f>
        <v>192243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886051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886051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776130</v>
      </c>
      <c r="C2634" s="2" t="s">
        <v>594</v>
      </c>
      <c r="D2634" s="2" t="str">
        <f t="shared" si="40"/>
        <v>Error?</v>
      </c>
    </row>
    <row r="2635" spans="1:4" x14ac:dyDescent="0.2">
      <c r="A2635" s="5">
        <v>2574</v>
      </c>
      <c r="B2635" s="138">
        <f>'Acct Summary 7-8'!E17</f>
        <v>776130</v>
      </c>
      <c r="C2635" s="2" t="s">
        <v>594</v>
      </c>
      <c r="D2635" s="2" t="str">
        <f t="shared" si="40"/>
        <v>Error?</v>
      </c>
    </row>
    <row r="2636" spans="1:4" x14ac:dyDescent="0.2">
      <c r="A2636" s="5">
        <v>2575</v>
      </c>
      <c r="B2636" s="138">
        <f>'Acct Summary 7-8'!E20</f>
        <v>109921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176</v>
      </c>
      <c r="C2658" s="2" t="s">
        <v>594</v>
      </c>
      <c r="D2658" s="2" t="str">
        <f t="shared" si="40"/>
        <v>Error?</v>
      </c>
    </row>
    <row r="2659" spans="1:4" x14ac:dyDescent="0.2">
      <c r="A2659" s="5">
        <v>2598</v>
      </c>
      <c r="B2659" s="138">
        <f>'Acct Summary 7-8'!H13</f>
        <v>45742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45742</v>
      </c>
      <c r="C2661" s="2" t="s">
        <v>594</v>
      </c>
      <c r="D2661" s="2" t="str">
        <f t="shared" si="40"/>
        <v>Error?</v>
      </c>
    </row>
    <row r="2662" spans="1:4" x14ac:dyDescent="0.2">
      <c r="A2662" s="5">
        <v>2601</v>
      </c>
      <c r="B2662" s="138">
        <f>'Acct Summary 7-8'!H20</f>
        <v>-45566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34539</v>
      </c>
      <c r="C2789" s="2" t="s">
        <v>594</v>
      </c>
      <c r="D2789" s="2" t="str">
        <f t="shared" si="42"/>
        <v>Error?</v>
      </c>
    </row>
    <row r="2790" spans="1:4" x14ac:dyDescent="0.2">
      <c r="A2790" s="5">
        <v>2729</v>
      </c>
      <c r="B2790" s="138">
        <f>'Expenditures 15-22'!E102</f>
        <v>34539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2692350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38607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2692350</v>
      </c>
      <c r="D2912" s="2" t="str">
        <f t="shared" si="44"/>
        <v>Error?</v>
      </c>
    </row>
    <row r="2913" spans="1:4" x14ac:dyDescent="0.2">
      <c r="A2913" s="5">
        <v>2852</v>
      </c>
      <c r="B2913" s="138">
        <f>'Assets-Liab 5-6'!I41</f>
        <v>2692350</v>
      </c>
      <c r="C2913" s="2" t="s">
        <v>594</v>
      </c>
      <c r="D2913" s="2" t="str">
        <f t="shared" si="44"/>
        <v>Error?</v>
      </c>
    </row>
    <row r="2914" spans="1:4" x14ac:dyDescent="0.2">
      <c r="A2914" s="5">
        <v>2853</v>
      </c>
      <c r="B2914" s="138">
        <f>'Assets-Liab 5-6'!L33</f>
        <v>38607</v>
      </c>
      <c r="D2914" s="2" t="str">
        <f t="shared" si="44"/>
        <v>Error?</v>
      </c>
    </row>
    <row r="2915" spans="1:4" x14ac:dyDescent="0.2">
      <c r="A2915" s="10">
        <v>2854</v>
      </c>
      <c r="D2915" s="2" t="str">
        <f t="shared" si="44"/>
        <v>OK</v>
      </c>
    </row>
    <row r="2916" spans="1:4" x14ac:dyDescent="0.2">
      <c r="A2916" s="5">
        <v>2855</v>
      </c>
      <c r="B2916" s="138">
        <f>'Assets-Liab 5-6'!L34</f>
        <v>38607</v>
      </c>
      <c r="C2916" s="2" t="s">
        <v>594</v>
      </c>
      <c r="D2916" s="2" t="str">
        <f t="shared" si="44"/>
        <v>Error?</v>
      </c>
    </row>
    <row r="2917" spans="1:4" x14ac:dyDescent="0.2">
      <c r="A2917" s="5">
        <v>2856</v>
      </c>
      <c r="B2917" s="138">
        <f>'Assets-Liab 5-6'!L41</f>
        <v>38607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34539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395578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430117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148111</v>
      </c>
      <c r="D3055" s="2" t="str">
        <f t="shared" si="46"/>
        <v>Error?</v>
      </c>
    </row>
    <row r="3056" spans="1:4" x14ac:dyDescent="0.2">
      <c r="A3056" s="5">
        <v>2995</v>
      </c>
      <c r="B3056" s="138">
        <f>'Expenditures 15-22'!D10</f>
        <v>48568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3293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199972</v>
      </c>
      <c r="C3062" s="2" t="s">
        <v>594</v>
      </c>
      <c r="D3062" s="2" t="str">
        <f t="shared" si="46"/>
        <v>Error?</v>
      </c>
    </row>
    <row r="3063" spans="1:4" x14ac:dyDescent="0.2">
      <c r="A3063" s="10">
        <v>3002</v>
      </c>
      <c r="D3063" s="2" t="str">
        <f t="shared" si="46"/>
        <v>OK</v>
      </c>
    </row>
    <row r="3064" spans="1:4" x14ac:dyDescent="0.2">
      <c r="A3064" s="5">
        <v>3003</v>
      </c>
      <c r="B3064" s="138">
        <f>'Expenditures 15-22'!D219</f>
        <v>2049</v>
      </c>
      <c r="D3064" s="2" t="str">
        <f t="shared" si="46"/>
        <v>Error?</v>
      </c>
    </row>
    <row r="3065" spans="1:4" x14ac:dyDescent="0.2">
      <c r="A3065" s="5">
        <v>3004</v>
      </c>
      <c r="B3065" s="138">
        <f>'Expenditures 15-22'!K219</f>
        <v>2049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144235</v>
      </c>
      <c r="C3225" s="2" t="s">
        <v>594</v>
      </c>
      <c r="D3225" s="2" t="str">
        <f t="shared" si="49"/>
        <v>Error?</v>
      </c>
    </row>
    <row r="3226" spans="1:4" x14ac:dyDescent="0.2">
      <c r="A3226" s="5">
        <v>3165</v>
      </c>
      <c r="B3226" s="138">
        <f>'Acct Summary 7-8'!I8</f>
        <v>144235</v>
      </c>
      <c r="C3226" s="2" t="s">
        <v>594</v>
      </c>
      <c r="D3226" s="2" t="str">
        <f t="shared" si="49"/>
        <v>Error?</v>
      </c>
    </row>
    <row r="3227" spans="1:4" x14ac:dyDescent="0.2">
      <c r="A3227" s="5">
        <v>3166</v>
      </c>
      <c r="B3227" s="138">
        <f>'Acct Summary 7-8'!I20</f>
        <v>144235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18644</v>
      </c>
      <c r="C3231" s="2" t="s">
        <v>594</v>
      </c>
      <c r="D3231" s="2" t="str">
        <f t="shared" si="49"/>
        <v>Error?</v>
      </c>
    </row>
    <row r="3232" spans="1:4" x14ac:dyDescent="0.2">
      <c r="A3232" s="5">
        <v>3171</v>
      </c>
      <c r="B3232" s="138">
        <f>'Acct Summary 7-8'!C77</f>
        <v>-18644</v>
      </c>
      <c r="C3232" s="2" t="s">
        <v>594</v>
      </c>
      <c r="D3232" s="2" t="str">
        <f t="shared" si="49"/>
        <v>Error?</v>
      </c>
    </row>
    <row r="3233" spans="1:4" x14ac:dyDescent="0.2">
      <c r="A3233" s="5">
        <v>3172</v>
      </c>
      <c r="B3233" s="138">
        <f>'Acct Summary 7-8'!C78</f>
        <v>745008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5000</v>
      </c>
      <c r="C3238" s="2" t="s">
        <v>594</v>
      </c>
      <c r="D3238" s="2" t="str">
        <f t="shared" si="49"/>
        <v>Error?</v>
      </c>
    </row>
    <row r="3239" spans="1:4" x14ac:dyDescent="0.2">
      <c r="A3239" s="5">
        <v>3178</v>
      </c>
      <c r="B3239" s="138">
        <f>'Acct Summary 7-8'!D78</f>
        <v>152656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147869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192243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18644</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18644</v>
      </c>
      <c r="C3277" s="2" t="s">
        <v>594</v>
      </c>
      <c r="D3277" s="2" t="str">
        <f t="shared" si="50"/>
        <v>Error?</v>
      </c>
    </row>
    <row r="3278" spans="1:4" x14ac:dyDescent="0.2">
      <c r="A3278" s="5">
        <v>3217</v>
      </c>
      <c r="B3278" s="138">
        <f>'Acct Summary 7-8'!E78</f>
        <v>128565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-45566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144235</v>
      </c>
      <c r="C3320" s="2" t="s">
        <v>594</v>
      </c>
      <c r="D3320" s="2" t="str">
        <f t="shared" si="50"/>
        <v>Error?</v>
      </c>
    </row>
    <row r="3321" spans="1:4" x14ac:dyDescent="0.2">
      <c r="A3321" s="5">
        <v>3260</v>
      </c>
      <c r="B3321" s="138">
        <f>'Acct Summary 7-8'!I79</f>
        <v>2548115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2692350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529441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121086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650600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72293</v>
      </c>
      <c r="D3387" s="2" t="str">
        <f t="shared" si="51"/>
        <v>Error?</v>
      </c>
    </row>
    <row r="3388" spans="1:4" x14ac:dyDescent="0.2">
      <c r="A3388" s="5">
        <v>3327</v>
      </c>
      <c r="B3388" s="138">
        <f>'Expenditures 15-22'!D217</f>
        <v>39937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72293</v>
      </c>
      <c r="C3390" s="2" t="s">
        <v>594</v>
      </c>
      <c r="D3390" s="2" t="str">
        <f t="shared" si="51"/>
        <v>Error?</v>
      </c>
    </row>
    <row r="3391" spans="1:4" x14ac:dyDescent="0.2">
      <c r="A3391" s="5">
        <v>3330</v>
      </c>
      <c r="B3391" s="138">
        <f>'Expenditures 15-22'!K217</f>
        <v>39937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1271577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1214672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260199</v>
      </c>
      <c r="D3417" s="2" t="str">
        <f t="shared" si="52"/>
        <v>Error?</v>
      </c>
    </row>
    <row r="3418" spans="1:4" x14ac:dyDescent="0.2">
      <c r="A3418" s="10">
        <v>3357</v>
      </c>
      <c r="D3418" s="2" t="str">
        <f t="shared" si="52"/>
        <v>OK</v>
      </c>
    </row>
    <row r="3419" spans="1:4" x14ac:dyDescent="0.2">
      <c r="A3419" s="5">
        <v>3358</v>
      </c>
      <c r="B3419" s="138">
        <f>'Assets-Liab 5-6'!F4</f>
        <v>521632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539733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94796</v>
      </c>
      <c r="D3425" s="2" t="str">
        <f t="shared" si="52"/>
        <v>Error?</v>
      </c>
    </row>
    <row r="3426" spans="1:4" x14ac:dyDescent="0.2">
      <c r="A3426" s="10">
        <v>3365</v>
      </c>
      <c r="D3426" s="2" t="str">
        <f t="shared" si="52"/>
        <v>OK</v>
      </c>
    </row>
    <row r="3427" spans="1:4" x14ac:dyDescent="0.2">
      <c r="A3427" s="5">
        <v>3366</v>
      </c>
      <c r="B3427" s="138">
        <f>'Assets-Liab 5-6'!I4</f>
        <v>2692350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38607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212523</v>
      </c>
      <c r="C3446" s="2" t="s">
        <v>594</v>
      </c>
      <c r="D3446" s="2" t="str">
        <f t="shared" si="52"/>
        <v>Error?</v>
      </c>
    </row>
    <row r="3447" spans="1:4" x14ac:dyDescent="0.2">
      <c r="A3447" s="5">
        <v>3386</v>
      </c>
      <c r="B3447" s="138">
        <f>'Tax Sched 23'!D16</f>
        <v>161720</v>
      </c>
      <c r="C3447" s="2" t="s">
        <v>594</v>
      </c>
      <c r="D3447" s="2" t="str">
        <f t="shared" si="52"/>
        <v>Error?</v>
      </c>
    </row>
    <row r="3448" spans="1:4" x14ac:dyDescent="0.2">
      <c r="A3448" s="5">
        <v>3387</v>
      </c>
      <c r="B3448" s="138">
        <f>'Tax Sched 23'!C16</f>
        <v>50803</v>
      </c>
      <c r="D3448" s="2" t="str">
        <f t="shared" si="52"/>
        <v>Error?</v>
      </c>
    </row>
    <row r="3449" spans="1:4" x14ac:dyDescent="0.2">
      <c r="A3449" s="5">
        <v>3388</v>
      </c>
      <c r="B3449" s="138">
        <f>'Tax Sched 23'!F16</f>
        <v>136048</v>
      </c>
      <c r="C3449" s="2" t="s">
        <v>594</v>
      </c>
      <c r="D3449" s="2" t="str">
        <f t="shared" si="52"/>
        <v>Error?</v>
      </c>
    </row>
    <row r="3450" spans="1:4" x14ac:dyDescent="0.2">
      <c r="A3450" s="5">
        <v>3389</v>
      </c>
      <c r="B3450" s="138">
        <f>'Tax Sched 23'!E16</f>
        <v>186851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5000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1417064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1417064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1417064</v>
      </c>
      <c r="D3567" s="2" t="str">
        <f t="shared" si="54"/>
        <v>Error?</v>
      </c>
    </row>
    <row r="3568" spans="1:4" x14ac:dyDescent="0.2">
      <c r="A3568" s="5">
        <v>3507</v>
      </c>
      <c r="B3568" s="138">
        <f>'Assets-Liab 5-6'!K41</f>
        <v>1417064</v>
      </c>
      <c r="C3568" s="2" t="s">
        <v>594</v>
      </c>
      <c r="D3568" s="2" t="str">
        <f t="shared" si="54"/>
        <v>Error?</v>
      </c>
    </row>
    <row r="3569" spans="1:4" x14ac:dyDescent="0.2">
      <c r="A3569" s="5">
        <v>3508</v>
      </c>
      <c r="B3569" s="138">
        <f>'Acct Summary 7-8'!K4</f>
        <v>141738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141738</v>
      </c>
      <c r="C3571" s="2" t="s">
        <v>594</v>
      </c>
      <c r="D3571" s="2" t="str">
        <f t="shared" si="54"/>
        <v>Error?</v>
      </c>
    </row>
    <row r="3572" spans="1:4" x14ac:dyDescent="0.2">
      <c r="A3572" s="5">
        <v>3511</v>
      </c>
      <c r="B3572" s="138">
        <f>'Acct Summary 7-8'!K13</f>
        <v>22665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22665</v>
      </c>
      <c r="C3575" s="2" t="s">
        <v>594</v>
      </c>
      <c r="D3575" s="2" t="str">
        <f t="shared" si="54"/>
        <v>Error?</v>
      </c>
    </row>
    <row r="3576" spans="1:4" x14ac:dyDescent="0.2">
      <c r="A3576" s="5">
        <v>3515</v>
      </c>
      <c r="B3576" s="138">
        <f>'Acct Summary 7-8'!K20</f>
        <v>119073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119073</v>
      </c>
      <c r="C3588" s="2" t="s">
        <v>594</v>
      </c>
      <c r="D3588" s="2" t="str">
        <f t="shared" si="55"/>
        <v>Error?</v>
      </c>
    </row>
    <row r="3589" spans="1:4" x14ac:dyDescent="0.2">
      <c r="A3589" s="5">
        <v>3528</v>
      </c>
      <c r="B3589" s="138">
        <f>'Acct Summary 7-8'!K79</f>
        <v>1297991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1417064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21365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21365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21365</v>
      </c>
      <c r="C3635" s="2" t="s">
        <v>594</v>
      </c>
      <c r="D3635" s="2" t="str">
        <f t="shared" si="55"/>
        <v>Error?</v>
      </c>
    </row>
    <row r="3636" spans="1:4" x14ac:dyDescent="0.2">
      <c r="A3636" s="5">
        <v>3575</v>
      </c>
      <c r="B3636" s="138">
        <f>'Expenditures 15-22'!E367</f>
        <v>21365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1300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1300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1300</v>
      </c>
      <c r="C3649" s="2" t="s">
        <v>594</v>
      </c>
      <c r="D3649" s="2" t="str">
        <f t="shared" si="56"/>
        <v>Error?</v>
      </c>
    </row>
    <row r="3650" spans="1:4" x14ac:dyDescent="0.2">
      <c r="A3650" s="5">
        <v>3589</v>
      </c>
      <c r="B3650" s="138">
        <f>'Expenditures 15-22'!G367</f>
        <v>1300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22665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22665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22665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22665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119073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634</v>
      </c>
      <c r="D3721" s="2" t="str">
        <f t="shared" si="57"/>
        <v>Error?</v>
      </c>
    </row>
    <row r="3722" spans="1:4" x14ac:dyDescent="0.2">
      <c r="A3722" s="5">
        <v>3661</v>
      </c>
      <c r="B3722" s="138">
        <f>'Expenditures 15-22'!D285</f>
        <v>634</v>
      </c>
      <c r="C3722" s="2" t="s">
        <v>594</v>
      </c>
      <c r="D3722" s="2" t="str">
        <f t="shared" si="57"/>
        <v>Error?</v>
      </c>
    </row>
    <row r="3723" spans="1:4" x14ac:dyDescent="0.2">
      <c r="A3723" s="5">
        <v>3662</v>
      </c>
      <c r="B3723" s="138">
        <f>'Expenditures 15-22'!K283</f>
        <v>634</v>
      </c>
      <c r="C3723" s="2" t="s">
        <v>594</v>
      </c>
      <c r="D3723" s="2" t="str">
        <f t="shared" si="57"/>
        <v>Error?</v>
      </c>
    </row>
    <row r="3724" spans="1:4" x14ac:dyDescent="0.2">
      <c r="A3724" s="5">
        <v>3663</v>
      </c>
      <c r="B3724" s="138">
        <f>'Expenditures 15-22'!K285</f>
        <v>634</v>
      </c>
      <c r="C3724" s="2" t="s">
        <v>594</v>
      </c>
      <c r="D3724" s="2" t="str">
        <f t="shared" si="57"/>
        <v>Error?</v>
      </c>
    </row>
    <row r="3725" spans="1:4" x14ac:dyDescent="0.2">
      <c r="A3725" s="5">
        <v>3664</v>
      </c>
      <c r="B3725" s="138">
        <f>'Tax Sched 23'!B13</f>
        <v>111073</v>
      </c>
      <c r="C3725" s="2" t="s">
        <v>594</v>
      </c>
      <c r="D3725" s="2" t="str">
        <f t="shared" si="57"/>
        <v>Error?</v>
      </c>
    </row>
    <row r="3726" spans="1:4" x14ac:dyDescent="0.2">
      <c r="A3726" s="5">
        <v>3665</v>
      </c>
      <c r="B3726" s="138">
        <f>'Tax Sched 23'!D13</f>
        <v>84227</v>
      </c>
      <c r="C3726" s="2" t="s">
        <v>594</v>
      </c>
      <c r="D3726" s="2" t="str">
        <f t="shared" si="57"/>
        <v>Error?</v>
      </c>
    </row>
    <row r="3727" spans="1:4" x14ac:dyDescent="0.2">
      <c r="A3727" s="5">
        <v>3666</v>
      </c>
      <c r="B3727" s="138">
        <f>'Tax Sched 23'!C13</f>
        <v>26846</v>
      </c>
      <c r="D3727" s="2" t="str">
        <f t="shared" si="57"/>
        <v>Error?</v>
      </c>
    </row>
    <row r="3728" spans="1:4" x14ac:dyDescent="0.2">
      <c r="A3728" s="5">
        <v>3667</v>
      </c>
      <c r="B3728" s="138">
        <f>'Tax Sched 23'!F13</f>
        <v>71886</v>
      </c>
      <c r="C3728" s="2" t="s">
        <v>594</v>
      </c>
      <c r="D3728" s="2" t="str">
        <f t="shared" si="57"/>
        <v>Error?</v>
      </c>
    </row>
    <row r="3729" spans="1:4" x14ac:dyDescent="0.2">
      <c r="A3729" s="5">
        <v>3668</v>
      </c>
      <c r="B3729" s="138">
        <f>'Tax Sched 23'!E13</f>
        <v>98732</v>
      </c>
      <c r="D3729" s="2" t="str">
        <f t="shared" si="57"/>
        <v>Error?</v>
      </c>
    </row>
    <row r="3730" spans="1:4" x14ac:dyDescent="0.2">
      <c r="A3730" s="5">
        <v>3669</v>
      </c>
      <c r="B3730" s="138">
        <f>'ICR Computation 30'!E10</f>
        <v>268035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7052</v>
      </c>
      <c r="D4081" s="2" t="str">
        <f t="shared" si="62"/>
        <v>Error?</v>
      </c>
    </row>
    <row r="4082" spans="1:4" x14ac:dyDescent="0.2">
      <c r="A4082" s="5">
        <v>4021</v>
      </c>
      <c r="B4082" s="138">
        <f>'Expenditures 15-22'!D180</f>
        <v>3426</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10478</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2739970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9301806</v>
      </c>
      <c r="C4122" s="2" t="s">
        <v>594</v>
      </c>
      <c r="D4122" s="2" t="str">
        <f t="shared" si="63"/>
        <v>Error?</v>
      </c>
    </row>
    <row r="4123" spans="1:4" x14ac:dyDescent="0.2">
      <c r="A4123" s="5">
        <v>4062</v>
      </c>
      <c r="B4123" s="138">
        <f>'Acct Summary 7-8'!D10</f>
        <v>777582</v>
      </c>
      <c r="C4123" s="2" t="s">
        <v>594</v>
      </c>
      <c r="D4123" s="2" t="str">
        <f t="shared" si="63"/>
        <v>Error?</v>
      </c>
    </row>
    <row r="4124" spans="1:4" x14ac:dyDescent="0.2">
      <c r="A4124" s="5">
        <v>4063</v>
      </c>
      <c r="B4124" s="138">
        <f>'Acct Summary 7-8'!E10</f>
        <v>886051</v>
      </c>
      <c r="C4124" s="2" t="s">
        <v>594</v>
      </c>
      <c r="D4124" s="2" t="str">
        <f t="shared" si="63"/>
        <v>Error?</v>
      </c>
    </row>
    <row r="4125" spans="1:4" x14ac:dyDescent="0.2">
      <c r="A4125" s="5">
        <v>4064</v>
      </c>
      <c r="B4125" s="138">
        <f>'Acct Summary 7-8'!F10</f>
        <v>558943</v>
      </c>
      <c r="C4125" s="2" t="s">
        <v>594</v>
      </c>
      <c r="D4125" s="2" t="str">
        <f t="shared" si="63"/>
        <v>Error?</v>
      </c>
    </row>
    <row r="4126" spans="1:4" x14ac:dyDescent="0.2">
      <c r="A4126" s="5">
        <v>4065</v>
      </c>
      <c r="B4126" s="138">
        <f>'Acct Summary 7-8'!G10</f>
        <v>446978</v>
      </c>
      <c r="C4126" s="2" t="s">
        <v>594</v>
      </c>
      <c r="D4126" s="2" t="str">
        <f t="shared" si="63"/>
        <v>Error?</v>
      </c>
    </row>
    <row r="4127" spans="1:4" x14ac:dyDescent="0.2">
      <c r="A4127" s="5">
        <v>4066</v>
      </c>
      <c r="B4127" s="138">
        <f>'Acct Summary 7-8'!H10</f>
        <v>176</v>
      </c>
      <c r="C4127" s="2" t="s">
        <v>594</v>
      </c>
      <c r="D4127" s="2" t="str">
        <f t="shared" si="63"/>
        <v>Error?</v>
      </c>
    </row>
    <row r="4128" spans="1:4" x14ac:dyDescent="0.2">
      <c r="A4128" s="5">
        <v>4067</v>
      </c>
      <c r="B4128" s="138">
        <f>'Acct Summary 7-8'!I10</f>
        <v>144235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141738</v>
      </c>
      <c r="C4130" s="2" t="s">
        <v>594</v>
      </c>
      <c r="D4130" s="2" t="str">
        <f t="shared" si="63"/>
        <v>Error?</v>
      </c>
    </row>
    <row r="4131" spans="1:4" x14ac:dyDescent="0.2">
      <c r="A4131" s="5">
        <v>4070</v>
      </c>
      <c r="B4131" s="138">
        <f>'Acct Summary 7-8'!C18</f>
        <v>2739970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8538154</v>
      </c>
      <c r="C4136" s="2" t="s">
        <v>594</v>
      </c>
      <c r="D4136" s="2" t="str">
        <f t="shared" si="63"/>
        <v>Error?</v>
      </c>
    </row>
    <row r="4137" spans="1:4" x14ac:dyDescent="0.2">
      <c r="A4137" s="5">
        <v>4076</v>
      </c>
      <c r="B4137" s="138">
        <f>'Acct Summary 7-8'!D19</f>
        <v>629926</v>
      </c>
      <c r="C4137" s="2" t="s">
        <v>594</v>
      </c>
      <c r="D4137" s="2" t="str">
        <f t="shared" si="63"/>
        <v>Error?</v>
      </c>
    </row>
    <row r="4138" spans="1:4" x14ac:dyDescent="0.2">
      <c r="A4138" s="5">
        <v>4077</v>
      </c>
      <c r="B4138" s="138">
        <f>'Acct Summary 7-8'!E19</f>
        <v>776130</v>
      </c>
      <c r="C4138" s="2" t="s">
        <v>594</v>
      </c>
      <c r="D4138" s="2" t="str">
        <f t="shared" si="63"/>
        <v>Error?</v>
      </c>
    </row>
    <row r="4139" spans="1:4" x14ac:dyDescent="0.2">
      <c r="A4139" s="5">
        <v>4078</v>
      </c>
      <c r="B4139" s="138">
        <f>'Acct Summary 7-8'!F19</f>
        <v>411074</v>
      </c>
      <c r="C4139" s="2" t="s">
        <v>594</v>
      </c>
      <c r="D4139" s="2" t="str">
        <f t="shared" si="63"/>
        <v>Error?</v>
      </c>
    </row>
    <row r="4140" spans="1:4" x14ac:dyDescent="0.2">
      <c r="A4140" s="5">
        <v>4079</v>
      </c>
      <c r="B4140" s="138">
        <f>'Acct Summary 7-8'!G19</f>
        <v>254735</v>
      </c>
      <c r="C4140" s="2" t="s">
        <v>594</v>
      </c>
      <c r="D4140" s="2" t="str">
        <f t="shared" si="63"/>
        <v>Error?</v>
      </c>
    </row>
    <row r="4141" spans="1:4" x14ac:dyDescent="0.2">
      <c r="A4141" s="5">
        <v>4080</v>
      </c>
      <c r="B4141" s="138">
        <f>'Acct Summary 7-8'!H19</f>
        <v>45742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22665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1515233</v>
      </c>
      <c r="C4171" s="2" t="s">
        <v>594</v>
      </c>
      <c r="D4171" s="2" t="str">
        <f t="shared" si="64"/>
        <v>Error?</v>
      </c>
    </row>
    <row r="4172" spans="1:4" x14ac:dyDescent="0.2">
      <c r="A4172" s="5">
        <v>4111</v>
      </c>
      <c r="B4172" s="138">
        <f>'Short-Term Long-Term Debt 24'!J49</f>
        <v>1255034</v>
      </c>
      <c r="C4172" s="2" t="s">
        <v>594</v>
      </c>
      <c r="D4172" s="2" t="str">
        <f t="shared" si="64"/>
        <v>Error?</v>
      </c>
    </row>
    <row r="4173" spans="1:4" x14ac:dyDescent="0.2">
      <c r="A4173" s="5">
        <v>4112</v>
      </c>
      <c r="B4173" s="138">
        <f>'Short-Term Long-Term Debt 24'!H49</f>
        <v>725500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20400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1569.9999999999998</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1940</v>
      </c>
      <c r="C4268" s="2" t="s">
        <v>594</v>
      </c>
      <c r="D4268" s="2" t="str">
        <f t="shared" si="65"/>
        <v>Error?</v>
      </c>
    </row>
    <row r="4269" spans="1:5" x14ac:dyDescent="0.2">
      <c r="A4269" s="12">
        <v>4208</v>
      </c>
      <c r="B4269" s="138">
        <f>'FP Info 3'!J16</f>
        <v>5700231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28276</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9026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24539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24560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246830892</v>
      </c>
      <c r="D4995" s="2" t="str">
        <f t="shared" si="77"/>
        <v>Error?</v>
      </c>
    </row>
    <row r="4996" spans="1:4" x14ac:dyDescent="0.2">
      <c r="A4996" s="12">
        <v>4935</v>
      </c>
      <c r="B4996" s="138">
        <f>'FP Info 3'!H31</f>
        <v>17031331.548</v>
      </c>
      <c r="D4996" s="2" t="str">
        <f t="shared" si="77"/>
        <v>Error?</v>
      </c>
    </row>
    <row r="4997" spans="1:4" x14ac:dyDescent="0.2">
      <c r="A4997" s="12">
        <v>4936</v>
      </c>
      <c r="B4997" s="138">
        <f>'FP Info 3'!H37</f>
        <v>1515233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30000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4359660</v>
      </c>
      <c r="D5061" s="2" t="str">
        <f t="shared" si="78"/>
        <v>Error?</v>
      </c>
    </row>
    <row r="5062" spans="1:4" x14ac:dyDescent="0.2">
      <c r="A5062" s="10">
        <v>5001</v>
      </c>
      <c r="D5062" s="2" t="str">
        <f t="shared" si="78"/>
        <v>OK</v>
      </c>
    </row>
    <row r="5063" spans="1:4" x14ac:dyDescent="0.2">
      <c r="A5063" s="5">
        <v>5002</v>
      </c>
      <c r="B5063" s="138">
        <f>'Revenues 9-14'!C7</f>
        <v>55537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4445197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232502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232502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6622</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6622</v>
      </c>
      <c r="C5087" s="2" t="s">
        <v>594</v>
      </c>
      <c r="D5087" s="2" t="str">
        <f t="shared" si="78"/>
        <v>Error?</v>
      </c>
    </row>
    <row r="5088" spans="1:4" x14ac:dyDescent="0.2">
      <c r="A5088" s="5">
        <v>5027</v>
      </c>
      <c r="B5088" s="138">
        <f>'Revenues 9-14'!C65</f>
        <v>3152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3152</v>
      </c>
      <c r="C5090" s="2" t="s">
        <v>594</v>
      </c>
      <c r="D5090" s="2" t="str">
        <f t="shared" si="78"/>
        <v>Error?</v>
      </c>
    </row>
    <row r="5091" spans="1:4" x14ac:dyDescent="0.2">
      <c r="A5091" s="5">
        <v>5030</v>
      </c>
      <c r="B5091" s="138">
        <f>'Revenues 9-14'!C70</f>
        <v>8111</v>
      </c>
      <c r="D5091" s="2" t="str">
        <f t="shared" si="78"/>
        <v>Error?</v>
      </c>
    </row>
    <row r="5092" spans="1:4" x14ac:dyDescent="0.2">
      <c r="A5092" s="5">
        <v>5031</v>
      </c>
      <c r="B5092" s="138">
        <f>'Revenues 9-14'!C71</f>
        <v>17777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3471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116418</v>
      </c>
      <c r="C5096" s="2" t="s">
        <v>594</v>
      </c>
      <c r="D5096" s="2" t="str">
        <f t="shared" si="78"/>
        <v>Error?</v>
      </c>
    </row>
    <row r="5097" spans="1:4" x14ac:dyDescent="0.2">
      <c r="A5097" s="5">
        <v>5036</v>
      </c>
      <c r="B5097" s="138">
        <f>'Revenues 9-14'!C77</f>
        <v>12092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448</v>
      </c>
      <c r="D5101" s="2" t="str">
        <f t="shared" si="78"/>
        <v>Error?</v>
      </c>
    </row>
    <row r="5102" spans="1:4" x14ac:dyDescent="0.2">
      <c r="A5102" s="5">
        <v>5041</v>
      </c>
      <c r="B5102" s="138">
        <f>'Revenues 9-14'!C82</f>
        <v>13440</v>
      </c>
      <c r="C5102" s="2" t="s">
        <v>594</v>
      </c>
      <c r="D5102" s="2" t="str">
        <f t="shared" si="78"/>
        <v>Error?</v>
      </c>
    </row>
    <row r="5103" spans="1:4" x14ac:dyDescent="0.2">
      <c r="A5103" s="5">
        <v>5042</v>
      </c>
      <c r="B5103" s="138">
        <f>'Revenues 9-14'!C84</f>
        <v>31482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31482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84557</v>
      </c>
      <c r="D5118" s="2" t="str">
        <f t="shared" si="78"/>
        <v>Error?</v>
      </c>
    </row>
    <row r="5119" spans="1:4" x14ac:dyDescent="0.2">
      <c r="A5119" s="5">
        <v>5058</v>
      </c>
      <c r="B5119" s="138">
        <f>'Revenues 9-14'!C107</f>
        <v>66739</v>
      </c>
      <c r="D5119" s="2" t="str">
        <f t="shared" ref="D5119:D5182" si="79">IF(ISBLANK(B5119),"OK",IF(A5119-B5119=0,"OK","Error?"))</f>
        <v>Error?</v>
      </c>
    </row>
    <row r="5120" spans="1:4" x14ac:dyDescent="0.2">
      <c r="A5120" s="5">
        <v>5059</v>
      </c>
      <c r="B5120" s="138">
        <f>'Revenues 9-14'!C108</f>
        <v>152318</v>
      </c>
      <c r="C5120" s="2" t="s">
        <v>594</v>
      </c>
      <c r="D5120" s="2" t="str">
        <f t="shared" si="79"/>
        <v>Error?</v>
      </c>
    </row>
    <row r="5121" spans="1:4" x14ac:dyDescent="0.2">
      <c r="A5121" s="5">
        <v>5060</v>
      </c>
      <c r="B5121" s="138">
        <f>'Revenues 9-14'!C109</f>
        <v>5001131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674691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674691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47473</v>
      </c>
      <c r="D5134" s="2" t="str">
        <f t="shared" si="79"/>
        <v>Error?</v>
      </c>
    </row>
    <row r="5135" spans="1:4" x14ac:dyDescent="0.2">
      <c r="A5135" s="5">
        <v>5074</v>
      </c>
      <c r="B5135" s="138">
        <f>'Revenues 9-14'!C126</f>
        <v>52185</v>
      </c>
      <c r="D5135" s="2" t="str">
        <f t="shared" si="79"/>
        <v>Error?</v>
      </c>
    </row>
    <row r="5136" spans="1:4" x14ac:dyDescent="0.2">
      <c r="A5136" s="10">
        <v>5075</v>
      </c>
      <c r="D5136" s="2" t="str">
        <f t="shared" si="79"/>
        <v>OK</v>
      </c>
    </row>
    <row r="5137" spans="1:4" x14ac:dyDescent="0.2">
      <c r="A5137" s="5">
        <v>5076</v>
      </c>
      <c r="B5137" s="138">
        <f>'Revenues 9-14'!C127</f>
        <v>26308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439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126405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20400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2316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202762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351883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1026574</v>
      </c>
      <c r="C5223" s="2" t="s">
        <v>594</v>
      </c>
      <c r="D5223" s="2" t="str">
        <f t="shared" si="80"/>
        <v>Error?</v>
      </c>
    </row>
    <row r="5224" spans="1:4" x14ac:dyDescent="0.2">
      <c r="A5224" s="5">
        <v>5163</v>
      </c>
      <c r="B5224" s="138">
        <f>'Revenues 9-14'!C176</f>
        <v>28514</v>
      </c>
      <c r="D5224" s="2" t="str">
        <f t="shared" si="80"/>
        <v>Error?</v>
      </c>
    </row>
    <row r="5225" spans="1:4" x14ac:dyDescent="0.2">
      <c r="A5225" s="5">
        <v>5164</v>
      </c>
      <c r="B5225" s="138">
        <f>'Revenues 9-14'!C178</f>
        <v>28514</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142567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28720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199563</v>
      </c>
      <c r="C5246" s="2" t="s">
        <v>594</v>
      </c>
      <c r="D5246" s="2" t="str">
        <f t="shared" si="80"/>
        <v>Error?</v>
      </c>
    </row>
    <row r="5247" spans="1:4" x14ac:dyDescent="0.2">
      <c r="A5247" s="5">
        <v>5186</v>
      </c>
      <c r="B5247" s="138">
        <f>'Revenues 9-14'!C203</f>
        <v>112811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112811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135082</v>
      </c>
      <c r="D5278" s="2" t="str">
        <f t="shared" si="81"/>
        <v>Error?</v>
      </c>
    </row>
    <row r="5279" spans="1:4" x14ac:dyDescent="0.2">
      <c r="A5279" s="5">
        <v>5218</v>
      </c>
      <c r="B5279" s="138">
        <f>'Revenues 9-14'!C221</f>
        <v>36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135118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505617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534131</v>
      </c>
      <c r="C5326" s="2" t="s">
        <v>594</v>
      </c>
      <c r="D5326" s="2" t="str">
        <f t="shared" si="82"/>
        <v>Error?</v>
      </c>
    </row>
    <row r="5327" spans="1:4" x14ac:dyDescent="0.2">
      <c r="A5327" s="5">
        <v>5266</v>
      </c>
      <c r="B5327" s="138">
        <f>'Revenues 9-14'!C275</f>
        <v>6561836</v>
      </c>
      <c r="C5327" s="2" t="s">
        <v>594</v>
      </c>
      <c r="D5327" s="2" t="str">
        <f t="shared" si="82"/>
        <v>Error?</v>
      </c>
    </row>
    <row r="5328" spans="1:4" x14ac:dyDescent="0.2">
      <c r="A5328" s="5">
        <v>5267</v>
      </c>
      <c r="B5328" s="138">
        <f>'Revenues 9-14'!D5</f>
        <v>694212</v>
      </c>
      <c r="D5328" s="2" t="str">
        <f t="shared" si="82"/>
        <v>Error?</v>
      </c>
    </row>
    <row r="5329" spans="1:4" x14ac:dyDescent="0.2">
      <c r="A5329" s="10">
        <v>5268</v>
      </c>
      <c r="D5329" s="2" t="str">
        <f t="shared" si="82"/>
        <v>OK</v>
      </c>
    </row>
    <row r="5330" spans="1:4" x14ac:dyDescent="0.2">
      <c r="A5330" s="5">
        <v>5269</v>
      </c>
      <c r="B5330" s="138">
        <f>'Revenues 9-14'!D6</f>
        <v>81073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775285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1997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1997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300</v>
      </c>
      <c r="C5355" s="2" t="s">
        <v>594</v>
      </c>
      <c r="D5355" s="2" t="str">
        <f t="shared" si="82"/>
        <v>Error?</v>
      </c>
    </row>
    <row r="5356" spans="1:4" x14ac:dyDescent="0.2">
      <c r="A5356" s="5">
        <v>5295</v>
      </c>
      <c r="B5356" s="138">
        <f>'Revenues 9-14'!D109</f>
        <v>777582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777582</v>
      </c>
      <c r="C5508" s="2" t="s">
        <v>594</v>
      </c>
      <c r="D5508" s="2" t="str">
        <f t="shared" si="85"/>
        <v>Error?</v>
      </c>
    </row>
    <row r="5509" spans="1:4" x14ac:dyDescent="0.2">
      <c r="A5509" s="5">
        <v>5448</v>
      </c>
      <c r="B5509" s="138">
        <f>'Revenues 9-14'!E5</f>
        <v>885567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885567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484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886051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886051</v>
      </c>
      <c r="C5552" s="2" t="s">
        <v>594</v>
      </c>
      <c r="D5552" s="2" t="str">
        <f t="shared" si="85"/>
        <v>Error?</v>
      </c>
    </row>
    <row r="5553" spans="1:4" x14ac:dyDescent="0.2">
      <c r="A5553" s="5">
        <v>5492</v>
      </c>
      <c r="B5553" s="138">
        <f>'Revenues 9-14'!F5</f>
        <v>333224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333224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819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819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334043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21143</v>
      </c>
      <c r="D5615" s="2" t="str">
        <f t="shared" si="86"/>
        <v>Error?</v>
      </c>
    </row>
    <row r="5616" spans="1:4" x14ac:dyDescent="0.2">
      <c r="A5616" s="10">
        <v>5555</v>
      </c>
      <c r="D5616" s="2" t="str">
        <f t="shared" si="86"/>
        <v>OK</v>
      </c>
    </row>
    <row r="5617" spans="1:4" x14ac:dyDescent="0.2">
      <c r="A5617" s="5">
        <v>5556</v>
      </c>
      <c r="B5617" s="138">
        <f>'Revenues 9-14'!F152</f>
        <v>203757</v>
      </c>
      <c r="D5617" s="2" t="str">
        <f t="shared" si="86"/>
        <v>Error?</v>
      </c>
    </row>
    <row r="5618" spans="1:4" x14ac:dyDescent="0.2">
      <c r="A5618" s="5">
        <v>5557</v>
      </c>
      <c r="B5618" s="138">
        <f>'Revenues 9-14'!F154</f>
        <v>224900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224900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224900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558943</v>
      </c>
      <c r="C5720" s="2" t="s">
        <v>594</v>
      </c>
      <c r="D5720" s="2" t="str">
        <f t="shared" si="88"/>
        <v>Error?</v>
      </c>
    </row>
    <row r="5721" spans="1:4" x14ac:dyDescent="0.2">
      <c r="A5721" s="5">
        <v>5660</v>
      </c>
      <c r="B5721" s="138">
        <f>'Revenues 9-14'!G5</f>
        <v>222621</v>
      </c>
      <c r="D5721" s="2" t="str">
        <f t="shared" si="88"/>
        <v>Error?</v>
      </c>
    </row>
    <row r="5722" spans="1:4" x14ac:dyDescent="0.2">
      <c r="A5722" s="5">
        <v>5661</v>
      </c>
      <c r="B5722" s="138">
        <f>'Revenues 9-14'!G7</f>
        <v>0</v>
      </c>
      <c r="D5722" s="2" t="str">
        <f t="shared" si="88"/>
        <v>Error?</v>
      </c>
    </row>
    <row r="5723" spans="1:4" x14ac:dyDescent="0.2">
      <c r="A5723" s="5">
        <v>5662</v>
      </c>
      <c r="B5723" s="138">
        <f>'Revenues 9-14'!G8</f>
        <v>212523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435144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11000</v>
      </c>
      <c r="C5730" s="2" t="s">
        <v>594</v>
      </c>
      <c r="D5730" s="2" t="str">
        <f t="shared" si="88"/>
        <v>Error?</v>
      </c>
    </row>
    <row r="5731" spans="1:4" x14ac:dyDescent="0.2">
      <c r="A5731" s="5">
        <v>5670</v>
      </c>
      <c r="B5731" s="138">
        <f>'Revenues 9-14'!G65</f>
        <v>834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834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446978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176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176</v>
      </c>
      <c r="C5915" s="2" t="s">
        <v>594</v>
      </c>
      <c r="D5915" s="2" t="str">
        <f t="shared" si="91"/>
        <v>Error?</v>
      </c>
    </row>
    <row r="5916" spans="1:4" x14ac:dyDescent="0.2">
      <c r="A5916" s="5">
        <v>5855</v>
      </c>
      <c r="B5916" s="138">
        <f>'Revenues 9-14'!I5</f>
        <v>138843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138843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5392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5392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144235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138843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138843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2895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2895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141738</v>
      </c>
      <c r="C6023" s="2" t="s">
        <v>594</v>
      </c>
      <c r="D6023" s="2" t="str">
        <f t="shared" si="93"/>
        <v>Error?</v>
      </c>
    </row>
    <row r="6024" spans="1:5" x14ac:dyDescent="0.2">
      <c r="A6024" s="5">
        <v>5963</v>
      </c>
      <c r="B6024" s="138">
        <f>'Revenues 9-14'!G109</f>
        <v>446978</v>
      </c>
      <c r="C6024" s="2" t="s">
        <v>594</v>
      </c>
      <c r="D6024" s="2" t="str">
        <f t="shared" si="93"/>
        <v>Error?</v>
      </c>
    </row>
    <row r="6025" spans="1:5" x14ac:dyDescent="0.2">
      <c r="A6025" s="5">
        <v>5964</v>
      </c>
      <c r="B6025" s="138">
        <f>'Revenues 9-14'!H109</f>
        <v>176</v>
      </c>
      <c r="C6025" s="2" t="s">
        <v>594</v>
      </c>
      <c r="D6025" s="2" t="str">
        <f t="shared" si="93"/>
        <v>Error?</v>
      </c>
    </row>
    <row r="6026" spans="1:5" x14ac:dyDescent="0.2">
      <c r="A6026" s="5">
        <v>5965</v>
      </c>
      <c r="B6026" s="138">
        <f>'Revenues 9-14'!I109</f>
        <v>144235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141738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87059</v>
      </c>
      <c r="D6031" s="2" t="str">
        <f t="shared" si="93"/>
        <v>Error?</v>
      </c>
    </row>
    <row r="6032" spans="1:5" x14ac:dyDescent="0.2">
      <c r="A6032" s="5">
        <v>5971</v>
      </c>
      <c r="B6032" s="138">
        <f>'Acct Summary 7-8'!G15</f>
        <v>634</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28276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649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808593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5</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808588</v>
      </c>
      <c r="D6215" s="2" t="str">
        <f t="shared" si="96"/>
        <v>Error?</v>
      </c>
      <c r="E6215" s="2" t="s">
        <v>199</v>
      </c>
    </row>
    <row r="6216" spans="1:5" x14ac:dyDescent="0.2">
      <c r="A6216">
        <v>6155</v>
      </c>
      <c r="B6216" s="138">
        <f>'Assets-Liab 5-6'!J41</f>
        <v>808593</v>
      </c>
      <c r="D6216" s="2" t="str">
        <f t="shared" si="96"/>
        <v>Error?</v>
      </c>
      <c r="E6216" s="2" t="s">
        <v>199</v>
      </c>
    </row>
    <row r="6217" spans="1:5" x14ac:dyDescent="0.2">
      <c r="A6217">
        <v>6156</v>
      </c>
      <c r="B6217" s="138">
        <f>'Assets-Liab 5-6'!J4</f>
        <v>808593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822556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822556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822556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443090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443090</v>
      </c>
      <c r="D6229" s="2" t="str">
        <f t="shared" si="96"/>
        <v>Error?</v>
      </c>
      <c r="E6229" s="2" t="s">
        <v>199</v>
      </c>
    </row>
    <row r="6230" spans="1:5" x14ac:dyDescent="0.2">
      <c r="A6230">
        <v>6169</v>
      </c>
      <c r="B6230" s="138">
        <f>'Acct Summary 7-8'!J20</f>
        <v>379466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379466</v>
      </c>
      <c r="D6263" s="2" t="str">
        <f t="shared" si="96"/>
        <v>Error?</v>
      </c>
      <c r="E6263" s="2" t="s">
        <v>199</v>
      </c>
    </row>
    <row r="6264" spans="1:5" x14ac:dyDescent="0.2">
      <c r="A6264">
        <v>6203</v>
      </c>
      <c r="B6264" s="138">
        <f>'Acct Summary 7-8'!J79</f>
        <v>429122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808588</v>
      </c>
      <c r="D6266" s="2" t="str">
        <f t="shared" si="96"/>
        <v>Error?</v>
      </c>
      <c r="E6266" s="2" t="s">
        <v>199</v>
      </c>
    </row>
    <row r="6267" spans="1:5" x14ac:dyDescent="0.2">
      <c r="A6267">
        <v>6206</v>
      </c>
      <c r="B6267" s="138">
        <f>'Acct Summary 7-8'!C82</f>
        <v>745008</v>
      </c>
      <c r="D6267" s="2" t="str">
        <f t="shared" si="96"/>
        <v>Error?</v>
      </c>
      <c r="E6267" s="2" t="s">
        <v>199</v>
      </c>
    </row>
    <row r="6268" spans="1:5" x14ac:dyDescent="0.2">
      <c r="A6268">
        <v>6207</v>
      </c>
      <c r="B6268" s="138">
        <f>'Acct Summary 7-8'!D82</f>
        <v>152656</v>
      </c>
      <c r="D6268" s="2" t="str">
        <f t="shared" si="96"/>
        <v>Error?</v>
      </c>
      <c r="E6268" s="2" t="s">
        <v>199</v>
      </c>
    </row>
    <row r="6269" spans="1:5" x14ac:dyDescent="0.2">
      <c r="A6269">
        <v>6208</v>
      </c>
      <c r="B6269" s="138">
        <f>'Acct Summary 7-8'!E82</f>
        <v>128565</v>
      </c>
      <c r="D6269" s="2" t="str">
        <f t="shared" si="96"/>
        <v>Error?</v>
      </c>
      <c r="E6269" s="2" t="s">
        <v>199</v>
      </c>
    </row>
    <row r="6270" spans="1:5" x14ac:dyDescent="0.2">
      <c r="A6270">
        <v>6209</v>
      </c>
      <c r="B6270" s="138">
        <f>'Acct Summary 7-8'!F82</f>
        <v>147869</v>
      </c>
      <c r="D6270" s="2" t="str">
        <f t="shared" si="96"/>
        <v>Error?</v>
      </c>
      <c r="E6270" s="2" t="s">
        <v>199</v>
      </c>
    </row>
    <row r="6271" spans="1:5" x14ac:dyDescent="0.2">
      <c r="A6271">
        <v>6210</v>
      </c>
      <c r="B6271" s="138">
        <f>'Acct Summary 7-8'!G82</f>
        <v>192243</v>
      </c>
      <c r="D6271" s="2" t="str">
        <f t="shared" ref="D6271:D6334" si="97">IF(ISBLANK(B6271),"OK",IF(A6271-B6271=0,"OK","Error?"))</f>
        <v>Error?</v>
      </c>
      <c r="E6271" s="2" t="s">
        <v>199</v>
      </c>
    </row>
    <row r="6272" spans="1:5" x14ac:dyDescent="0.2">
      <c r="A6272">
        <v>6211</v>
      </c>
      <c r="B6272" s="138">
        <f>'Acct Summary 7-8'!H82</f>
        <v>-45566</v>
      </c>
      <c r="D6272" s="2" t="str">
        <f t="shared" si="97"/>
        <v>Error?</v>
      </c>
      <c r="E6272" s="2" t="s">
        <v>199</v>
      </c>
    </row>
    <row r="6273" spans="1:5" x14ac:dyDescent="0.2">
      <c r="A6273">
        <v>6212</v>
      </c>
      <c r="B6273" s="138">
        <f>'Acct Summary 7-8'!I82</f>
        <v>144235</v>
      </c>
      <c r="D6273" s="2" t="str">
        <f t="shared" si="97"/>
        <v>Error?</v>
      </c>
      <c r="E6273" s="2" t="s">
        <v>199</v>
      </c>
    </row>
    <row r="6274" spans="1:5" x14ac:dyDescent="0.2">
      <c r="A6274">
        <v>6213</v>
      </c>
      <c r="B6274" s="138">
        <f>'Acct Summary 7-8'!J82</f>
        <v>379466</v>
      </c>
      <c r="D6274" s="2" t="str">
        <f t="shared" si="97"/>
        <v>Error?</v>
      </c>
      <c r="E6274" s="2" t="s">
        <v>199</v>
      </c>
    </row>
    <row r="6275" spans="1:5" x14ac:dyDescent="0.2">
      <c r="A6275">
        <v>6214</v>
      </c>
      <c r="B6275" s="138">
        <f>'Acct Summary 7-8'!K82</f>
        <v>119073</v>
      </c>
      <c r="D6275" s="2" t="str">
        <f t="shared" si="97"/>
        <v>Error?</v>
      </c>
      <c r="E6275" s="2" t="s">
        <v>199</v>
      </c>
    </row>
    <row r="6276" spans="1:5" x14ac:dyDescent="0.2">
      <c r="A6276">
        <v>6215</v>
      </c>
      <c r="B6276" s="138">
        <f>'Acct Summary 7-8'!C83</f>
        <v>0.58589295024996524</v>
      </c>
      <c r="D6276" s="2" t="str">
        <f t="shared" si="97"/>
        <v>Error?</v>
      </c>
      <c r="E6276" s="2" t="s">
        <v>199</v>
      </c>
    </row>
    <row r="6277" spans="1:5" x14ac:dyDescent="0.2">
      <c r="A6277">
        <v>6216</v>
      </c>
      <c r="B6277" s="138">
        <f>'Acct Summary 7-8'!D83</f>
        <v>0.1256767258980202</v>
      </c>
      <c r="D6277" s="2" t="str">
        <f t="shared" si="97"/>
        <v>Error?</v>
      </c>
      <c r="E6277" s="2" t="s">
        <v>199</v>
      </c>
    </row>
    <row r="6278" spans="1:5" x14ac:dyDescent="0.2">
      <c r="A6278">
        <v>6217</v>
      </c>
      <c r="B6278" s="138">
        <f>'Acct Summary 7-8'!E83</f>
        <v>0.49410259070941859</v>
      </c>
      <c r="D6278" s="2" t="str">
        <f t="shared" si="97"/>
        <v>Error?</v>
      </c>
      <c r="E6278" s="2" t="s">
        <v>199</v>
      </c>
    </row>
    <row r="6279" spans="1:5" x14ac:dyDescent="0.2">
      <c r="A6279">
        <v>6218</v>
      </c>
      <c r="B6279" s="138">
        <f>'Acct Summary 7-8'!F83</f>
        <v>0.28347378995153671</v>
      </c>
      <c r="D6279" s="2" t="str">
        <f t="shared" si="97"/>
        <v>Error?</v>
      </c>
      <c r="E6279" s="2" t="s">
        <v>199</v>
      </c>
    </row>
    <row r="6280" spans="1:5" x14ac:dyDescent="0.2">
      <c r="A6280">
        <v>6219</v>
      </c>
      <c r="B6280" s="138">
        <f>'Acct Summary 7-8'!G83</f>
        <v>0.35618166760231446</v>
      </c>
      <c r="D6280" s="2" t="str">
        <f t="shared" si="97"/>
        <v>Error?</v>
      </c>
      <c r="E6280" s="2" t="s">
        <v>199</v>
      </c>
    </row>
    <row r="6281" spans="1:5" x14ac:dyDescent="0.2">
      <c r="A6281">
        <v>6220</v>
      </c>
      <c r="B6281" s="138">
        <f>'Acct Summary 7-8'!H83</f>
        <v>-0.48067429005443268</v>
      </c>
      <c r="D6281" s="2" t="str">
        <f t="shared" si="97"/>
        <v>Error?</v>
      </c>
      <c r="E6281" s="2" t="s">
        <v>199</v>
      </c>
    </row>
    <row r="6282" spans="1:5" x14ac:dyDescent="0.2">
      <c r="A6282">
        <v>6221</v>
      </c>
      <c r="B6282" s="138">
        <f>'Acct Summary 7-8'!I83</f>
        <v>5.357215815180047E-2</v>
      </c>
      <c r="D6282" s="2" t="str">
        <f t="shared" si="97"/>
        <v>Error?</v>
      </c>
      <c r="E6282" s="2" t="s">
        <v>199</v>
      </c>
    </row>
    <row r="6283" spans="1:5" x14ac:dyDescent="0.2">
      <c r="A6283">
        <v>6222</v>
      </c>
      <c r="B6283" s="138">
        <f>'Acct Summary 7-8'!J83</f>
        <v>0.46929462223035712</v>
      </c>
      <c r="D6283" s="2" t="str">
        <f t="shared" si="97"/>
        <v>Error?</v>
      </c>
      <c r="E6283" s="2" t="s">
        <v>199</v>
      </c>
    </row>
    <row r="6284" spans="1:5" x14ac:dyDescent="0.2">
      <c r="A6284">
        <v>6223</v>
      </c>
      <c r="B6284" s="138">
        <f>'Acct Summary 7-8'!K83</f>
        <v>8.4027962039823184E-2</v>
      </c>
      <c r="D6284" s="2" t="str">
        <f t="shared" si="97"/>
        <v>Error?</v>
      </c>
      <c r="E6284" s="2" t="s">
        <v>199</v>
      </c>
    </row>
    <row r="6285" spans="1:5" x14ac:dyDescent="0.2">
      <c r="A6285">
        <v>6224</v>
      </c>
      <c r="B6285" s="138">
        <f>'Acct Summary 7-8'!E37</f>
        <v>17500</v>
      </c>
      <c r="D6285" s="2" t="str">
        <f t="shared" si="97"/>
        <v>Error?</v>
      </c>
      <c r="E6285" s="2" t="s">
        <v>199</v>
      </c>
    </row>
    <row r="6286" spans="1:5" x14ac:dyDescent="0.2">
      <c r="A6286">
        <v>6225</v>
      </c>
      <c r="B6286" s="138">
        <f>'Acct Summary 7-8'!E38</f>
        <v>1144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821287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821287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1269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1269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822556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90678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111369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16626</v>
      </c>
      <c r="D7014" s="2" t="str">
        <f t="shared" si="108"/>
        <v>Error?</v>
      </c>
    </row>
    <row r="7015" spans="1:4" x14ac:dyDescent="0.2">
      <c r="A7015">
        <v>6954</v>
      </c>
      <c r="B7015" s="138">
        <f>'Expenditures 15-22'!K101</f>
        <v>16626</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443090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822556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5686</v>
      </c>
      <c r="D7073" s="2" t="str">
        <f t="shared" si="109"/>
        <v>Error?</v>
      </c>
    </row>
    <row r="7074" spans="1:4" x14ac:dyDescent="0.2">
      <c r="A7074">
        <v>7013</v>
      </c>
      <c r="B7074" s="138">
        <f>'Expenditures 15-22'!K216</f>
        <v>5686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40757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40757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9138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9138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161596</v>
      </c>
      <c r="D7172" s="2" t="str">
        <f t="shared" si="111"/>
        <v>Error?</v>
      </c>
    </row>
    <row r="7173" spans="1:4" x14ac:dyDescent="0.2">
      <c r="A7173">
        <v>7112</v>
      </c>
      <c r="B7173" s="138">
        <f>'Expenditures 15-22'!D325</f>
        <v>40013</v>
      </c>
      <c r="D7173" s="2" t="str">
        <f t="shared" si="111"/>
        <v>Error?</v>
      </c>
    </row>
    <row r="7174" spans="1:4" x14ac:dyDescent="0.2">
      <c r="A7174">
        <v>7113</v>
      </c>
      <c r="B7174" s="138">
        <f>'Expenditures 15-22'!E325</f>
        <v>91498</v>
      </c>
      <c r="D7174" s="2" t="str">
        <f t="shared" si="111"/>
        <v>Error?</v>
      </c>
    </row>
    <row r="7175" spans="1:4" x14ac:dyDescent="0.2">
      <c r="A7175">
        <v>7114</v>
      </c>
      <c r="B7175" s="138">
        <f>'Expenditures 15-22'!F325</f>
        <v>1017</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294124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40825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40825</v>
      </c>
      <c r="D7198" s="2" t="str">
        <f t="shared" si="111"/>
        <v>Error?</v>
      </c>
    </row>
    <row r="7199" spans="1:4" x14ac:dyDescent="0.2">
      <c r="A7199">
        <v>7138</v>
      </c>
      <c r="B7199" s="138">
        <f>'Expenditures 15-22'!C330</f>
        <v>161596</v>
      </c>
      <c r="D7199" s="2" t="str">
        <f t="shared" si="111"/>
        <v>Error?</v>
      </c>
    </row>
    <row r="7200" spans="1:4" x14ac:dyDescent="0.2">
      <c r="A7200">
        <v>7139</v>
      </c>
      <c r="B7200" s="138">
        <f>'Expenditures 15-22'!D330</f>
        <v>40013</v>
      </c>
      <c r="D7200" s="2" t="str">
        <f t="shared" si="111"/>
        <v>Error?</v>
      </c>
    </row>
    <row r="7201" spans="1:4" x14ac:dyDescent="0.2">
      <c r="A7201">
        <v>7140</v>
      </c>
      <c r="B7201" s="138">
        <f>'Expenditures 15-22'!E330</f>
        <v>240464</v>
      </c>
      <c r="D7201" s="2" t="str">
        <f t="shared" si="111"/>
        <v>Error?</v>
      </c>
    </row>
    <row r="7202" spans="1:4" x14ac:dyDescent="0.2">
      <c r="A7202">
        <v>7141</v>
      </c>
      <c r="B7202" s="138">
        <f>'Expenditures 15-22'!F330</f>
        <v>1017</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443090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161596</v>
      </c>
      <c r="D7216" s="2" t="str">
        <f t="shared" si="111"/>
        <v>Error?</v>
      </c>
    </row>
    <row r="7217" spans="1:4" x14ac:dyDescent="0.2">
      <c r="A7217">
        <v>7156</v>
      </c>
      <c r="B7217" s="138">
        <f>'Expenditures 15-22'!D342</f>
        <v>40013</v>
      </c>
      <c r="D7217" s="2" t="str">
        <f t="shared" si="111"/>
        <v>Error?</v>
      </c>
    </row>
    <row r="7218" spans="1:4" x14ac:dyDescent="0.2">
      <c r="A7218">
        <v>7157</v>
      </c>
      <c r="B7218" s="138">
        <f>'Expenditures 15-22'!E342</f>
        <v>240464</v>
      </c>
      <c r="D7218" s="2" t="str">
        <f t="shared" si="111"/>
        <v>Error?</v>
      </c>
    </row>
    <row r="7219" spans="1:4" x14ac:dyDescent="0.2">
      <c r="A7219">
        <v>7158</v>
      </c>
      <c r="B7219" s="138">
        <f>'Expenditures 15-22'!F342</f>
        <v>1017</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443090</v>
      </c>
      <c r="D7224" s="2" t="str">
        <f t="shared" si="111"/>
        <v>Error?</v>
      </c>
    </row>
    <row r="7225" spans="1:4" x14ac:dyDescent="0.2">
      <c r="A7225">
        <v>7164</v>
      </c>
      <c r="B7225" s="138">
        <f>'Expenditures 15-22'!K343</f>
        <v>379466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17939</v>
      </c>
      <c r="D7246" s="2" t="str">
        <f t="shared" si="112"/>
        <v>Error?</v>
      </c>
    </row>
    <row r="7247" spans="1:4" x14ac:dyDescent="0.2">
      <c r="A7247">
        <f t="shared" si="113"/>
        <v>7186</v>
      </c>
      <c r="B7247" s="138">
        <f>'Expenditures 15-22'!E7</f>
        <v>690</v>
      </c>
      <c r="D7247" s="2" t="str">
        <f t="shared" si="112"/>
        <v>Error?</v>
      </c>
    </row>
    <row r="7248" spans="1:4" x14ac:dyDescent="0.2">
      <c r="A7248">
        <f t="shared" si="113"/>
        <v>7187</v>
      </c>
      <c r="B7248" s="138">
        <f>'Expenditures 15-22'!F7</f>
        <v>2062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t="str">
        <f>'Expenditures 15-22'!F9</f>
        <v xml:space="preserve">
</v>
      </c>
      <c r="D7254" s="2" t="e">
        <f t="shared" si="112"/>
        <v>#VALUE!</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344244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17500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1144</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58246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58246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55537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135573</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60573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F38" sqref="AF3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Pontiac-W Holliday SD 105</v>
      </c>
      <c r="B7" s="2423"/>
      <c r="C7" s="2423"/>
      <c r="D7" s="2424"/>
      <c r="E7" s="2425">
        <f>COVER!A13</f>
        <v>50082105002</v>
      </c>
      <c r="F7" s="2426"/>
      <c r="G7" s="2432" t="str">
        <f>COVER!T23</f>
        <v>066-005060</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DENNIS ROSE &amp; ASSOCIATES, P.C.</v>
      </c>
      <c r="H9" s="2438"/>
      <c r="I9" s="2438"/>
      <c r="J9" s="2438"/>
      <c r="K9" s="2438"/>
      <c r="L9" s="2439"/>
    </row>
    <row r="10" spans="1:29" ht="13.5" customHeight="1" x14ac:dyDescent="0.2">
      <c r="A10" s="2412">
        <f>COVER!A38</f>
        <v>0</v>
      </c>
      <c r="B10" s="2413"/>
      <c r="C10" s="2413"/>
      <c r="D10" s="2413"/>
      <c r="E10" s="2413"/>
      <c r="F10" s="2414"/>
      <c r="G10" s="2406" t="str">
        <f>COVER!T17</f>
        <v xml:space="preserve">1904 STATE STREET </v>
      </c>
      <c r="H10" s="2407"/>
      <c r="I10" s="2407"/>
      <c r="J10" s="2407"/>
      <c r="K10" s="2407"/>
      <c r="L10" s="2408"/>
    </row>
    <row r="11" spans="1:29" ht="13.5" customHeight="1" x14ac:dyDescent="0.2">
      <c r="A11" s="1185" t="s">
        <v>1599</v>
      </c>
      <c r="B11" s="1186"/>
      <c r="C11" s="1187"/>
      <c r="D11" s="1192"/>
      <c r="E11" s="1187"/>
      <c r="F11" s="1191"/>
      <c r="G11" s="2406" t="str">
        <f>COVER!T19</f>
        <v>ALTON</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DROSECPA@DRA-CPA.COM</v>
      </c>
      <c r="J13" s="2419"/>
      <c r="K13" s="2419"/>
      <c r="L13" s="2420"/>
    </row>
    <row r="14" spans="1:29" ht="13.5" customHeight="1" x14ac:dyDescent="0.2">
      <c r="A14" s="2406" t="str">
        <f>COVER!A19</f>
        <v>400 ASHLAND DR.</v>
      </c>
      <c r="B14" s="2407"/>
      <c r="C14" s="2407"/>
      <c r="D14" s="2407"/>
      <c r="E14" s="2407"/>
      <c r="F14" s="2408"/>
      <c r="G14" s="1196" t="s">
        <v>1247</v>
      </c>
      <c r="H14" s="1194"/>
      <c r="I14" s="1194"/>
      <c r="J14" s="1194"/>
      <c r="K14" s="1194"/>
      <c r="L14" s="1195"/>
    </row>
    <row r="15" spans="1:29" ht="13.5" customHeight="1" x14ac:dyDescent="0.2">
      <c r="A15" s="2406" t="str">
        <f>COVER!A21</f>
        <v>FAIRVIEW HEIGHTS</v>
      </c>
      <c r="B15" s="2407"/>
      <c r="C15" s="2407"/>
      <c r="D15" s="2407"/>
      <c r="E15" s="2407"/>
      <c r="F15" s="2408"/>
      <c r="G15" s="2403" t="str">
        <f>COVER!T15</f>
        <v>DENNIS ROSE</v>
      </c>
      <c r="H15" s="2404"/>
      <c r="I15" s="2404"/>
      <c r="J15" s="2404"/>
      <c r="K15" s="2404"/>
      <c r="L15" s="2405"/>
    </row>
    <row r="16" spans="1:29" ht="12.2" customHeight="1" x14ac:dyDescent="0.2">
      <c r="A16" s="2428">
        <f>COVER!A25</f>
        <v>62208</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618-465-4999</v>
      </c>
      <c r="H18" s="2423"/>
      <c r="I18" s="2423"/>
      <c r="J18" s="2423"/>
      <c r="K18" s="2422" t="str">
        <f>COVER!X21</f>
        <v>618-465-5050</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5" firstPageNumber="35" fitToHeight="0" orientation="portrait" r:id="rId1"/>
  <headerFooter>
    <oddHeader xml:space="preserve">&amp;C
</oddHeader>
    <oddFooter>&amp;C&amp;"Times New Roman,Regular"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82" zoomScale="125" zoomScaleNormal="125" workbookViewId="0">
      <selection activeCell="I33" sqref="I3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Pontiac-W Holliday SD 105</v>
      </c>
      <c r="B1" s="2421"/>
      <c r="C1" s="2421"/>
      <c r="D1" s="2421"/>
    </row>
    <row r="2" spans="1:11" s="1215" customFormat="1" ht="12.75" x14ac:dyDescent="0.2">
      <c r="A2" s="2445">
        <f>'Single Audit Cover'!E7</f>
        <v>50082105002</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75" right="0.75" top="1" bottom="0.5" header="0.5" footer="0.5"/>
  <pageSetup scale="64" firstPageNumber="36" fitToHeight="0" orientation="portrait" r:id="rId5"/>
  <headerFooter>
    <oddFooter>&amp;C&amp;"Times New Roman,Regular"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Normal="110" zoomScaleSheetLayoutView="100" workbookViewId="0">
      <selection activeCell="H49" sqref="H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Pontiac-W Holliday SD 105</v>
      </c>
      <c r="B1" s="2448"/>
      <c r="C1" s="2448"/>
      <c r="D1" s="2448"/>
      <c r="E1" s="2448"/>
    </row>
    <row r="2" spans="1:5" x14ac:dyDescent="0.2">
      <c r="A2" s="2449">
        <f>'Single Audit Cover'!E7</f>
        <v>50082105002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534131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28276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-24539</v>
      </c>
    </row>
    <row r="19" spans="1:4" ht="13.5" thickBot="1" x14ac:dyDescent="0.25">
      <c r="A19" s="1265" t="s">
        <v>1297</v>
      </c>
      <c r="D19" s="1266">
        <f>SUM(D10:D17)</f>
        <v>537868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537868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537868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95" firstPageNumber="37" orientation="portrait" r:id="rId1"/>
  <headerFooter>
    <oddHeader xml:space="preserve">&amp;C
</oddHeader>
    <oddFooter>&amp;C&amp;"Times New Roman,Regular"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view="pageBreakPreview" zoomScale="60" zoomScaleNormal="120" workbookViewId="0">
      <selection activeCell="K57" sqref="K5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Pontiac-W Holliday SD 105</v>
      </c>
      <c r="B1" s="2461"/>
      <c r="C1" s="2461"/>
      <c r="D1" s="2461"/>
      <c r="E1" s="2461"/>
      <c r="F1" s="2461"/>
    </row>
    <row r="2" spans="1:7" ht="13.5" customHeight="1" x14ac:dyDescent="0.2">
      <c r="A2" s="2462">
        <f>'Single Audit Cover'!E7</f>
        <v>50082105002</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5">
        <f>+C33+C34</f>
        <v>0</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79" firstPageNumber="39" orientation="portrait" r:id="rId1"/>
  <headerFooter>
    <oddHeader xml:space="preserve">&amp;C
</oddHeader>
    <oddFooter>&amp;C&amp;"Times New Roman,Regular"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BreakPreview" topLeftCell="A7" zoomScale="60" zoomScaleNormal="100" workbookViewId="0">
      <selection activeCell="H18" sqref="H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Pontiac-W Holliday SD 105</v>
      </c>
      <c r="C1" s="2465"/>
      <c r="D1" s="2465"/>
      <c r="E1" s="2465"/>
      <c r="F1" s="2465"/>
      <c r="G1" s="2465"/>
      <c r="H1" s="2465"/>
      <c r="I1" s="2465"/>
      <c r="J1" s="2465"/>
      <c r="K1" s="2465"/>
      <c r="L1" s="2465"/>
      <c r="M1" s="2465"/>
    </row>
    <row r="2" spans="2:14" ht="15" x14ac:dyDescent="0.2">
      <c r="B2" s="2462">
        <f>'Single Audit Cover'!E7</f>
        <v>50082105002</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70" firstPageNumber="38" orientation="landscape" r:id="rId1"/>
  <headerFooter>
    <oddFooter>&amp;C&amp;"Times New Roman,Regular"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view="pageBreakPreview" topLeftCell="A89" colorId="8" zoomScaleNormal="110" zoomScaleSheetLayoutView="10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2079</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0.75" bottom="0.5" header="0.5" footer="0.5"/>
  <pageSetup scale="48" firstPageNumber="2" orientation="portrait" r:id="rId1"/>
  <headerFooter>
    <oddHeader>&amp;C&amp;"Times New Roman,Regular"PONTIAC-WILLIAM HOLLIDAY SCHOOL DISTRICT NO. 105</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BreakPreview" zoomScale="60" zoomScaleNormal="110" workbookViewId="0">
      <selection activeCell="H52" sqref="H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Pontiac-W Holliday SD 105</v>
      </c>
      <c r="C1" s="2480"/>
      <c r="D1" s="2480"/>
      <c r="E1" s="2480"/>
      <c r="F1" s="2480"/>
      <c r="G1" s="2480"/>
      <c r="H1" s="2480"/>
      <c r="I1" s="2480"/>
      <c r="J1" s="1422"/>
    </row>
    <row r="2" spans="2:10" s="317" customFormat="1" ht="12.75" customHeight="1" x14ac:dyDescent="0.2">
      <c r="B2" s="2481">
        <f>'Single Audit Cover'!E7</f>
        <v>50082105002</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1952</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9" firstPageNumber="40" orientation="portrait" r:id="rId1"/>
  <headerFooter>
    <oddFooter>&amp;C&amp;"Times New Roman,Regular"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BreakPreview" zoomScale="60" zoomScaleNormal="110" workbookViewId="0">
      <selection activeCell="N20" sqref="N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Pontiac-W Holliday SD 105</v>
      </c>
      <c r="C1" s="2479"/>
      <c r="D1" s="2479"/>
      <c r="E1" s="2479"/>
      <c r="F1" s="2479"/>
      <c r="G1" s="2479"/>
      <c r="H1" s="2479"/>
      <c r="I1" s="2479"/>
      <c r="J1" s="2479"/>
      <c r="K1" s="2479"/>
      <c r="L1" s="1374"/>
      <c r="M1" s="1374"/>
    </row>
    <row r="2" spans="1:13" ht="12" customHeight="1" x14ac:dyDescent="0.2">
      <c r="B2" s="2481">
        <f>'Single Audit Cover'!E7</f>
        <v>50082105002</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1"/>
  <headerFooter>
    <oddFooter>&amp;C&amp;"Times New Roman,Regular"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BreakPreview" topLeftCell="A11" zoomScale="60" zoomScaleNormal="110" workbookViewId="0">
      <selection activeCell="Q20" sqref="Q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Pontiac-W Holliday SD 105</v>
      </c>
      <c r="C1" s="2502"/>
      <c r="D1" s="2502"/>
      <c r="E1" s="2502"/>
      <c r="F1" s="2502"/>
      <c r="G1" s="2502"/>
      <c r="H1" s="2502"/>
      <c r="I1" s="2502"/>
      <c r="J1" s="2502"/>
      <c r="K1" s="2502"/>
      <c r="L1" s="1465"/>
    </row>
    <row r="2" spans="1:12" ht="12.75" customHeight="1" x14ac:dyDescent="0.2">
      <c r="B2" s="2503">
        <f>'Single Audit Cover'!E7</f>
        <v>50082105002</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5" firstPageNumber="42" orientation="portrait" r:id="rId1"/>
  <headerFooter>
    <oddFooter>&amp;C&amp;"Times New Roman,Regular"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BreakPreview" zoomScale="60" zoomScaleNormal="110" workbookViewId="0">
      <selection activeCell="D36" sqref="D3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Pontiac-W Holliday SD 105</v>
      </c>
      <c r="C1" s="2479"/>
      <c r="D1" s="2479"/>
      <c r="E1" s="1491"/>
    </row>
    <row r="2" spans="2:5" s="1282" customFormat="1" ht="12.75" customHeight="1" x14ac:dyDescent="0.2">
      <c r="B2" s="2481">
        <f>'Single Audit Cover'!E7</f>
        <v>50082105002</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Footer>&amp;C&amp;"Times New Roman,Regular"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zoomScaleSheetLayoutView="70" workbookViewId="0">
      <selection activeCell="J28" sqref="J2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246830892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1.5699999999999999E-2</v>
      </c>
      <c r="E10" s="356" t="s">
        <v>1062</v>
      </c>
      <c r="F10" s="355">
        <v>2.5000000000000001E-3</v>
      </c>
      <c r="G10" s="356" t="s">
        <v>1062</v>
      </c>
      <c r="H10" s="355">
        <v>1.1999999999999999E-3</v>
      </c>
      <c r="I10" s="356" t="s">
        <v>1063</v>
      </c>
      <c r="J10" s="1754">
        <f>ROUND(D10+F10+H10,5)</f>
        <v>1.9400000000000001E-2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8042596</v>
      </c>
      <c r="E16" s="356"/>
      <c r="F16" s="1755">
        <f>SUM('Acct Summary 7-8'!C17,'Acct Summary 7-8'!D17,'Acct Summary 7-8'!F17)</f>
        <v>6839184</v>
      </c>
      <c r="G16" s="356"/>
      <c r="H16" s="1755">
        <f>SUM(D16-F16)</f>
        <v>1203412</v>
      </c>
      <c r="I16" s="222"/>
      <c r="J16" s="1755">
        <f>SUM('Acct Summary 7-8'!C81,'Acct Summary 7-8'!D81,'Acct Summary 7-8'!F81,'Acct Summary 7-8'!I81)</f>
        <v>5700231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2095</v>
      </c>
      <c r="C31" s="367" t="s">
        <v>607</v>
      </c>
      <c r="D31" s="237" t="s">
        <v>1132</v>
      </c>
      <c r="E31" s="222"/>
      <c r="F31" s="222"/>
      <c r="G31" s="363"/>
      <c r="H31" s="1757">
        <f>IF(B31="X",(J7*0.069),IF(B32="X",(J7*0.138),"Enter x in a.or b."))</f>
        <v>17031331.548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1515233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75" right="0.75" top="1" bottom="0.5" header="0.5" footer="0.5"/>
  <pageSetup scale="91" firstPageNumber="3" orientation="portrait" r:id="rId1"/>
  <headerFooter>
    <oddHeader>&amp;C&amp;"Times New Roman,Regular"PONTIAC-WILLIAM HOLLIDAY SCHOOL DISTRICT NO. 105</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18" sqref="F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Pontiac-W Holliday SD 105</v>
      </c>
      <c r="E7" s="391"/>
      <c r="G7" s="252"/>
      <c r="H7" s="387"/>
      <c r="I7" s="387"/>
      <c r="J7" s="387"/>
      <c r="K7" s="387"/>
      <c r="L7" s="329"/>
      <c r="M7" s="329"/>
      <c r="N7" s="329"/>
      <c r="O7" s="329"/>
      <c r="P7" s="329"/>
    </row>
    <row r="8" spans="1:18" ht="12.75" x14ac:dyDescent="0.2">
      <c r="A8" s="329"/>
      <c r="B8" s="329"/>
      <c r="C8" s="389" t="s">
        <v>1187</v>
      </c>
      <c r="D8" s="392">
        <f>COVER!A13</f>
        <v>50082105002</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5700231</v>
      </c>
      <c r="I12" s="404"/>
      <c r="J12" s="404"/>
      <c r="K12" s="405">
        <f>TRUNC((H12/H13*100000),5)/100000</f>
        <v>0.7087551084</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8042596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6839184</v>
      </c>
      <c r="I17" s="404"/>
      <c r="J17" s="416"/>
      <c r="K17" s="405">
        <f>TRUNC((H17/H18*100000),5)/100000</f>
        <v>0.85037020380000006</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8042596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5700231</v>
      </c>
      <c r="I24" s="422"/>
      <c r="J24" s="422"/>
      <c r="K24" s="423">
        <f>TRUNC(((H24/H25*100000)/100000),2)</f>
        <v>300.04000000000002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18997.733329999999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4070241.4090800001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1515233</v>
      </c>
      <c r="I32" s="420"/>
      <c r="J32" s="420"/>
      <c r="K32" s="423">
        <f>TRUNC(100-((((H32/H33*100))*100)/100),2)</f>
        <v>91.1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17031331.548</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pageMargins left="0.75" right="0.75" top="1" bottom="0.5" header="0.5" footer="0.5"/>
  <pageSetup scale="78" firstPageNumber="4" orientation="landscape" r:id="rId3"/>
  <headerFooter>
    <oddHeader>&amp;C&amp;"Times New Roman,Regular"PONTIAC-WILLIAM HOLLIDAY SCHOOL DISTRICT NO. 105</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120" workbookViewId="0">
      <pane ySplit="2" topLeftCell="A9" activePane="bottomLeft" state="frozen"/>
      <selection activeCell="AF38" sqref="AF38"/>
      <selection pane="bottomLeft" activeCell="M19" sqref="M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1271577</v>
      </c>
      <c r="D4" s="466">
        <v>1214672</v>
      </c>
      <c r="E4" s="466">
        <v>260199</v>
      </c>
      <c r="F4" s="466">
        <v>521632</v>
      </c>
      <c r="G4" s="466">
        <v>539733</v>
      </c>
      <c r="H4" s="466">
        <v>94796</v>
      </c>
      <c r="I4" s="466">
        <v>2692350</v>
      </c>
      <c r="J4" s="467">
        <v>808593</v>
      </c>
      <c r="K4" s="466">
        <v>1417064</v>
      </c>
      <c r="L4" s="466">
        <v>38607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1271577</v>
      </c>
      <c r="D13" s="1759">
        <f t="shared" ref="D13:L13" si="0">SUM(D4:D12)</f>
        <v>1214672</v>
      </c>
      <c r="E13" s="1759">
        <f t="shared" si="0"/>
        <v>260199</v>
      </c>
      <c r="F13" s="1759">
        <f t="shared" si="0"/>
        <v>521632</v>
      </c>
      <c r="G13" s="1759">
        <f t="shared" si="0"/>
        <v>539733</v>
      </c>
      <c r="H13" s="1759">
        <f t="shared" si="0"/>
        <v>94796</v>
      </c>
      <c r="I13" s="1759">
        <f t="shared" si="0"/>
        <v>2692350</v>
      </c>
      <c r="J13" s="1759">
        <f t="shared" si="0"/>
        <v>808593</v>
      </c>
      <c r="K13" s="1759">
        <f t="shared" si="0"/>
        <v>1417064</v>
      </c>
      <c r="L13" s="1759">
        <f t="shared" si="0"/>
        <v>38607</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60065</v>
      </c>
      <c r="N16" s="484"/>
    </row>
    <row r="17" spans="1:14" s="485" customFormat="1" ht="12.75" customHeight="1" x14ac:dyDescent="0.2">
      <c r="A17" s="482" t="s">
        <v>1470</v>
      </c>
      <c r="B17" s="483">
        <v>230</v>
      </c>
      <c r="C17" s="477"/>
      <c r="D17" s="477"/>
      <c r="E17" s="477"/>
      <c r="F17" s="477"/>
      <c r="G17" s="477"/>
      <c r="H17" s="477"/>
      <c r="I17" s="477"/>
      <c r="J17" s="477"/>
      <c r="K17" s="477"/>
      <c r="L17" s="477"/>
      <c r="M17" s="467">
        <v>13219824</v>
      </c>
      <c r="N17" s="484"/>
    </row>
    <row r="18" spans="1:14" s="485" customFormat="1" ht="12.75" customHeight="1" x14ac:dyDescent="0.2">
      <c r="A18" s="482" t="s">
        <v>1471</v>
      </c>
      <c r="B18" s="483">
        <v>240</v>
      </c>
      <c r="C18" s="477"/>
      <c r="D18" s="477"/>
      <c r="E18" s="477"/>
      <c r="F18" s="477"/>
      <c r="G18" s="477"/>
      <c r="H18" s="477"/>
      <c r="I18" s="477"/>
      <c r="J18" s="477"/>
      <c r="K18" s="477"/>
      <c r="L18" s="477"/>
      <c r="M18" s="467">
        <v>108569</v>
      </c>
      <c r="N18" s="484"/>
    </row>
    <row r="19" spans="1:14" s="485" customFormat="1" ht="12.75" customHeight="1" x14ac:dyDescent="0.2">
      <c r="A19" s="482" t="s">
        <v>1472</v>
      </c>
      <c r="B19" s="483">
        <v>250</v>
      </c>
      <c r="C19" s="477"/>
      <c r="D19" s="477"/>
      <c r="E19" s="477"/>
      <c r="F19" s="477"/>
      <c r="G19" s="477"/>
      <c r="H19" s="477"/>
      <c r="I19" s="477"/>
      <c r="J19" s="477"/>
      <c r="K19" s="477"/>
      <c r="L19" s="477"/>
      <c r="M19" s="467">
        <v>564180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260199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1255034</v>
      </c>
    </row>
    <row r="23" spans="1:14" ht="13.5" customHeight="1" thickBot="1" x14ac:dyDescent="0.25">
      <c r="A23" s="1758" t="s">
        <v>664</v>
      </c>
      <c r="B23" s="1763"/>
      <c r="C23" s="468"/>
      <c r="D23" s="468"/>
      <c r="E23" s="468"/>
      <c r="F23" s="468"/>
      <c r="G23" s="468"/>
      <c r="H23" s="468"/>
      <c r="I23" s="468"/>
      <c r="J23" s="468"/>
      <c r="K23" s="468"/>
      <c r="L23" s="468"/>
      <c r="M23" s="1710">
        <f>SUM(M15:M22)</f>
        <v>13952638</v>
      </c>
      <c r="N23" s="1710">
        <f>SUM(N21:N22)</f>
        <v>1515233</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v>5</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38607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5</v>
      </c>
      <c r="K34" s="1762">
        <f t="shared" si="1"/>
        <v>0</v>
      </c>
      <c r="L34" s="1743">
        <f>SUM(L33)</f>
        <v>38607</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1515233</v>
      </c>
    </row>
    <row r="37" spans="1:14" ht="13.5" thickBot="1" x14ac:dyDescent="0.25">
      <c r="A37" s="1758" t="s">
        <v>674</v>
      </c>
      <c r="B37" s="1763"/>
      <c r="C37" s="477"/>
      <c r="D37" s="477"/>
      <c r="E37" s="477"/>
      <c r="F37" s="477"/>
      <c r="G37" s="477"/>
      <c r="H37" s="477"/>
      <c r="I37" s="477"/>
      <c r="J37" s="477"/>
      <c r="K37" s="477"/>
      <c r="L37" s="480"/>
      <c r="M37" s="468"/>
      <c r="N37" s="1710">
        <f>SUM(N36:N36)</f>
        <v>1515233</v>
      </c>
    </row>
    <row r="38" spans="1:14" s="329" customFormat="1" ht="13.5" customHeight="1" thickTop="1" x14ac:dyDescent="0.2">
      <c r="A38" s="496" t="s">
        <v>440</v>
      </c>
      <c r="B38" s="483">
        <v>714</v>
      </c>
      <c r="C38" s="466"/>
      <c r="D38" s="466"/>
      <c r="E38" s="466"/>
      <c r="F38" s="466"/>
      <c r="G38" s="466">
        <v>260323</v>
      </c>
      <c r="H38" s="466"/>
      <c r="I38" s="466"/>
      <c r="J38" s="467"/>
      <c r="K38" s="466"/>
      <c r="L38" s="481"/>
      <c r="M38" s="497"/>
      <c r="N38" s="497"/>
    </row>
    <row r="39" spans="1:14" s="329" customFormat="1" ht="13.5" customHeight="1" x14ac:dyDescent="0.2">
      <c r="A39" s="496" t="s">
        <v>360</v>
      </c>
      <c r="B39" s="483">
        <v>730</v>
      </c>
      <c r="C39" s="466">
        <v>1271577</v>
      </c>
      <c r="D39" s="466">
        <v>1214672</v>
      </c>
      <c r="E39" s="466">
        <v>260199</v>
      </c>
      <c r="F39" s="466">
        <v>521632</v>
      </c>
      <c r="G39" s="466">
        <v>279410</v>
      </c>
      <c r="H39" s="466">
        <v>94796</v>
      </c>
      <c r="I39" s="466">
        <v>2692350</v>
      </c>
      <c r="J39" s="467">
        <v>808588</v>
      </c>
      <c r="K39" s="466">
        <v>1417064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13952638</v>
      </c>
      <c r="N40" s="497"/>
    </row>
    <row r="41" spans="1:14" ht="13.5" customHeight="1" thickBot="1" x14ac:dyDescent="0.25">
      <c r="A41" s="1758" t="s">
        <v>676</v>
      </c>
      <c r="B41" s="1728"/>
      <c r="C41" s="1710">
        <f>(SUM(C34,C37,C38,C39))</f>
        <v>1271577</v>
      </c>
      <c r="D41" s="1710">
        <f t="shared" ref="D41:L41" si="2">SUM(D34,D37,D38:D39)</f>
        <v>1214672</v>
      </c>
      <c r="E41" s="1710">
        <f t="shared" si="2"/>
        <v>260199</v>
      </c>
      <c r="F41" s="1710">
        <f t="shared" si="2"/>
        <v>521632</v>
      </c>
      <c r="G41" s="1710">
        <f t="shared" si="2"/>
        <v>539733</v>
      </c>
      <c r="H41" s="1710">
        <f t="shared" si="2"/>
        <v>94796</v>
      </c>
      <c r="I41" s="1710">
        <f t="shared" si="2"/>
        <v>2692350</v>
      </c>
      <c r="J41" s="1710">
        <f t="shared" si="2"/>
        <v>808593</v>
      </c>
      <c r="K41" s="1710">
        <f t="shared" si="2"/>
        <v>1417064</v>
      </c>
      <c r="L41" s="1710">
        <f t="shared" si="2"/>
        <v>38607</v>
      </c>
      <c r="M41" s="1710">
        <f>SUM(M40)</f>
        <v>13952638</v>
      </c>
      <c r="N41" s="1710">
        <f>SUM(N37)</f>
        <v>1515233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gridLinesSet="0"/>
  <pageMargins left="0.75" right="0.75" top="1.75" bottom="0.5" header="0.5" footer="0.5"/>
  <pageSetup scale="56" firstPageNumber="11" orientation="landscape" useFirstPageNumber="1" r:id="rId1"/>
  <headerFooter>
    <oddHeader>&amp;C&amp;"Times New Roman,Regular"PONTIAC-WILLIAM HOLLIDAY SCHOOL DISTRICT NO. 105
STATEMENT OF ASSETS AND LIABILITIES ARISING FROM CASH TRANSACTIONS - CASH - REGULATORY BASIS
ALL FUNDS AND ACCOUNT GROUPS
JUNE 30, 2018</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20" workbookViewId="0">
      <pane ySplit="2" topLeftCell="A3" activePane="bottomLeft" state="frozenSplit"/>
      <selection activeCell="H34" sqref="H34"/>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5001131</v>
      </c>
      <c r="D4" s="1764">
        <f>'Revenues 9-14'!D109</f>
        <v>777582</v>
      </c>
      <c r="E4" s="1764">
        <f>'Revenues 9-14'!E109</f>
        <v>886051</v>
      </c>
      <c r="F4" s="1764">
        <f>'Revenues 9-14'!F109</f>
        <v>334043</v>
      </c>
      <c r="G4" s="1764">
        <f>'Revenues 9-14'!G109</f>
        <v>446978</v>
      </c>
      <c r="H4" s="1764">
        <f>'Revenues 9-14'!H109</f>
        <v>176</v>
      </c>
      <c r="I4" s="1764">
        <f>'Revenues 9-14'!I109</f>
        <v>144235</v>
      </c>
      <c r="J4" s="1764">
        <f>'Revenues 9-14'!J109</f>
        <v>822556</v>
      </c>
      <c r="K4" s="1764">
        <f>'Revenues 9-14'!K109</f>
        <v>141738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1026574</v>
      </c>
      <c r="D6" s="1765">
        <f>'Revenues 9-14'!D173</f>
        <v>0</v>
      </c>
      <c r="E6" s="1765">
        <f>'Revenues 9-14'!E173</f>
        <v>0</v>
      </c>
      <c r="F6" s="1765">
        <f>'Revenues 9-14'!F173</f>
        <v>224900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534131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6561836</v>
      </c>
      <c r="D8" s="1710">
        <f t="shared" ref="D8:K8" si="0">SUM(D4:D7)</f>
        <v>777582</v>
      </c>
      <c r="E8" s="1710">
        <f t="shared" si="0"/>
        <v>886051</v>
      </c>
      <c r="F8" s="1710">
        <f t="shared" si="0"/>
        <v>558943</v>
      </c>
      <c r="G8" s="1710">
        <f t="shared" si="0"/>
        <v>446978</v>
      </c>
      <c r="H8" s="1710">
        <f t="shared" si="0"/>
        <v>176</v>
      </c>
      <c r="I8" s="1710">
        <f t="shared" si="0"/>
        <v>144235</v>
      </c>
      <c r="J8" s="1710">
        <f t="shared" si="0"/>
        <v>822556</v>
      </c>
      <c r="K8" s="1710">
        <f t="shared" si="0"/>
        <v>141738</v>
      </c>
      <c r="L8" s="347"/>
    </row>
    <row r="9" spans="1:13" ht="15.75" thickTop="1" x14ac:dyDescent="0.2">
      <c r="A9" s="514" t="s">
        <v>1752</v>
      </c>
      <c r="B9" s="515">
        <v>3998</v>
      </c>
      <c r="C9" s="481">
        <v>2739970</v>
      </c>
      <c r="D9" s="516"/>
      <c r="E9" s="481"/>
      <c r="F9" s="481"/>
      <c r="G9" s="517"/>
      <c r="H9" s="481"/>
      <c r="I9" s="509" t="s">
        <v>1231</v>
      </c>
      <c r="J9" s="478"/>
      <c r="K9" s="481"/>
      <c r="L9" s="347"/>
    </row>
    <row r="10" spans="1:13" s="519" customFormat="1" ht="13.5" thickBot="1" x14ac:dyDescent="0.25">
      <c r="A10" s="1758" t="s">
        <v>1235</v>
      </c>
      <c r="B10" s="1731"/>
      <c r="C10" s="1710">
        <f>SUM(C8:C9)</f>
        <v>9301806</v>
      </c>
      <c r="D10" s="1710">
        <f t="shared" ref="D10:K10" si="1">SUM(D8:D9)</f>
        <v>777582</v>
      </c>
      <c r="E10" s="1710">
        <f t="shared" si="1"/>
        <v>886051</v>
      </c>
      <c r="F10" s="1710">
        <f t="shared" si="1"/>
        <v>558943</v>
      </c>
      <c r="G10" s="1710">
        <f t="shared" si="1"/>
        <v>446978</v>
      </c>
      <c r="H10" s="1710">
        <f t="shared" si="1"/>
        <v>176</v>
      </c>
      <c r="I10" s="1710">
        <f t="shared" si="1"/>
        <v>144235</v>
      </c>
      <c r="J10" s="1710">
        <f t="shared" si="1"/>
        <v>822556</v>
      </c>
      <c r="K10" s="1710">
        <f t="shared" si="1"/>
        <v>141738</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4048953</v>
      </c>
      <c r="D12" s="520" t="s">
        <v>1231</v>
      </c>
      <c r="E12" s="468" t="s">
        <v>1231</v>
      </c>
      <c r="F12" s="468" t="s">
        <v>1231</v>
      </c>
      <c r="G12" s="1764">
        <f>'Expenditures 15-22'!K229</f>
        <v>121248</v>
      </c>
      <c r="H12" s="521"/>
      <c r="I12" s="468" t="s">
        <v>1231</v>
      </c>
      <c r="J12" s="468" t="s">
        <v>1231</v>
      </c>
      <c r="K12" s="521" t="s">
        <v>1231</v>
      </c>
      <c r="L12" s="347"/>
    </row>
    <row r="13" spans="1:13" ht="15.75" customHeight="1" x14ac:dyDescent="0.2">
      <c r="A13" s="1598" t="s">
        <v>477</v>
      </c>
      <c r="B13" s="1600">
        <v>2000</v>
      </c>
      <c r="C13" s="1765">
        <f>'Expenditures 15-22'!K74</f>
        <v>1210984</v>
      </c>
      <c r="D13" s="1765">
        <f>'Expenditures 15-22'!K129</f>
        <v>629926</v>
      </c>
      <c r="E13" s="469" t="s">
        <v>1231</v>
      </c>
      <c r="F13" s="1765">
        <f>'Expenditures 15-22'!K184</f>
        <v>411074</v>
      </c>
      <c r="G13" s="1765">
        <f>'Expenditures 15-22'!K279</f>
        <v>132853</v>
      </c>
      <c r="H13" s="1765">
        <f>'Expenditures 15-22'!K303</f>
        <v>45742</v>
      </c>
      <c r="I13" s="468" t="s">
        <v>1231</v>
      </c>
      <c r="J13" s="1765">
        <f>'Expenditures 15-22'!K330</f>
        <v>443090</v>
      </c>
      <c r="K13" s="1769">
        <f>'Expenditures 15-22'!K352</f>
        <v>22665</v>
      </c>
      <c r="L13" s="347"/>
    </row>
    <row r="14" spans="1:13" ht="15.75" customHeight="1" x14ac:dyDescent="0.2">
      <c r="A14" s="1598" t="s">
        <v>469</v>
      </c>
      <c r="B14" s="1600">
        <v>3000</v>
      </c>
      <c r="C14" s="1765">
        <f>'Expenditures 15-22'!K75</f>
        <v>91504</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446743</v>
      </c>
      <c r="D15" s="1765">
        <f>'Expenditures 15-22'!K139</f>
        <v>0</v>
      </c>
      <c r="E15" s="1765">
        <f>'Expenditures 15-22'!K160</f>
        <v>0</v>
      </c>
      <c r="F15" s="1765">
        <f>'Expenditures 15-22'!K196</f>
        <v>0</v>
      </c>
      <c r="G15" s="1765">
        <f>'Expenditures 15-22'!K285</f>
        <v>634</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776130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5798184</v>
      </c>
      <c r="D17" s="1710">
        <f t="shared" si="2"/>
        <v>629926</v>
      </c>
      <c r="E17" s="1710">
        <f t="shared" si="2"/>
        <v>776130</v>
      </c>
      <c r="F17" s="1710">
        <f t="shared" si="2"/>
        <v>411074</v>
      </c>
      <c r="G17" s="1710">
        <f t="shared" si="2"/>
        <v>254735</v>
      </c>
      <c r="H17" s="1710">
        <f t="shared" si="2"/>
        <v>45742</v>
      </c>
      <c r="I17" s="468"/>
      <c r="J17" s="1710">
        <f>SUM(J12:J16)</f>
        <v>443090</v>
      </c>
      <c r="K17" s="1710">
        <f>SUM(K12:K16)</f>
        <v>22665</v>
      </c>
      <c r="L17" s="347"/>
    </row>
    <row r="18" spans="1:12" ht="15" customHeight="1" thickTop="1" x14ac:dyDescent="0.2">
      <c r="A18" s="1766" t="s">
        <v>1753</v>
      </c>
      <c r="B18" s="1767">
        <v>4180</v>
      </c>
      <c r="C18" s="1764">
        <f t="shared" ref="C18:H18" si="3">C9</f>
        <v>2739970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8538154</v>
      </c>
      <c r="D19" s="1710">
        <f t="shared" si="4"/>
        <v>629926</v>
      </c>
      <c r="E19" s="1710">
        <f t="shared" si="4"/>
        <v>776130</v>
      </c>
      <c r="F19" s="1710">
        <f t="shared" si="4"/>
        <v>411074</v>
      </c>
      <c r="G19" s="1710">
        <f t="shared" si="4"/>
        <v>254735</v>
      </c>
      <c r="H19" s="1710">
        <f t="shared" si="4"/>
        <v>45742</v>
      </c>
      <c r="I19" s="468"/>
      <c r="J19" s="1710">
        <f>SUM(J17:J18)</f>
        <v>443090</v>
      </c>
      <c r="K19" s="1710">
        <f>SUM(K17:K18)</f>
        <v>22665</v>
      </c>
      <c r="L19" s="347"/>
    </row>
    <row r="20" spans="1:12" ht="16.5" thickTop="1" thickBot="1" x14ac:dyDescent="0.25">
      <c r="A20" s="2145" t="s">
        <v>1754</v>
      </c>
      <c r="B20" s="2146"/>
      <c r="C20" s="1768">
        <f>C8-C17</f>
        <v>763652</v>
      </c>
      <c r="D20" s="1768">
        <f t="shared" ref="D20:K20" si="5">D8-D17</f>
        <v>147656</v>
      </c>
      <c r="E20" s="1768">
        <f t="shared" si="5"/>
        <v>109921</v>
      </c>
      <c r="F20" s="1768">
        <f t="shared" si="5"/>
        <v>147869</v>
      </c>
      <c r="G20" s="1768">
        <f t="shared" si="5"/>
        <v>192243</v>
      </c>
      <c r="H20" s="1768">
        <f t="shared" si="5"/>
        <v>-45566</v>
      </c>
      <c r="I20" s="1768">
        <f t="shared" si="5"/>
        <v>144235</v>
      </c>
      <c r="J20" s="1768">
        <f t="shared" si="5"/>
        <v>379466</v>
      </c>
      <c r="K20" s="1768">
        <f t="shared" si="5"/>
        <v>119073</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5000</v>
      </c>
      <c r="E36" s="467"/>
      <c r="F36" s="467"/>
      <c r="G36" s="467"/>
      <c r="H36" s="467"/>
      <c r="I36" s="475"/>
      <c r="J36" s="467"/>
      <c r="K36" s="467"/>
      <c r="L36" s="524"/>
    </row>
    <row r="37" spans="1:12" s="485" customFormat="1" x14ac:dyDescent="0.2">
      <c r="A37" s="1511" t="s">
        <v>461</v>
      </c>
      <c r="B37" s="525">
        <v>7400</v>
      </c>
      <c r="C37" s="475"/>
      <c r="D37" s="475"/>
      <c r="E37" s="1765">
        <f>SUM(C54:D57,H54:H57)</f>
        <v>17500</v>
      </c>
      <c r="F37" s="475"/>
      <c r="G37" s="475"/>
      <c r="H37" s="475"/>
      <c r="I37" s="477"/>
      <c r="J37" s="475"/>
      <c r="K37" s="475"/>
      <c r="L37" s="524"/>
    </row>
    <row r="38" spans="1:12" s="485" customFormat="1" x14ac:dyDescent="0.2">
      <c r="A38" s="1511" t="s">
        <v>462</v>
      </c>
      <c r="B38" s="525">
        <v>7500</v>
      </c>
      <c r="C38" s="477"/>
      <c r="D38" s="477"/>
      <c r="E38" s="1765">
        <f>SUM(C58:D61,H58:H61)</f>
        <v>1144</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5000</v>
      </c>
      <c r="E44" s="1725">
        <f t="shared" si="6"/>
        <v>18644</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v>17500</v>
      </c>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v>1144</v>
      </c>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18644</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-18644</v>
      </c>
      <c r="D77" s="1725">
        <f t="shared" si="8"/>
        <v>5000</v>
      </c>
      <c r="E77" s="1725">
        <f t="shared" si="8"/>
        <v>18644</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745008</v>
      </c>
      <c r="D78" s="1724">
        <f t="shared" si="9"/>
        <v>152656</v>
      </c>
      <c r="E78" s="1724">
        <f t="shared" si="9"/>
        <v>128565</v>
      </c>
      <c r="F78" s="1724">
        <f t="shared" si="9"/>
        <v>147869</v>
      </c>
      <c r="G78" s="1724">
        <f t="shared" si="9"/>
        <v>192243</v>
      </c>
      <c r="H78" s="1724">
        <f t="shared" si="9"/>
        <v>-45566</v>
      </c>
      <c r="I78" s="1724">
        <f t="shared" si="9"/>
        <v>144235</v>
      </c>
      <c r="J78" s="1724">
        <f t="shared" si="9"/>
        <v>379466</v>
      </c>
      <c r="K78" s="1724">
        <f t="shared" si="9"/>
        <v>119073</v>
      </c>
      <c r="L78" s="533"/>
    </row>
    <row r="79" spans="1:12" ht="13.5" thickTop="1" x14ac:dyDescent="0.2">
      <c r="A79" s="1516" t="s">
        <v>2073</v>
      </c>
      <c r="B79" s="534"/>
      <c r="C79" s="478">
        <v>526569</v>
      </c>
      <c r="D79" s="535">
        <v>1062016</v>
      </c>
      <c r="E79" s="535">
        <v>131634</v>
      </c>
      <c r="F79" s="535">
        <v>373763</v>
      </c>
      <c r="G79" s="535">
        <v>347490</v>
      </c>
      <c r="H79" s="535">
        <v>140362</v>
      </c>
      <c r="I79" s="535">
        <v>2548115</v>
      </c>
      <c r="J79" s="535">
        <v>429122</v>
      </c>
      <c r="K79" s="535">
        <v>1297991</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1271577</v>
      </c>
      <c r="D81" s="1710">
        <f>SUM(D78:D80)</f>
        <v>1214672</v>
      </c>
      <c r="E81" s="1710">
        <f t="shared" ref="E81:K81" si="10">SUM(E78:E80)</f>
        <v>260199</v>
      </c>
      <c r="F81" s="1710">
        <f t="shared" si="10"/>
        <v>521632</v>
      </c>
      <c r="G81" s="1710">
        <f t="shared" si="10"/>
        <v>539733</v>
      </c>
      <c r="H81" s="1710">
        <f t="shared" si="10"/>
        <v>94796</v>
      </c>
      <c r="I81" s="1710">
        <f t="shared" si="10"/>
        <v>2692350</v>
      </c>
      <c r="J81" s="1710">
        <f t="shared" si="10"/>
        <v>808588</v>
      </c>
      <c r="K81" s="1710">
        <f t="shared" si="10"/>
        <v>1417064</v>
      </c>
      <c r="L81" s="347"/>
    </row>
    <row r="82" spans="1:12" ht="0.75" customHeight="1" thickTop="1" thickBot="1" x14ac:dyDescent="0.25">
      <c r="A82" s="536" t="s">
        <v>361</v>
      </c>
      <c r="B82" s="537"/>
      <c r="C82" s="538">
        <f>(C81-C79)</f>
        <v>745008</v>
      </c>
      <c r="D82" s="538">
        <f t="shared" ref="D82:K82" si="11">(D81-D79)</f>
        <v>152656</v>
      </c>
      <c r="E82" s="538">
        <f t="shared" si="11"/>
        <v>128565</v>
      </c>
      <c r="F82" s="538">
        <f t="shared" si="11"/>
        <v>147869</v>
      </c>
      <c r="G82" s="538">
        <f t="shared" si="11"/>
        <v>192243</v>
      </c>
      <c r="H82" s="538">
        <f t="shared" si="11"/>
        <v>-45566</v>
      </c>
      <c r="I82" s="538">
        <f t="shared" si="11"/>
        <v>144235</v>
      </c>
      <c r="J82" s="538">
        <f t="shared" si="11"/>
        <v>379466</v>
      </c>
      <c r="K82" s="538">
        <f t="shared" si="11"/>
        <v>119073</v>
      </c>
    </row>
    <row r="83" spans="1:12" ht="14.25" hidden="1" thickTop="1" thickBot="1" x14ac:dyDescent="0.25">
      <c r="A83" s="539" t="s">
        <v>362</v>
      </c>
      <c r="B83" s="464"/>
      <c r="C83" s="540">
        <f>C82/C81</f>
        <v>0.58589295024996524</v>
      </c>
      <c r="D83" s="540">
        <f t="shared" ref="D83:K83" si="12">D82/D81</f>
        <v>0.1256767258980202</v>
      </c>
      <c r="E83" s="540">
        <f t="shared" si="12"/>
        <v>0.49410259070941859</v>
      </c>
      <c r="F83" s="540">
        <f t="shared" si="12"/>
        <v>0.28347378995153671</v>
      </c>
      <c r="G83" s="540">
        <f t="shared" si="12"/>
        <v>0.35618166760231446</v>
      </c>
      <c r="H83" s="540">
        <f t="shared" si="12"/>
        <v>-0.48067429005443268</v>
      </c>
      <c r="I83" s="540">
        <f t="shared" si="12"/>
        <v>5.357215815180047E-2</v>
      </c>
      <c r="J83" s="540">
        <f t="shared" si="12"/>
        <v>0.46929462223035712</v>
      </c>
      <c r="K83" s="540">
        <f t="shared" si="12"/>
        <v>8.4027962039823184E-2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75" right="0.75" top="1.25" bottom="0.5" header="0.5" footer="0.5"/>
  <pageSetup scale="48" firstPageNumber="7" orientation="portrait" r:id="rId1"/>
  <headerFooter>
    <oddHeader>&amp;C&amp;"Times New Roman,Regular"PONTIAC-WILLIAM HOLLIDAY SCHOOL DISTRICT NO. 105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140" workbookViewId="0">
      <pane ySplit="2" topLeftCell="A179" activePane="bottomLeft" state="frozen"/>
      <selection activeCell="AF38" sqref="AF38"/>
      <selection pane="bottomLeft" activeCell="C196" sqref="C19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4359660</v>
      </c>
      <c r="D5" s="481">
        <v>694212</v>
      </c>
      <c r="E5" s="466">
        <v>885567</v>
      </c>
      <c r="F5" s="548">
        <v>333224</v>
      </c>
      <c r="G5" s="466">
        <v>222621</v>
      </c>
      <c r="H5" s="466"/>
      <c r="I5" s="466">
        <v>138843</v>
      </c>
      <c r="J5" s="467">
        <v>821287</v>
      </c>
      <c r="K5" s="466">
        <v>138843</v>
      </c>
    </row>
    <row r="6" spans="1:12" ht="15" x14ac:dyDescent="0.2">
      <c r="A6" s="463" t="s">
        <v>1761</v>
      </c>
      <c r="B6" s="470">
        <v>1130</v>
      </c>
      <c r="C6" s="466">
        <v>30000</v>
      </c>
      <c r="D6" s="466">
        <v>81073</v>
      </c>
      <c r="E6" s="475"/>
      <c r="F6" s="475"/>
      <c r="G6" s="468"/>
      <c r="H6" s="468"/>
      <c r="I6" s="468"/>
      <c r="J6" s="468"/>
      <c r="K6" s="468"/>
    </row>
    <row r="7" spans="1:12" x14ac:dyDescent="0.2">
      <c r="A7" s="463" t="s">
        <v>112</v>
      </c>
      <c r="B7" s="549">
        <v>1140</v>
      </c>
      <c r="C7" s="466">
        <v>55537</v>
      </c>
      <c r="D7" s="466"/>
      <c r="E7" s="468"/>
      <c r="F7" s="467"/>
      <c r="G7" s="467"/>
      <c r="H7" s="467"/>
      <c r="I7" s="468"/>
      <c r="J7" s="468"/>
      <c r="K7" s="468"/>
    </row>
    <row r="8" spans="1:12" x14ac:dyDescent="0.2">
      <c r="A8" s="463" t="s">
        <v>433</v>
      </c>
      <c r="B8" s="470">
        <v>1150</v>
      </c>
      <c r="C8" s="475"/>
      <c r="D8" s="475"/>
      <c r="E8" s="477"/>
      <c r="F8" s="477"/>
      <c r="G8" s="481">
        <v>212523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4445197</v>
      </c>
      <c r="D12" s="1729">
        <f t="shared" si="0"/>
        <v>775285</v>
      </c>
      <c r="E12" s="1729">
        <f t="shared" si="0"/>
        <v>885567</v>
      </c>
      <c r="F12" s="1729">
        <f t="shared" si="0"/>
        <v>333224</v>
      </c>
      <c r="G12" s="1729">
        <f t="shared" si="0"/>
        <v>435144</v>
      </c>
      <c r="H12" s="1729">
        <f t="shared" si="0"/>
        <v>0</v>
      </c>
      <c r="I12" s="1729">
        <f t="shared" si="0"/>
        <v>138843</v>
      </c>
      <c r="J12" s="1729">
        <f t="shared" si="0"/>
        <v>821287</v>
      </c>
      <c r="K12" s="1710">
        <f t="shared" si="0"/>
        <v>138843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232502</v>
      </c>
      <c r="D16" s="466"/>
      <c r="E16" s="466"/>
      <c r="F16" s="466"/>
      <c r="G16" s="466">
        <v>11000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232502</v>
      </c>
      <c r="D18" s="1732">
        <f t="shared" ref="D18:K18" si="1">SUM(D14:D17)</f>
        <v>0</v>
      </c>
      <c r="E18" s="1732">
        <f t="shared" si="1"/>
        <v>0</v>
      </c>
      <c r="F18" s="1732">
        <f t="shared" si="1"/>
        <v>0</v>
      </c>
      <c r="G18" s="1732">
        <f t="shared" si="1"/>
        <v>11000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v>6622</v>
      </c>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6622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3152</v>
      </c>
      <c r="D65" s="466">
        <v>1997</v>
      </c>
      <c r="E65" s="466">
        <v>484</v>
      </c>
      <c r="F65" s="467">
        <v>819</v>
      </c>
      <c r="G65" s="466">
        <v>834</v>
      </c>
      <c r="H65" s="466">
        <v>176</v>
      </c>
      <c r="I65" s="466">
        <v>5392</v>
      </c>
      <c r="J65" s="467">
        <v>1269</v>
      </c>
      <c r="K65" s="466">
        <v>2895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3152</v>
      </c>
      <c r="D67" s="1710">
        <f t="shared" ref="D67:K67" si="2">SUM(D65:D66)</f>
        <v>1997</v>
      </c>
      <c r="E67" s="1710">
        <f t="shared" si="2"/>
        <v>484</v>
      </c>
      <c r="F67" s="1710">
        <f t="shared" si="2"/>
        <v>819</v>
      </c>
      <c r="G67" s="1710">
        <f t="shared" si="2"/>
        <v>834</v>
      </c>
      <c r="H67" s="1710">
        <f t="shared" si="2"/>
        <v>176</v>
      </c>
      <c r="I67" s="1710">
        <f t="shared" si="2"/>
        <v>5392</v>
      </c>
      <c r="J67" s="1710">
        <f t="shared" si="2"/>
        <v>1269</v>
      </c>
      <c r="K67" s="1710">
        <f t="shared" si="2"/>
        <v>2895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87059</v>
      </c>
      <c r="D69" s="468"/>
      <c r="E69" s="468"/>
      <c r="F69" s="468"/>
      <c r="G69" s="468"/>
      <c r="H69" s="468"/>
      <c r="I69" s="468"/>
      <c r="J69" s="468"/>
      <c r="K69" s="468"/>
    </row>
    <row r="70" spans="1:11" ht="12.75" customHeight="1" x14ac:dyDescent="0.2">
      <c r="A70" s="463" t="s">
        <v>1054</v>
      </c>
      <c r="B70" s="470">
        <v>1612</v>
      </c>
      <c r="C70" s="551">
        <v>8111</v>
      </c>
      <c r="D70" s="468"/>
      <c r="E70" s="468"/>
      <c r="F70" s="468"/>
      <c r="G70" s="468"/>
      <c r="H70" s="468"/>
      <c r="I70" s="468"/>
      <c r="J70" s="468"/>
      <c r="K70" s="468"/>
    </row>
    <row r="71" spans="1:11" ht="12.75" customHeight="1" x14ac:dyDescent="0.2">
      <c r="A71" s="463" t="s">
        <v>291</v>
      </c>
      <c r="B71" s="470">
        <v>1613</v>
      </c>
      <c r="C71" s="551">
        <v>17777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3471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116418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12092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900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448</v>
      </c>
      <c r="D81" s="466"/>
      <c r="E81" s="468"/>
      <c r="F81" s="468"/>
      <c r="G81" s="468"/>
      <c r="H81" s="468"/>
      <c r="I81" s="468"/>
      <c r="J81" s="468"/>
      <c r="K81" s="468"/>
    </row>
    <row r="82" spans="1:11" ht="12.75" customHeight="1" thickBot="1" x14ac:dyDescent="0.25">
      <c r="A82" s="1730" t="s">
        <v>259</v>
      </c>
      <c r="B82" s="1731"/>
      <c r="C82" s="1729">
        <f>SUM(C77:C81)</f>
        <v>13440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31482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31482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300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1022</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84557</v>
      </c>
      <c r="D106" s="489"/>
      <c r="E106" s="467"/>
      <c r="F106" s="467"/>
      <c r="G106" s="467"/>
      <c r="H106" s="467"/>
      <c r="I106" s="521"/>
      <c r="J106" s="467"/>
      <c r="K106" s="467"/>
    </row>
    <row r="107" spans="1:12" ht="12.75" customHeight="1" x14ac:dyDescent="0.2">
      <c r="A107" s="463" t="s">
        <v>80</v>
      </c>
      <c r="B107" s="470">
        <v>1999</v>
      </c>
      <c r="C107" s="551">
        <v>66739</v>
      </c>
      <c r="D107" s="466"/>
      <c r="E107" s="466"/>
      <c r="F107" s="466"/>
      <c r="G107" s="466"/>
      <c r="H107" s="466"/>
      <c r="I107" s="466"/>
      <c r="J107" s="467"/>
      <c r="K107" s="466"/>
    </row>
    <row r="108" spans="1:12" ht="12.75" customHeight="1" thickBot="1" x14ac:dyDescent="0.25">
      <c r="A108" s="1730" t="s">
        <v>508</v>
      </c>
      <c r="B108" s="1734"/>
      <c r="C108" s="1729">
        <f>SUM(C95:C107)</f>
        <v>152318</v>
      </c>
      <c r="D108" s="1729">
        <f t="shared" ref="D108:K108" si="3">SUM(D95:D107)</f>
        <v>300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5001131</v>
      </c>
      <c r="D109" s="1737">
        <f t="shared" si="4"/>
        <v>777582</v>
      </c>
      <c r="E109" s="1737">
        <f t="shared" si="4"/>
        <v>886051</v>
      </c>
      <c r="F109" s="1737">
        <f t="shared" si="4"/>
        <v>334043</v>
      </c>
      <c r="G109" s="1737">
        <f t="shared" si="4"/>
        <v>446978</v>
      </c>
      <c r="H109" s="1737">
        <f t="shared" si="4"/>
        <v>176</v>
      </c>
      <c r="I109" s="1737">
        <f t="shared" si="4"/>
        <v>144235</v>
      </c>
      <c r="J109" s="1737">
        <f t="shared" si="4"/>
        <v>822556</v>
      </c>
      <c r="K109" s="1724">
        <f t="shared" si="4"/>
        <v>141738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674691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674691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47473</v>
      </c>
      <c r="D125" s="561"/>
      <c r="E125" s="468"/>
      <c r="F125" s="466"/>
      <c r="G125" s="468"/>
      <c r="H125" s="468"/>
      <c r="I125" s="468"/>
      <c r="J125" s="468"/>
      <c r="K125" s="468"/>
    </row>
    <row r="126" spans="1:11" ht="12.75" customHeight="1" x14ac:dyDescent="0.2">
      <c r="A126" s="463" t="s">
        <v>922</v>
      </c>
      <c r="B126" s="562">
        <v>3110</v>
      </c>
      <c r="C126" s="551">
        <v>52185</v>
      </c>
      <c r="D126" s="466"/>
      <c r="E126" s="468"/>
      <c r="F126" s="466"/>
      <c r="G126" s="468"/>
      <c r="H126" s="468"/>
      <c r="I126" s="468"/>
      <c r="J126" s="468"/>
      <c r="K126" s="468"/>
    </row>
    <row r="127" spans="1:11" ht="12.75" customHeight="1" x14ac:dyDescent="0.2">
      <c r="A127" s="463" t="s">
        <v>107</v>
      </c>
      <c r="B127" s="562">
        <v>3120</v>
      </c>
      <c r="C127" s="466">
        <v>26308</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439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126405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20400</v>
      </c>
      <c r="D139" s="466"/>
      <c r="E139" s="561"/>
      <c r="F139" s="477"/>
      <c r="G139" s="467"/>
      <c r="H139" s="468"/>
      <c r="I139" s="468"/>
      <c r="J139" s="468"/>
      <c r="K139" s="468"/>
    </row>
    <row r="140" spans="1:11" ht="12.75" customHeight="1" thickBot="1" x14ac:dyDescent="0.25">
      <c r="A140" s="1730" t="s">
        <v>624</v>
      </c>
      <c r="B140" s="1742"/>
      <c r="C140" s="1729">
        <f>SUM(C133:C139)</f>
        <v>20400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2316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21143</v>
      </c>
      <c r="G151" s="467"/>
      <c r="H151" s="468"/>
      <c r="I151" s="468"/>
      <c r="J151" s="468"/>
      <c r="K151" s="468"/>
    </row>
    <row r="152" spans="1:11" ht="12.75" customHeight="1" x14ac:dyDescent="0.2">
      <c r="A152" s="463" t="s">
        <v>1117</v>
      </c>
      <c r="B152" s="562">
        <v>3510</v>
      </c>
      <c r="C152" s="551"/>
      <c r="D152" s="466"/>
      <c r="E152" s="561"/>
      <c r="F152" s="466">
        <v>203757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224900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202762</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351883</v>
      </c>
      <c r="D172" s="1744">
        <f t="shared" si="6"/>
        <v>0</v>
      </c>
      <c r="E172" s="1744">
        <f t="shared" si="6"/>
        <v>0</v>
      </c>
      <c r="F172" s="1744">
        <f t="shared" si="6"/>
        <v>224900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1026574</v>
      </c>
      <c r="D173" s="1737">
        <f>SUM(D121,D172)</f>
        <v>0</v>
      </c>
      <c r="E173" s="1737">
        <f>SUM(E121,E172)</f>
        <v>0</v>
      </c>
      <c r="F173" s="1737">
        <f t="shared" ref="F173:K173" si="7">SUM(F121,F172)</f>
        <v>224900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v>28514</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28514</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142567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28720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28276</v>
      </c>
      <c r="D200" s="468"/>
      <c r="E200" s="561"/>
      <c r="F200" s="468"/>
      <c r="G200" s="585"/>
      <c r="H200" s="468"/>
      <c r="I200" s="468"/>
      <c r="J200" s="468"/>
      <c r="K200" s="468"/>
    </row>
    <row r="201" spans="1:11" ht="12.75" customHeight="1" thickBot="1" x14ac:dyDescent="0.25">
      <c r="A201" s="1730" t="s">
        <v>569</v>
      </c>
      <c r="B201" s="1731"/>
      <c r="C201" s="1710">
        <f>SUM(C193:C200)</f>
        <v>199563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112811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112811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135082</v>
      </c>
      <c r="D220" s="466"/>
      <c r="E220" s="468"/>
      <c r="F220" s="466"/>
      <c r="G220" s="466"/>
      <c r="H220" s="468"/>
      <c r="I220" s="468"/>
      <c r="J220" s="468"/>
      <c r="K220" s="468"/>
    </row>
    <row r="221" spans="1:11" ht="12.75" customHeight="1" x14ac:dyDescent="0.2">
      <c r="A221" s="463" t="s">
        <v>1114</v>
      </c>
      <c r="B221" s="470">
        <v>4625</v>
      </c>
      <c r="C221" s="551">
        <v>36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135118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24560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9026</v>
      </c>
      <c r="D270" s="576"/>
      <c r="E270" s="468"/>
      <c r="F270" s="576"/>
      <c r="G270" s="576"/>
      <c r="H270" s="468"/>
      <c r="I270" s="468"/>
      <c r="J270" s="468"/>
      <c r="K270" s="468"/>
    </row>
    <row r="271" spans="1:11" ht="12.75" customHeight="1" thickTop="1" thickBot="1" x14ac:dyDescent="0.25">
      <c r="A271" s="463" t="s">
        <v>395</v>
      </c>
      <c r="B271" s="470">
        <v>4992</v>
      </c>
      <c r="C271" s="575">
        <v>24539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505617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534131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6561836</v>
      </c>
      <c r="D275" s="1737">
        <f t="shared" si="12"/>
        <v>777582</v>
      </c>
      <c r="E275" s="1737">
        <f t="shared" si="12"/>
        <v>886051</v>
      </c>
      <c r="F275" s="1737">
        <f t="shared" si="12"/>
        <v>558943</v>
      </c>
      <c r="G275" s="1737">
        <f t="shared" si="12"/>
        <v>446978</v>
      </c>
      <c r="H275" s="1737">
        <f t="shared" si="12"/>
        <v>176</v>
      </c>
      <c r="I275" s="1737">
        <f t="shared" si="12"/>
        <v>144235</v>
      </c>
      <c r="J275" s="1737">
        <f t="shared" si="12"/>
        <v>822556</v>
      </c>
      <c r="K275" s="1724">
        <f t="shared" si="12"/>
        <v>141738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pageMargins left="0.75" right="0.75" top="1" bottom="0.5" header="0.5" footer="0.5"/>
  <pageSetup scale="60" firstPageNumber="9" orientation="landscape" r:id="rId1"/>
  <headerFooter>
    <oddHeader>&amp;C&amp;"Times New Roman,Regular"PONTIAC-WILLIAM HOLLIDAY SCHOOL DISTRICT NO. 105
STATEMENT OF RECEIPTS - CASH - REGULATORY BASIS
ALL FUNDS
FOR THE YEAR ENDED JUNE 30, 2018</oddHeader>
    <oddFooter>&amp;C&amp;"Times New Roman,Regular"See Notes to Financial Statements and Independent Auditor's Reports
&amp;P</oddFooter>
  </headerFooter>
  <rowBreaks count="4" manualBreakCount="4">
    <brk id="56" max="16383" man="1"/>
    <brk id="109" max="16383" man="1"/>
    <brk id="164" max="16383" man="1"/>
    <brk id="21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zoomScaleSheetLayoutView="115" workbookViewId="0">
      <pane ySplit="2" topLeftCell="A281" activePane="bottomLeft" state="frozen"/>
      <selection activeCell="AF38" sqref="AF38"/>
      <selection pane="bottomLeft" activeCell="F67" sqref="F6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2335703</v>
      </c>
      <c r="D5" s="466">
        <v>596994</v>
      </c>
      <c r="E5" s="466">
        <v>10751</v>
      </c>
      <c r="F5" s="466">
        <v>78050</v>
      </c>
      <c r="G5" s="466"/>
      <c r="H5" s="466"/>
      <c r="I5" s="467"/>
      <c r="J5" s="467"/>
      <c r="K5" s="1693">
        <f>SUM(C5:J5)</f>
        <v>3021498</v>
      </c>
      <c r="L5" s="466">
        <v>3152378</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90678</v>
      </c>
      <c r="D7" s="467">
        <v>17939</v>
      </c>
      <c r="E7" s="467">
        <v>690</v>
      </c>
      <c r="F7" s="467">
        <v>2062</v>
      </c>
      <c r="G7" s="467"/>
      <c r="H7" s="467"/>
      <c r="I7" s="467"/>
      <c r="J7" s="467"/>
      <c r="K7" s="1693">
        <f t="shared" ref="K7:K32" si="0">SUM(C7:J7)</f>
        <v>111369</v>
      </c>
      <c r="L7" s="466">
        <v>121740</v>
      </c>
    </row>
    <row r="8" spans="1:14" x14ac:dyDescent="0.2">
      <c r="A8" s="1526" t="s">
        <v>166</v>
      </c>
      <c r="B8" s="615">
        <v>1200</v>
      </c>
      <c r="C8" s="466">
        <v>529441</v>
      </c>
      <c r="D8" s="466">
        <v>121086</v>
      </c>
      <c r="E8" s="466"/>
      <c r="F8" s="466">
        <v>73</v>
      </c>
      <c r="G8" s="466"/>
      <c r="H8" s="466"/>
      <c r="I8" s="467"/>
      <c r="J8" s="467"/>
      <c r="K8" s="1693">
        <f t="shared" si="0"/>
        <v>650600</v>
      </c>
      <c r="L8" s="466">
        <v>647940</v>
      </c>
    </row>
    <row r="9" spans="1:14" ht="24" x14ac:dyDescent="0.2">
      <c r="A9" s="1526" t="s">
        <v>745</v>
      </c>
      <c r="B9" s="615" t="s">
        <v>1025</v>
      </c>
      <c r="C9" s="467"/>
      <c r="D9" s="467"/>
      <c r="E9" s="467"/>
      <c r="F9" s="1956" t="s">
        <v>2096</v>
      </c>
      <c r="G9" s="467"/>
      <c r="H9" s="467"/>
      <c r="I9" s="467"/>
      <c r="J9" s="467"/>
      <c r="K9" s="1693">
        <f t="shared" si="0"/>
        <v>0</v>
      </c>
      <c r="L9" s="466"/>
    </row>
    <row r="10" spans="1:14" x14ac:dyDescent="0.2">
      <c r="A10" s="1526" t="s">
        <v>746</v>
      </c>
      <c r="B10" s="615">
        <v>1250</v>
      </c>
      <c r="C10" s="466">
        <v>148111</v>
      </c>
      <c r="D10" s="466">
        <v>48568</v>
      </c>
      <c r="E10" s="466"/>
      <c r="F10" s="466">
        <v>3293</v>
      </c>
      <c r="G10" s="466"/>
      <c r="H10" s="466"/>
      <c r="I10" s="467"/>
      <c r="J10" s="467"/>
      <c r="K10" s="1693">
        <f t="shared" si="0"/>
        <v>199972</v>
      </c>
      <c r="L10" s="466">
        <v>197108</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44510</v>
      </c>
      <c r="D14" s="466">
        <v>4560</v>
      </c>
      <c r="E14" s="466">
        <v>6708</v>
      </c>
      <c r="F14" s="466">
        <v>9736</v>
      </c>
      <c r="G14" s="466"/>
      <c r="H14" s="466"/>
      <c r="I14" s="467"/>
      <c r="J14" s="467"/>
      <c r="K14" s="1693">
        <f t="shared" si="0"/>
        <v>65514</v>
      </c>
      <c r="L14" s="466">
        <v>59740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3148443</v>
      </c>
      <c r="D33" s="1692">
        <f t="shared" ref="D33:L33" si="1">SUM(D5:D32)</f>
        <v>789147</v>
      </c>
      <c r="E33" s="1692">
        <f t="shared" si="1"/>
        <v>18149</v>
      </c>
      <c r="F33" s="1692">
        <f t="shared" si="1"/>
        <v>93214</v>
      </c>
      <c r="G33" s="1692">
        <f t="shared" si="1"/>
        <v>0</v>
      </c>
      <c r="H33" s="1692">
        <f t="shared" si="1"/>
        <v>0</v>
      </c>
      <c r="I33" s="1692">
        <f t="shared" si="1"/>
        <v>0</v>
      </c>
      <c r="J33" s="1692">
        <f t="shared" si="1"/>
        <v>0</v>
      </c>
      <c r="K33" s="1692">
        <f t="shared" si="1"/>
        <v>4048953</v>
      </c>
      <c r="L33" s="1692">
        <f t="shared" si="1"/>
        <v>4178906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99706</v>
      </c>
      <c r="D36" s="481">
        <v>31023</v>
      </c>
      <c r="E36" s="481"/>
      <c r="F36" s="481"/>
      <c r="G36" s="481"/>
      <c r="H36" s="481"/>
      <c r="I36" s="467"/>
      <c r="J36" s="467"/>
      <c r="K36" s="1693">
        <f t="shared" ref="K36:K41" si="2">SUM(C36:J36)</f>
        <v>130729</v>
      </c>
      <c r="L36" s="466">
        <v>134510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18698</v>
      </c>
      <c r="D38" s="466">
        <v>5344</v>
      </c>
      <c r="E38" s="466">
        <v>2735</v>
      </c>
      <c r="F38" s="466">
        <v>1874</v>
      </c>
      <c r="G38" s="466"/>
      <c r="H38" s="466"/>
      <c r="I38" s="467"/>
      <c r="J38" s="467"/>
      <c r="K38" s="1693">
        <f t="shared" si="2"/>
        <v>28651</v>
      </c>
      <c r="L38" s="466">
        <v>30315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45075</v>
      </c>
      <c r="D40" s="466">
        <v>18677</v>
      </c>
      <c r="E40" s="466"/>
      <c r="F40" s="466"/>
      <c r="G40" s="466"/>
      <c r="H40" s="466"/>
      <c r="I40" s="467"/>
      <c r="J40" s="467"/>
      <c r="K40" s="1693">
        <f t="shared" si="2"/>
        <v>63752</v>
      </c>
      <c r="L40" s="466">
        <v>61090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163479</v>
      </c>
      <c r="D42" s="1692">
        <f t="shared" ref="D42:L42" si="3">SUM(D36:D41)</f>
        <v>55044</v>
      </c>
      <c r="E42" s="1692">
        <f t="shared" si="3"/>
        <v>2735</v>
      </c>
      <c r="F42" s="1692">
        <f t="shared" si="3"/>
        <v>1874</v>
      </c>
      <c r="G42" s="1692">
        <f t="shared" si="3"/>
        <v>0</v>
      </c>
      <c r="H42" s="1692">
        <f t="shared" si="3"/>
        <v>0</v>
      </c>
      <c r="I42" s="1692">
        <f t="shared" si="3"/>
        <v>0</v>
      </c>
      <c r="J42" s="1692">
        <f t="shared" si="3"/>
        <v>0</v>
      </c>
      <c r="K42" s="1692">
        <f t="shared" si="3"/>
        <v>223132</v>
      </c>
      <c r="L42" s="1692">
        <f t="shared" si="3"/>
        <v>225915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2127</v>
      </c>
      <c r="D44" s="481">
        <v>3185</v>
      </c>
      <c r="E44" s="481">
        <v>18680</v>
      </c>
      <c r="F44" s="481">
        <v>4479</v>
      </c>
      <c r="G44" s="481"/>
      <c r="H44" s="481"/>
      <c r="I44" s="467"/>
      <c r="J44" s="467"/>
      <c r="K44" s="1694">
        <f>SUM(C44:J44)</f>
        <v>28471</v>
      </c>
      <c r="L44" s="481">
        <v>48307</v>
      </c>
    </row>
    <row r="45" spans="1:14" x14ac:dyDescent="0.2">
      <c r="A45" s="1526" t="s">
        <v>869</v>
      </c>
      <c r="B45" s="615">
        <v>2220</v>
      </c>
      <c r="C45" s="466"/>
      <c r="D45" s="466"/>
      <c r="E45" s="466"/>
      <c r="F45" s="466">
        <v>3068</v>
      </c>
      <c r="G45" s="466"/>
      <c r="H45" s="466"/>
      <c r="I45" s="467"/>
      <c r="J45" s="467"/>
      <c r="K45" s="1694">
        <f>SUM(C45:J45)</f>
        <v>3068</v>
      </c>
      <c r="L45" s="466">
        <v>5050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2127</v>
      </c>
      <c r="D47" s="1692">
        <f t="shared" ref="D47:K47" si="4">SUM(D44:D46)</f>
        <v>3185</v>
      </c>
      <c r="E47" s="1692">
        <f t="shared" si="4"/>
        <v>18680</v>
      </c>
      <c r="F47" s="1692">
        <f t="shared" si="4"/>
        <v>7547</v>
      </c>
      <c r="G47" s="1692">
        <f t="shared" si="4"/>
        <v>0</v>
      </c>
      <c r="H47" s="1692">
        <f t="shared" si="4"/>
        <v>0</v>
      </c>
      <c r="I47" s="1692">
        <f t="shared" si="4"/>
        <v>0</v>
      </c>
      <c r="J47" s="1692">
        <f t="shared" si="4"/>
        <v>0</v>
      </c>
      <c r="K47" s="1692">
        <f t="shared" si="4"/>
        <v>31539</v>
      </c>
      <c r="L47" s="1692">
        <f>SUM(L44:L46)</f>
        <v>53357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1230</v>
      </c>
      <c r="D49" s="481">
        <v>142</v>
      </c>
      <c r="E49" s="481">
        <v>25122</v>
      </c>
      <c r="F49" s="481">
        <v>3020</v>
      </c>
      <c r="G49" s="481">
        <v>5286</v>
      </c>
      <c r="H49" s="481"/>
      <c r="I49" s="467"/>
      <c r="J49" s="467"/>
      <c r="K49" s="1694">
        <f>SUM(C49:J49)</f>
        <v>34800</v>
      </c>
      <c r="L49" s="481">
        <v>37400</v>
      </c>
    </row>
    <row r="50" spans="1:14" x14ac:dyDescent="0.2">
      <c r="A50" s="1526" t="s">
        <v>872</v>
      </c>
      <c r="B50" s="615">
        <v>2320</v>
      </c>
      <c r="C50" s="466">
        <v>102516</v>
      </c>
      <c r="D50" s="466">
        <v>36270</v>
      </c>
      <c r="E50" s="466">
        <v>2041</v>
      </c>
      <c r="F50" s="466">
        <v>1401</v>
      </c>
      <c r="G50" s="466"/>
      <c r="H50" s="466"/>
      <c r="I50" s="467"/>
      <c r="J50" s="467"/>
      <c r="K50" s="1694">
        <f>SUM(C50:J50)</f>
        <v>142228</v>
      </c>
      <c r="L50" s="466">
        <v>147405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103746</v>
      </c>
      <c r="D53" s="1692">
        <f t="shared" ref="D53:L53" si="5">SUM(D49:D52)</f>
        <v>36412</v>
      </c>
      <c r="E53" s="1692">
        <f t="shared" si="5"/>
        <v>27163</v>
      </c>
      <c r="F53" s="1692">
        <f t="shared" si="5"/>
        <v>4421</v>
      </c>
      <c r="G53" s="1692">
        <f t="shared" si="5"/>
        <v>5286</v>
      </c>
      <c r="H53" s="1692">
        <f t="shared" si="5"/>
        <v>0</v>
      </c>
      <c r="I53" s="1692">
        <f t="shared" si="5"/>
        <v>0</v>
      </c>
      <c r="J53" s="1692">
        <f t="shared" si="5"/>
        <v>0</v>
      </c>
      <c r="K53" s="1692">
        <f t="shared" si="5"/>
        <v>177028</v>
      </c>
      <c r="L53" s="1692">
        <f t="shared" si="5"/>
        <v>184805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252996</v>
      </c>
      <c r="D55" s="481">
        <v>127133</v>
      </c>
      <c r="E55" s="481">
        <v>1405</v>
      </c>
      <c r="F55" s="481">
        <v>244</v>
      </c>
      <c r="G55" s="481"/>
      <c r="H55" s="481"/>
      <c r="I55" s="467"/>
      <c r="J55" s="467"/>
      <c r="K55" s="1694">
        <f>SUM(C55:J55)</f>
        <v>381778</v>
      </c>
      <c r="L55" s="481">
        <v>394289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252996</v>
      </c>
      <c r="D57" s="1696">
        <f t="shared" ref="D57:K57" si="6">SUM(D55:D56)</f>
        <v>127133</v>
      </c>
      <c r="E57" s="1696">
        <f t="shared" si="6"/>
        <v>1405</v>
      </c>
      <c r="F57" s="1696">
        <f t="shared" si="6"/>
        <v>244</v>
      </c>
      <c r="G57" s="1696">
        <f t="shared" si="6"/>
        <v>0</v>
      </c>
      <c r="H57" s="1696">
        <f t="shared" si="6"/>
        <v>0</v>
      </c>
      <c r="I57" s="1696">
        <f t="shared" si="6"/>
        <v>0</v>
      </c>
      <c r="J57" s="1696">
        <f t="shared" si="6"/>
        <v>0</v>
      </c>
      <c r="K57" s="1696">
        <f t="shared" si="6"/>
        <v>381778</v>
      </c>
      <c r="L57" s="1692">
        <f>SUM(L55:L56)</f>
        <v>394289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72703</v>
      </c>
      <c r="D60" s="466">
        <v>16669</v>
      </c>
      <c r="E60" s="466">
        <v>6814</v>
      </c>
      <c r="F60" s="466">
        <v>1462</v>
      </c>
      <c r="G60" s="466">
        <v>2157</v>
      </c>
      <c r="H60" s="466"/>
      <c r="I60" s="467"/>
      <c r="J60" s="467"/>
      <c r="K60" s="1694">
        <f t="shared" si="7"/>
        <v>99805</v>
      </c>
      <c r="L60" s="466">
        <v>121474</v>
      </c>
      <c r="M60" s="610"/>
      <c r="N60" s="610"/>
    </row>
    <row r="61" spans="1:14" s="343" customFormat="1" x14ac:dyDescent="0.2">
      <c r="A61" s="1526" t="s">
        <v>206</v>
      </c>
      <c r="B61" s="615">
        <v>2540</v>
      </c>
      <c r="C61" s="466"/>
      <c r="D61" s="466"/>
      <c r="E61" s="466"/>
      <c r="F61" s="466">
        <v>1215</v>
      </c>
      <c r="G61" s="466"/>
      <c r="H61" s="466"/>
      <c r="I61" s="467"/>
      <c r="J61" s="467"/>
      <c r="K61" s="1694">
        <f t="shared" si="7"/>
        <v>1215</v>
      </c>
      <c r="L61" s="466">
        <v>1500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108952</v>
      </c>
      <c r="D63" s="466">
        <v>10400</v>
      </c>
      <c r="E63" s="466">
        <v>2418</v>
      </c>
      <c r="F63" s="466">
        <v>174541</v>
      </c>
      <c r="G63" s="466"/>
      <c r="H63" s="466"/>
      <c r="I63" s="467"/>
      <c r="J63" s="467"/>
      <c r="K63" s="1694">
        <f t="shared" si="7"/>
        <v>296311</v>
      </c>
      <c r="L63" s="466">
        <v>268025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181655</v>
      </c>
      <c r="D65" s="1692">
        <f t="shared" ref="D65:L65" si="8">SUM(D59:D64)</f>
        <v>27069</v>
      </c>
      <c r="E65" s="1692">
        <f t="shared" si="8"/>
        <v>9232</v>
      </c>
      <c r="F65" s="1692">
        <f t="shared" si="8"/>
        <v>177218</v>
      </c>
      <c r="G65" s="1692">
        <f t="shared" si="8"/>
        <v>2157</v>
      </c>
      <c r="H65" s="1692">
        <f t="shared" si="8"/>
        <v>0</v>
      </c>
      <c r="I65" s="1692">
        <f t="shared" si="8"/>
        <v>0</v>
      </c>
      <c r="J65" s="1692">
        <f t="shared" si="8"/>
        <v>0</v>
      </c>
      <c r="K65" s="1692">
        <f t="shared" si="8"/>
        <v>397331</v>
      </c>
      <c r="L65" s="1692">
        <f t="shared" si="8"/>
        <v>390999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176</v>
      </c>
      <c r="G73" s="573"/>
      <c r="H73" s="573"/>
      <c r="I73" s="531"/>
      <c r="J73" s="531"/>
      <c r="K73" s="1692">
        <f>SUM(C73:J73)</f>
        <v>176</v>
      </c>
      <c r="L73" s="576">
        <v>250</v>
      </c>
      <c r="M73" s="610"/>
      <c r="N73" s="610"/>
    </row>
    <row r="74" spans="1:14" ht="12.75" customHeight="1" thickTop="1" thickBot="1" x14ac:dyDescent="0.25">
      <c r="A74" s="1690" t="s">
        <v>865</v>
      </c>
      <c r="B74" s="1698">
        <v>2000</v>
      </c>
      <c r="C74" s="1699">
        <f>SUM(C42,C47,C53,C57,C65,C72,C73)</f>
        <v>704003</v>
      </c>
      <c r="D74" s="1699">
        <f t="shared" ref="D74:K74" si="10">SUM(D42,D47,D53,D57,D65,D72,D73)</f>
        <v>248843</v>
      </c>
      <c r="E74" s="1699">
        <f t="shared" si="10"/>
        <v>59215</v>
      </c>
      <c r="F74" s="1699">
        <f t="shared" si="10"/>
        <v>191480</v>
      </c>
      <c r="G74" s="1699">
        <f t="shared" si="10"/>
        <v>7443</v>
      </c>
      <c r="H74" s="1699">
        <f t="shared" si="10"/>
        <v>0</v>
      </c>
      <c r="I74" s="1699">
        <f t="shared" si="10"/>
        <v>0</v>
      </c>
      <c r="J74" s="1699">
        <f t="shared" si="10"/>
        <v>0</v>
      </c>
      <c r="K74" s="1699">
        <f t="shared" si="10"/>
        <v>1210984</v>
      </c>
      <c r="L74" s="1699">
        <f>SUM(L42,L47,L53,L57,L65,L72,L73)</f>
        <v>1249615</v>
      </c>
    </row>
    <row r="75" spans="1:14" s="259" customFormat="1" ht="15.75" customHeight="1" thickTop="1" thickBot="1" x14ac:dyDescent="0.25">
      <c r="A75" s="1632" t="s">
        <v>49</v>
      </c>
      <c r="B75" s="1633" t="s">
        <v>596</v>
      </c>
      <c r="C75" s="573">
        <v>69486</v>
      </c>
      <c r="D75" s="573">
        <v>2635</v>
      </c>
      <c r="E75" s="573">
        <v>12458</v>
      </c>
      <c r="F75" s="573">
        <v>6925</v>
      </c>
      <c r="G75" s="573"/>
      <c r="H75" s="573"/>
      <c r="I75" s="531"/>
      <c r="J75" s="531"/>
      <c r="K75" s="1692">
        <f>SUM(C75:J75)</f>
        <v>91504</v>
      </c>
      <c r="L75" s="576">
        <v>111023</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34539</v>
      </c>
      <c r="F79" s="617"/>
      <c r="G79" s="617"/>
      <c r="H79" s="466">
        <v>395578</v>
      </c>
      <c r="I79" s="477"/>
      <c r="J79" s="477"/>
      <c r="K79" s="1693">
        <f t="shared" si="11"/>
        <v>430117</v>
      </c>
      <c r="L79" s="466">
        <v>528900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34539</v>
      </c>
      <c r="F84" s="617"/>
      <c r="G84" s="617"/>
      <c r="H84" s="1692">
        <f>SUM(H78:H83)</f>
        <v>395578</v>
      </c>
      <c r="I84" s="477"/>
      <c r="J84" s="477"/>
      <c r="K84" s="1692">
        <f>SUM(K78:K83)</f>
        <v>430117</v>
      </c>
      <c r="L84" s="1692">
        <f>SUM(L78:L83)</f>
        <v>528900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v>16626</v>
      </c>
      <c r="I101" s="477"/>
      <c r="J101" s="477"/>
      <c r="K101" s="1701">
        <f>SUM(C101:J101)</f>
        <v>16626</v>
      </c>
      <c r="L101" s="530">
        <v>2300</v>
      </c>
    </row>
    <row r="102" spans="1:14" ht="12.75" customHeight="1" thickTop="1" thickBot="1" x14ac:dyDescent="0.25">
      <c r="A102" s="1690" t="s">
        <v>1567</v>
      </c>
      <c r="B102" s="1700">
        <v>4000</v>
      </c>
      <c r="C102" s="617"/>
      <c r="D102" s="617"/>
      <c r="E102" s="1699">
        <f>SUM(E84,E92,E100,E101)</f>
        <v>34539</v>
      </c>
      <c r="F102" s="617"/>
      <c r="G102" s="617"/>
      <c r="H102" s="1699">
        <f>SUM(H84,H92,H100,H101)</f>
        <v>412204</v>
      </c>
      <c r="I102" s="477"/>
      <c r="J102" s="477"/>
      <c r="K102" s="1699">
        <f>SUM(K84,K92,K100,K101)</f>
        <v>446743</v>
      </c>
      <c r="L102" s="1699">
        <f>SUM(L84,L92,L100,L101)</f>
        <v>531200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3921932</v>
      </c>
      <c r="D114" s="1692">
        <f t="shared" ref="D114:K114" si="13">SUM(D33,D74,D75,D102,D112,D113)</f>
        <v>1040625</v>
      </c>
      <c r="E114" s="1692">
        <f t="shared" si="13"/>
        <v>124361</v>
      </c>
      <c r="F114" s="1692">
        <f t="shared" si="13"/>
        <v>291619</v>
      </c>
      <c r="G114" s="1692">
        <f t="shared" si="13"/>
        <v>7443</v>
      </c>
      <c r="H114" s="1692">
        <f>SUM(H33,H74,H75,H102,H112,H113)</f>
        <v>412204</v>
      </c>
      <c r="I114" s="1692">
        <f t="shared" si="13"/>
        <v>0</v>
      </c>
      <c r="J114" s="1692">
        <f t="shared" si="13"/>
        <v>0</v>
      </c>
      <c r="K114" s="1692">
        <f t="shared" si="13"/>
        <v>5798184</v>
      </c>
      <c r="L114" s="1692">
        <f>SUM(L33,L74,L75,L102,L112,L113)</f>
        <v>6070744</v>
      </c>
    </row>
    <row r="115" spans="1:14" ht="13.5" thickTop="1" x14ac:dyDescent="0.2">
      <c r="A115" s="2200" t="s">
        <v>1053</v>
      </c>
      <c r="B115" s="2201"/>
      <c r="C115" s="619"/>
      <c r="D115" s="619"/>
      <c r="E115" s="619"/>
      <c r="F115" s="619"/>
      <c r="G115" s="619"/>
      <c r="H115" s="619"/>
      <c r="I115" s="619"/>
      <c r="J115" s="619"/>
      <c r="K115" s="1706">
        <f>'Revenues 9-14'!C275-'Expenditures 15-22'!K114</f>
        <v>763652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301202</v>
      </c>
      <c r="D124" s="466">
        <v>68279</v>
      </c>
      <c r="E124" s="466">
        <v>87192</v>
      </c>
      <c r="F124" s="466">
        <v>129713</v>
      </c>
      <c r="G124" s="466">
        <v>43540</v>
      </c>
      <c r="H124" s="466"/>
      <c r="I124" s="467"/>
      <c r="J124" s="467"/>
      <c r="K124" s="1692">
        <f>SUM(C124:J124)</f>
        <v>629926</v>
      </c>
      <c r="L124" s="466">
        <v>749665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v>4000</v>
      </c>
    </row>
    <row r="127" spans="1:14" ht="12.75" customHeight="1" thickTop="1" thickBot="1" x14ac:dyDescent="0.25">
      <c r="A127" s="1690" t="s">
        <v>743</v>
      </c>
      <c r="B127" s="1691" t="s">
        <v>35</v>
      </c>
      <c r="C127" s="1692">
        <f>SUM(C122:C126)</f>
        <v>301202</v>
      </c>
      <c r="D127" s="1692">
        <f t="shared" ref="D127:L127" si="14">SUM(D122:D126)</f>
        <v>68279</v>
      </c>
      <c r="E127" s="1692">
        <f t="shared" si="14"/>
        <v>87192</v>
      </c>
      <c r="F127" s="1692">
        <f t="shared" si="14"/>
        <v>129713</v>
      </c>
      <c r="G127" s="1692">
        <f t="shared" si="14"/>
        <v>43540</v>
      </c>
      <c r="H127" s="1692">
        <f t="shared" si="14"/>
        <v>0</v>
      </c>
      <c r="I127" s="1692">
        <f t="shared" si="14"/>
        <v>0</v>
      </c>
      <c r="J127" s="1692">
        <f t="shared" si="14"/>
        <v>0</v>
      </c>
      <c r="K127" s="1692">
        <f t="shared" si="14"/>
        <v>629926</v>
      </c>
      <c r="L127" s="1692">
        <f t="shared" si="14"/>
        <v>753665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301202</v>
      </c>
      <c r="D129" s="1699">
        <f t="shared" ref="D129:L129" si="15">SUM(D120,D127,D128)</f>
        <v>68279</v>
      </c>
      <c r="E129" s="1699">
        <f t="shared" si="15"/>
        <v>87192</v>
      </c>
      <c r="F129" s="1699">
        <f t="shared" si="15"/>
        <v>129713</v>
      </c>
      <c r="G129" s="1699">
        <f t="shared" si="15"/>
        <v>43540</v>
      </c>
      <c r="H129" s="1699">
        <f t="shared" si="15"/>
        <v>0</v>
      </c>
      <c r="I129" s="1699">
        <f t="shared" si="15"/>
        <v>0</v>
      </c>
      <c r="J129" s="1699">
        <f t="shared" si="15"/>
        <v>0</v>
      </c>
      <c r="K129" s="1699">
        <f t="shared" si="15"/>
        <v>629926</v>
      </c>
      <c r="L129" s="1699">
        <f t="shared" si="15"/>
        <v>753665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v>14000</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14000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14000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2500</v>
      </c>
    </row>
    <row r="151" spans="1:14" ht="12.75" customHeight="1" thickTop="1" thickBot="1" x14ac:dyDescent="0.25">
      <c r="A151" s="2190" t="s">
        <v>641</v>
      </c>
      <c r="B151" s="2172"/>
      <c r="C151" s="1692">
        <f>SUM(C129,C130,C139,C149,C150)</f>
        <v>301202</v>
      </c>
      <c r="D151" s="1692">
        <f t="shared" ref="D151:K151" si="16">SUM(D129,D130,D139,D149,D150)</f>
        <v>68279</v>
      </c>
      <c r="E151" s="1692">
        <f t="shared" si="16"/>
        <v>87192</v>
      </c>
      <c r="F151" s="1692">
        <f t="shared" si="16"/>
        <v>129713</v>
      </c>
      <c r="G151" s="1692">
        <f t="shared" si="16"/>
        <v>43540</v>
      </c>
      <c r="H151" s="1692">
        <f t="shared" si="16"/>
        <v>0</v>
      </c>
      <c r="I151" s="1692">
        <f t="shared" si="16"/>
        <v>0</v>
      </c>
      <c r="J151" s="1692">
        <f t="shared" si="16"/>
        <v>0</v>
      </c>
      <c r="K151" s="1692">
        <f t="shared" si="16"/>
        <v>629926</v>
      </c>
      <c r="L151" s="1692">
        <f>SUM(L129,L130,L139,L149,L150)</f>
        <v>770165</v>
      </c>
    </row>
    <row r="152" spans="1:14" ht="12.75" customHeight="1" thickTop="1" x14ac:dyDescent="0.2">
      <c r="A152" s="2193" t="s">
        <v>1240</v>
      </c>
      <c r="B152" s="2194"/>
      <c r="C152" s="619"/>
      <c r="D152" s="619"/>
      <c r="E152" s="619"/>
      <c r="F152" s="619"/>
      <c r="G152" s="619"/>
      <c r="H152" s="619"/>
      <c r="I152" s="619"/>
      <c r="J152" s="617"/>
      <c r="K152" s="1706">
        <f>'Revenues 9-14'!D275-'Expenditures 15-22'!K151</f>
        <v>147656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50630</v>
      </c>
      <c r="I169" s="617"/>
      <c r="J169" s="617"/>
      <c r="K169" s="1693">
        <f>SUM(C169:H169)</f>
        <v>50630</v>
      </c>
      <c r="L169" s="657">
        <v>50931</v>
      </c>
    </row>
    <row r="170" spans="1:14" ht="33.75" customHeight="1" x14ac:dyDescent="0.2">
      <c r="A170" s="670" t="s">
        <v>1769</v>
      </c>
      <c r="B170" s="672" t="s">
        <v>31</v>
      </c>
      <c r="C170" s="617"/>
      <c r="D170" s="617"/>
      <c r="E170" s="617"/>
      <c r="F170" s="617"/>
      <c r="G170" s="617"/>
      <c r="H170" s="569">
        <v>725500</v>
      </c>
      <c r="I170" s="617"/>
      <c r="J170" s="617"/>
      <c r="K170" s="1693">
        <f>SUM(C170:J170)</f>
        <v>725500</v>
      </c>
      <c r="L170" s="569">
        <v>708000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776130</v>
      </c>
      <c r="I172" s="639"/>
      <c r="J172" s="617"/>
      <c r="K172" s="1699">
        <f>SUM(K168,K169,K170,K171)</f>
        <v>776130</v>
      </c>
      <c r="L172" s="1699">
        <f>SUM(L168,L169,L170,L171)</f>
        <v>758931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776130</v>
      </c>
      <c r="I174" s="639"/>
      <c r="J174" s="617"/>
      <c r="K174" s="1699">
        <f>SUM(K160,K172,K173)</f>
        <v>776130</v>
      </c>
      <c r="L174" s="1699">
        <f>SUM(L160,L172,L173)</f>
        <v>758931</v>
      </c>
    </row>
    <row r="175" spans="1:14" ht="13.5" thickTop="1" x14ac:dyDescent="0.2">
      <c r="A175" s="2200" t="s">
        <v>1053</v>
      </c>
      <c r="B175" s="2201"/>
      <c r="C175" s="617"/>
      <c r="D175" s="617"/>
      <c r="E175" s="617"/>
      <c r="F175" s="617"/>
      <c r="G175" s="617"/>
      <c r="H175" s="619"/>
      <c r="I175" s="617"/>
      <c r="J175" s="617"/>
      <c r="K175" s="1706">
        <f>'Revenues 9-14'!E275-'Expenditures 15-22'!K174</f>
        <v>109921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7052</v>
      </c>
      <c r="D180" s="466">
        <v>3426</v>
      </c>
      <c r="E180" s="466"/>
      <c r="F180" s="466"/>
      <c r="G180" s="466"/>
      <c r="H180" s="466"/>
      <c r="I180" s="467"/>
      <c r="J180" s="467"/>
      <c r="K180" s="1693">
        <f>SUM(C180:J180)</f>
        <v>10478</v>
      </c>
      <c r="L180" s="466">
        <v>11043</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400596</v>
      </c>
      <c r="F182" s="466"/>
      <c r="G182" s="466"/>
      <c r="H182" s="466"/>
      <c r="I182" s="467"/>
      <c r="J182" s="467"/>
      <c r="K182" s="1693">
        <f>SUM(C182:J182)</f>
        <v>400596</v>
      </c>
      <c r="L182" s="466">
        <v>432500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7052</v>
      </c>
      <c r="D184" s="1699">
        <f t="shared" ref="D184:J184" si="17">SUM(D180,D182,D183)</f>
        <v>3426</v>
      </c>
      <c r="E184" s="1699">
        <f t="shared" si="17"/>
        <v>400596</v>
      </c>
      <c r="F184" s="1699">
        <f t="shared" si="17"/>
        <v>0</v>
      </c>
      <c r="G184" s="1699">
        <f t="shared" si="17"/>
        <v>0</v>
      </c>
      <c r="H184" s="1699">
        <f t="shared" si="17"/>
        <v>0</v>
      </c>
      <c r="I184" s="1699">
        <f t="shared" si="17"/>
        <v>0</v>
      </c>
      <c r="J184" s="1699">
        <f t="shared" si="17"/>
        <v>0</v>
      </c>
      <c r="K184" s="1699">
        <f>SUM(K180,K182,K183)</f>
        <v>411074</v>
      </c>
      <c r="L184" s="1699">
        <f>SUM(L180, L182:L183)</f>
        <v>443543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7052</v>
      </c>
      <c r="D210" s="1692">
        <f>SUM(D184,D185)</f>
        <v>3426</v>
      </c>
      <c r="E210" s="1692">
        <f>SUM(E184,E185,E196)</f>
        <v>400596</v>
      </c>
      <c r="F210" s="1692">
        <f>SUM(F184,F185)</f>
        <v>0</v>
      </c>
      <c r="G210" s="1692">
        <f>SUM(G184,G185)</f>
        <v>0</v>
      </c>
      <c r="H210" s="1692">
        <f>SUM(H184,H185,H196,H208,H209)</f>
        <v>0</v>
      </c>
      <c r="I210" s="1692">
        <f>SUM(I184,I185)</f>
        <v>0</v>
      </c>
      <c r="J210" s="1692">
        <f>SUM(J184,J185)</f>
        <v>0</v>
      </c>
      <c r="K210" s="1693">
        <f>SUM(K184,K185,K196,K208,K209)</f>
        <v>411074</v>
      </c>
      <c r="L210" s="1692">
        <f>SUM(L184,L185,L196,L208,L209)</f>
        <v>443543</v>
      </c>
    </row>
    <row r="211" spans="1:14" ht="13.5" thickTop="1" x14ac:dyDescent="0.2">
      <c r="A211" s="2200" t="s">
        <v>1053</v>
      </c>
      <c r="B211" s="2201"/>
      <c r="C211" s="619"/>
      <c r="D211" s="619"/>
      <c r="E211" s="619"/>
      <c r="F211" s="619"/>
      <c r="G211" s="619"/>
      <c r="H211" s="619"/>
      <c r="I211" s="617"/>
      <c r="J211" s="617"/>
      <c r="K211" s="1706">
        <f>'Revenues 9-14'!F275-'Expenditures 15-22'!K210</f>
        <v>147869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72293</v>
      </c>
      <c r="E215" s="617"/>
      <c r="F215" s="617"/>
      <c r="G215" s="617"/>
      <c r="H215" s="617"/>
      <c r="I215" s="617"/>
      <c r="J215" s="617"/>
      <c r="K215" s="1693">
        <f>D215</f>
        <v>72293</v>
      </c>
      <c r="L215" s="466">
        <v>74943</v>
      </c>
    </row>
    <row r="216" spans="1:14" x14ac:dyDescent="0.2">
      <c r="A216" s="1526" t="s">
        <v>165</v>
      </c>
      <c r="B216" s="615" t="s">
        <v>1024</v>
      </c>
      <c r="C216" s="617"/>
      <c r="D216" s="467">
        <v>5686</v>
      </c>
      <c r="E216" s="617"/>
      <c r="F216" s="617"/>
      <c r="G216" s="617"/>
      <c r="H216" s="617"/>
      <c r="I216" s="617"/>
      <c r="J216" s="617"/>
      <c r="K216" s="1693">
        <f t="shared" ref="K216:K228" si="19">D216</f>
        <v>5686</v>
      </c>
      <c r="L216" s="466">
        <v>6020</v>
      </c>
    </row>
    <row r="217" spans="1:14" x14ac:dyDescent="0.2">
      <c r="A217" s="1526" t="s">
        <v>166</v>
      </c>
      <c r="B217" s="615">
        <v>1200</v>
      </c>
      <c r="C217" s="617"/>
      <c r="D217" s="466">
        <v>39937</v>
      </c>
      <c r="E217" s="617"/>
      <c r="F217" s="617"/>
      <c r="G217" s="617"/>
      <c r="H217" s="617"/>
      <c r="I217" s="617"/>
      <c r="J217" s="617"/>
      <c r="K217" s="1693">
        <f t="shared" si="19"/>
        <v>39937</v>
      </c>
      <c r="L217" s="466">
        <v>40167</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2049</v>
      </c>
      <c r="E219" s="617"/>
      <c r="F219" s="617"/>
      <c r="G219" s="617"/>
      <c r="H219" s="617"/>
      <c r="I219" s="617"/>
      <c r="J219" s="617"/>
      <c r="K219" s="1693">
        <f t="shared" si="19"/>
        <v>2049</v>
      </c>
      <c r="L219" s="466">
        <v>2169</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1283</v>
      </c>
      <c r="E223" s="617"/>
      <c r="F223" s="617"/>
      <c r="G223" s="617"/>
      <c r="H223" s="617"/>
      <c r="I223" s="617"/>
      <c r="J223" s="617"/>
      <c r="K223" s="1693">
        <f t="shared" si="19"/>
        <v>1283</v>
      </c>
      <c r="L223" s="466">
        <v>1205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121248</v>
      </c>
      <c r="E229" s="617"/>
      <c r="F229" s="617"/>
      <c r="G229" s="617"/>
      <c r="H229" s="617"/>
      <c r="I229" s="617"/>
      <c r="J229" s="617"/>
      <c r="K229" s="1692">
        <f>SUM(K215:K228)</f>
        <v>121248</v>
      </c>
      <c r="L229" s="1692">
        <f>SUM(L215:L228)</f>
        <v>124504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1348</v>
      </c>
      <c r="E232" s="617"/>
      <c r="F232" s="617"/>
      <c r="G232" s="617"/>
      <c r="H232" s="617"/>
      <c r="I232" s="617"/>
      <c r="J232" s="617"/>
      <c r="K232" s="1693">
        <f t="shared" ref="K232:K237" si="20">D232</f>
        <v>1348</v>
      </c>
      <c r="L232" s="466">
        <v>1490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7226</v>
      </c>
      <c r="E234" s="617"/>
      <c r="F234" s="617"/>
      <c r="G234" s="617"/>
      <c r="H234" s="617"/>
      <c r="I234" s="617"/>
      <c r="J234" s="617"/>
      <c r="K234" s="1693">
        <f t="shared" si="20"/>
        <v>7226</v>
      </c>
      <c r="L234" s="466">
        <v>7600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636</v>
      </c>
      <c r="E236" s="617"/>
      <c r="F236" s="617"/>
      <c r="G236" s="617"/>
      <c r="H236" s="617"/>
      <c r="I236" s="617"/>
      <c r="J236" s="617"/>
      <c r="K236" s="1693">
        <f t="shared" si="20"/>
        <v>636</v>
      </c>
      <c r="L236" s="466">
        <v>600</v>
      </c>
    </row>
    <row r="237" spans="1:12" x14ac:dyDescent="0.2">
      <c r="A237" s="1526" t="s">
        <v>167</v>
      </c>
      <c r="B237" s="615">
        <v>2190</v>
      </c>
      <c r="C237" s="617"/>
      <c r="D237" s="466">
        <v>6387</v>
      </c>
      <c r="E237" s="617"/>
      <c r="F237" s="617"/>
      <c r="G237" s="617"/>
      <c r="H237" s="617"/>
      <c r="I237" s="617"/>
      <c r="J237" s="617"/>
      <c r="K237" s="1693">
        <f t="shared" si="20"/>
        <v>6387</v>
      </c>
      <c r="L237" s="466">
        <v>9915</v>
      </c>
    </row>
    <row r="238" spans="1:12" ht="12.75" customHeight="1" thickBot="1" x14ac:dyDescent="0.25">
      <c r="A238" s="1690" t="s">
        <v>581</v>
      </c>
      <c r="B238" s="1697" t="s">
        <v>740</v>
      </c>
      <c r="C238" s="617"/>
      <c r="D238" s="1692">
        <f>SUM(D232:D237)</f>
        <v>15597</v>
      </c>
      <c r="E238" s="617"/>
      <c r="F238" s="617"/>
      <c r="G238" s="617"/>
      <c r="H238" s="617"/>
      <c r="I238" s="617"/>
      <c r="J238" s="617"/>
      <c r="K238" s="1692">
        <f>SUM(K232:K237)</f>
        <v>15597</v>
      </c>
      <c r="L238" s="1692">
        <f>SUM(L232:L237)</f>
        <v>19605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51</v>
      </c>
      <c r="E240" s="617"/>
      <c r="F240" s="617"/>
      <c r="G240" s="617"/>
      <c r="H240" s="617"/>
      <c r="I240" s="617"/>
      <c r="J240" s="617"/>
      <c r="K240" s="1694">
        <f>D240</f>
        <v>51</v>
      </c>
      <c r="L240" s="481">
        <v>141</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51</v>
      </c>
      <c r="E243" s="617"/>
      <c r="F243" s="617"/>
      <c r="G243" s="617"/>
      <c r="H243" s="617"/>
      <c r="I243" s="617"/>
      <c r="J243" s="617"/>
      <c r="K243" s="1692">
        <f>SUM(K240:K242)</f>
        <v>51</v>
      </c>
      <c r="L243" s="1692">
        <f>SUM(L240:L242)</f>
        <v>141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1984</v>
      </c>
      <c r="E246" s="617"/>
      <c r="F246" s="617"/>
      <c r="G246" s="617"/>
      <c r="H246" s="617"/>
      <c r="I246" s="617"/>
      <c r="J246" s="617"/>
      <c r="K246" s="1694">
        <f t="shared" ref="K246:K256" si="21">D246</f>
        <v>1984</v>
      </c>
      <c r="L246" s="466">
        <v>2343</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1984</v>
      </c>
      <c r="E257" s="617"/>
      <c r="F257" s="617"/>
      <c r="G257" s="617"/>
      <c r="H257" s="617"/>
      <c r="I257" s="617"/>
      <c r="J257" s="617"/>
      <c r="K257" s="1692">
        <f>SUM(K245:K256)</f>
        <v>1984</v>
      </c>
      <c r="L257" s="1692">
        <f>SUM(L245:L256)</f>
        <v>2343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4165</v>
      </c>
      <c r="E259" s="617"/>
      <c r="F259" s="617"/>
      <c r="G259" s="617"/>
      <c r="H259" s="617"/>
      <c r="I259" s="617"/>
      <c r="J259" s="617"/>
      <c r="K259" s="1694">
        <f>D259</f>
        <v>4165</v>
      </c>
      <c r="L259" s="481">
        <v>4385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4165</v>
      </c>
      <c r="E261" s="617"/>
      <c r="F261" s="617"/>
      <c r="G261" s="617"/>
      <c r="H261" s="617"/>
      <c r="I261" s="617"/>
      <c r="J261" s="617"/>
      <c r="K261" s="1692">
        <f>SUM(K259:K260)</f>
        <v>4165</v>
      </c>
      <c r="L261" s="1692">
        <f>SUM(L259:L260)</f>
        <v>4385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14437</v>
      </c>
      <c r="E264" s="617"/>
      <c r="F264" s="617"/>
      <c r="G264" s="617"/>
      <c r="H264" s="617"/>
      <c r="I264" s="617"/>
      <c r="J264" s="617"/>
      <c r="K264" s="1694">
        <f t="shared" ref="K264:K269" si="22">D264</f>
        <v>14437</v>
      </c>
      <c r="L264" s="466">
        <v>14075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58047</v>
      </c>
      <c r="E266" s="617"/>
      <c r="F266" s="617"/>
      <c r="G266" s="617"/>
      <c r="H266" s="617"/>
      <c r="I266" s="617"/>
      <c r="J266" s="617"/>
      <c r="K266" s="1694">
        <f t="shared" si="22"/>
        <v>58047</v>
      </c>
      <c r="L266" s="466">
        <v>65200</v>
      </c>
    </row>
    <row r="267" spans="1:14" x14ac:dyDescent="0.2">
      <c r="A267" s="1526" t="s">
        <v>1010</v>
      </c>
      <c r="B267" s="615">
        <v>2550</v>
      </c>
      <c r="C267" s="617"/>
      <c r="D267" s="466">
        <v>26568</v>
      </c>
      <c r="E267" s="617"/>
      <c r="F267" s="617"/>
      <c r="G267" s="617"/>
      <c r="H267" s="617"/>
      <c r="I267" s="617"/>
      <c r="J267" s="617"/>
      <c r="K267" s="1694">
        <f t="shared" si="22"/>
        <v>26568</v>
      </c>
      <c r="L267" s="466">
        <v>22500</v>
      </c>
    </row>
    <row r="268" spans="1:14" x14ac:dyDescent="0.2">
      <c r="A268" s="1526" t="s">
        <v>102</v>
      </c>
      <c r="B268" s="615">
        <v>2560</v>
      </c>
      <c r="C268" s="617"/>
      <c r="D268" s="466">
        <v>12004</v>
      </c>
      <c r="E268" s="617"/>
      <c r="F268" s="617"/>
      <c r="G268" s="617"/>
      <c r="H268" s="617"/>
      <c r="I268" s="617"/>
      <c r="J268" s="617"/>
      <c r="K268" s="1694">
        <f t="shared" si="22"/>
        <v>12004</v>
      </c>
      <c r="L268" s="466">
        <v>14336</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111056</v>
      </c>
      <c r="E270" s="617"/>
      <c r="F270" s="617"/>
      <c r="G270" s="617"/>
      <c r="H270" s="617"/>
      <c r="I270" s="617"/>
      <c r="J270" s="617"/>
      <c r="K270" s="1692">
        <f>SUM(K263:K269)</f>
        <v>111056</v>
      </c>
      <c r="L270" s="1692">
        <f>SUM(L263:L269)</f>
        <v>116111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132853</v>
      </c>
      <c r="E279" s="617"/>
      <c r="F279" s="617"/>
      <c r="G279" s="617"/>
      <c r="H279" s="617"/>
      <c r="I279" s="617"/>
      <c r="J279" s="617"/>
      <c r="K279" s="1699">
        <f>SUM(K238,K243,K257,K261,K270,K277,K278)</f>
        <v>132853</v>
      </c>
      <c r="L279" s="1699">
        <f>SUM(L238,L243,L257,L261,L270,L277,L278)</f>
        <v>142585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634</v>
      </c>
      <c r="E283" s="617"/>
      <c r="F283" s="617"/>
      <c r="G283" s="617"/>
      <c r="H283" s="617"/>
      <c r="I283" s="617"/>
      <c r="J283" s="617"/>
      <c r="K283" s="1693">
        <f>D283</f>
        <v>634</v>
      </c>
      <c r="L283" s="466">
        <v>2000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634</v>
      </c>
      <c r="E285" s="617"/>
      <c r="F285" s="617"/>
      <c r="G285" s="617"/>
      <c r="H285" s="617"/>
      <c r="I285" s="617"/>
      <c r="J285" s="617"/>
      <c r="K285" s="1692">
        <f>SUM(K282:K284)</f>
        <v>634</v>
      </c>
      <c r="L285" s="1692">
        <f>SUM(L282:L284)</f>
        <v>2000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254735</v>
      </c>
      <c r="E295" s="617"/>
      <c r="F295" s="617"/>
      <c r="G295" s="617"/>
      <c r="H295" s="1692">
        <f>H293</f>
        <v>0</v>
      </c>
      <c r="I295" s="617"/>
      <c r="J295" s="617"/>
      <c r="K295" s="1692">
        <f>SUM(K229,K279,K280,K285,K293,K294)</f>
        <v>254735</v>
      </c>
      <c r="L295" s="1692">
        <f>SUM(L229,L279,L280,L285,L293,L294)</f>
        <v>269089</v>
      </c>
    </row>
    <row r="296" spans="1:14" ht="13.5" thickTop="1" x14ac:dyDescent="0.2">
      <c r="A296" s="2200" t="s">
        <v>1053</v>
      </c>
      <c r="B296" s="2201"/>
      <c r="C296" s="617"/>
      <c r="D296" s="619"/>
      <c r="E296" s="617"/>
      <c r="F296" s="617"/>
      <c r="G296" s="617"/>
      <c r="H296" s="688"/>
      <c r="I296" s="617"/>
      <c r="J296" s="617"/>
      <c r="K296" s="1706">
        <f>'Revenues 9-14'!G275-'Expenditures 15-22'!K295</f>
        <v>192243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v>21380</v>
      </c>
      <c r="E301" s="466"/>
      <c r="F301" s="466"/>
      <c r="G301" s="466">
        <v>24362</v>
      </c>
      <c r="H301" s="466"/>
      <c r="I301" s="467"/>
      <c r="J301" s="467"/>
      <c r="K301" s="1693">
        <f>SUM(C301:J301)</f>
        <v>45742</v>
      </c>
      <c r="L301" s="467">
        <v>62000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21380</v>
      </c>
      <c r="E303" s="1699">
        <f t="shared" si="23"/>
        <v>0</v>
      </c>
      <c r="F303" s="1699">
        <f t="shared" si="23"/>
        <v>0</v>
      </c>
      <c r="G303" s="1699">
        <f t="shared" si="23"/>
        <v>24362</v>
      </c>
      <c r="H303" s="1699">
        <f t="shared" si="23"/>
        <v>0</v>
      </c>
      <c r="I303" s="1699">
        <f t="shared" si="23"/>
        <v>0</v>
      </c>
      <c r="J303" s="1699">
        <f t="shared" si="23"/>
        <v>0</v>
      </c>
      <c r="K303" s="1699">
        <f t="shared" si="23"/>
        <v>45742</v>
      </c>
      <c r="L303" s="1699">
        <f t="shared" si="23"/>
        <v>62000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21380</v>
      </c>
      <c r="E312" s="1692">
        <f>SUM(E303,E310)</f>
        <v>0</v>
      </c>
      <c r="F312" s="1692">
        <f>SUM(F303)</f>
        <v>0</v>
      </c>
      <c r="G312" s="1692">
        <f>SUM(G303)</f>
        <v>24362</v>
      </c>
      <c r="H312" s="1692">
        <f>SUM(H303,H310)</f>
        <v>0</v>
      </c>
      <c r="I312" s="1692">
        <f>SUM(I303)</f>
        <v>0</v>
      </c>
      <c r="J312" s="1692">
        <f>SUM(J303)</f>
        <v>0</v>
      </c>
      <c r="K312" s="1692">
        <f>SUM(K303,K310,K311)</f>
        <v>45742</v>
      </c>
      <c r="L312" s="1692">
        <f>SUM(L303,L310,L311)</f>
        <v>62000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-45566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40757</v>
      </c>
      <c r="F320" s="467"/>
      <c r="G320" s="467"/>
      <c r="H320" s="467"/>
      <c r="I320" s="467"/>
      <c r="J320" s="467"/>
      <c r="K320" s="1693">
        <f t="shared" ref="K320:K327" si="24">SUM(C320:J320)</f>
        <v>40757</v>
      </c>
      <c r="L320" s="467">
        <v>45000</v>
      </c>
      <c r="M320" s="666"/>
      <c r="N320" s="666"/>
    </row>
    <row r="321" spans="1:14" s="675" customFormat="1" x14ac:dyDescent="0.2">
      <c r="A321" s="1541" t="s">
        <v>318</v>
      </c>
      <c r="B321" s="698" t="s">
        <v>301</v>
      </c>
      <c r="C321" s="467"/>
      <c r="D321" s="467"/>
      <c r="E321" s="467">
        <v>9138</v>
      </c>
      <c r="F321" s="467"/>
      <c r="G321" s="467"/>
      <c r="H321" s="467"/>
      <c r="I321" s="467"/>
      <c r="J321" s="467"/>
      <c r="K321" s="1693">
        <f t="shared" si="24"/>
        <v>9138</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161596</v>
      </c>
      <c r="D325" s="467">
        <v>40013</v>
      </c>
      <c r="E325" s="467">
        <v>91498</v>
      </c>
      <c r="F325" s="467">
        <v>1017</v>
      </c>
      <c r="G325" s="467"/>
      <c r="H325" s="467"/>
      <c r="I325" s="467"/>
      <c r="J325" s="467"/>
      <c r="K325" s="1693">
        <f t="shared" si="24"/>
        <v>294124</v>
      </c>
      <c r="L325" s="467">
        <v>248298</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40825</v>
      </c>
      <c r="F327" s="467"/>
      <c r="G327" s="467"/>
      <c r="H327" s="467"/>
      <c r="I327" s="467"/>
      <c r="J327" s="467"/>
      <c r="K327" s="1693">
        <f t="shared" si="24"/>
        <v>40825</v>
      </c>
      <c r="L327" s="467">
        <v>50000</v>
      </c>
      <c r="M327" s="666"/>
      <c r="N327" s="666"/>
    </row>
    <row r="328" spans="1:14" s="675" customFormat="1" x14ac:dyDescent="0.2">
      <c r="A328" s="1542" t="s">
        <v>492</v>
      </c>
      <c r="B328" s="691" t="s">
        <v>1194</v>
      </c>
      <c r="C328" s="474"/>
      <c r="D328" s="474"/>
      <c r="E328" s="474">
        <v>58246</v>
      </c>
      <c r="F328" s="474"/>
      <c r="G328" s="474"/>
      <c r="H328" s="474"/>
      <c r="I328" s="474"/>
      <c r="J328" s="474"/>
      <c r="K328" s="1721">
        <f>SUM(C328:J328)</f>
        <v>58246</v>
      </c>
      <c r="L328" s="474">
        <v>36000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161596</v>
      </c>
      <c r="D330" s="1692">
        <f t="shared" ref="D330:J330" si="25">SUM(D319:D329)</f>
        <v>40013</v>
      </c>
      <c r="E330" s="1692">
        <f t="shared" si="25"/>
        <v>240464</v>
      </c>
      <c r="F330" s="1692">
        <f t="shared" si="25"/>
        <v>1017</v>
      </c>
      <c r="G330" s="1692">
        <f t="shared" si="25"/>
        <v>0</v>
      </c>
      <c r="H330" s="1692">
        <f t="shared" si="25"/>
        <v>0</v>
      </c>
      <c r="I330" s="1692">
        <f t="shared" si="25"/>
        <v>0</v>
      </c>
      <c r="J330" s="1692">
        <f t="shared" si="25"/>
        <v>0</v>
      </c>
      <c r="K330" s="1692">
        <f>SUM(K319:K329)</f>
        <v>443090</v>
      </c>
      <c r="L330" s="1692">
        <f>SUM(L319:L329)</f>
        <v>379298</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72125</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72125</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161596</v>
      </c>
      <c r="D342" s="1692">
        <f>SUM(D330)</f>
        <v>40013</v>
      </c>
      <c r="E342" s="1692">
        <f>SUM(E330)</f>
        <v>240464</v>
      </c>
      <c r="F342" s="1692">
        <f>SUM(F330)</f>
        <v>1017</v>
      </c>
      <c r="G342" s="1692">
        <f>SUM(G330)</f>
        <v>0</v>
      </c>
      <c r="H342" s="1692">
        <f>SUM(H330,H334,H340)</f>
        <v>0</v>
      </c>
      <c r="I342" s="1692">
        <f>SUM(I330)</f>
        <v>0</v>
      </c>
      <c r="J342" s="1692">
        <f>SUM(J330)</f>
        <v>0</v>
      </c>
      <c r="K342" s="1692">
        <f>SUM(K330,K334,K340)</f>
        <v>443090</v>
      </c>
      <c r="L342" s="1699">
        <f>SUM(L330,L340,L341)</f>
        <v>379298</v>
      </c>
    </row>
    <row r="343" spans="1:14" ht="12.75" customHeight="1" thickTop="1" x14ac:dyDescent="0.2">
      <c r="A343" s="2186" t="s">
        <v>1053</v>
      </c>
      <c r="B343" s="2187"/>
      <c r="C343" s="617"/>
      <c r="D343" s="617"/>
      <c r="E343" s="617"/>
      <c r="F343" s="617"/>
      <c r="G343" s="617"/>
      <c r="H343" s="617"/>
      <c r="I343" s="617"/>
      <c r="J343" s="617"/>
      <c r="K343" s="1706">
        <f>'Revenues 9-14'!J275-'Expenditures 15-22'!K342</f>
        <v>379466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21365</v>
      </c>
      <c r="F348" s="466"/>
      <c r="G348" s="466">
        <v>1300</v>
      </c>
      <c r="H348" s="466"/>
      <c r="I348" s="467"/>
      <c r="J348" s="467"/>
      <c r="K348" s="1693">
        <f>SUM(C348:J348)</f>
        <v>22665</v>
      </c>
      <c r="L348" s="466">
        <v>515000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21365</v>
      </c>
      <c r="F350" s="1692">
        <f t="shared" si="26"/>
        <v>0</v>
      </c>
      <c r="G350" s="1692">
        <f t="shared" si="26"/>
        <v>1300</v>
      </c>
      <c r="H350" s="1692">
        <f t="shared" si="26"/>
        <v>0</v>
      </c>
      <c r="I350" s="1692">
        <f t="shared" si="26"/>
        <v>0</v>
      </c>
      <c r="J350" s="1692">
        <f t="shared" si="26"/>
        <v>0</v>
      </c>
      <c r="K350" s="1692">
        <f t="shared" si="26"/>
        <v>22665</v>
      </c>
      <c r="L350" s="1692">
        <f t="shared" si="26"/>
        <v>515000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21365</v>
      </c>
      <c r="F352" s="1692">
        <f t="shared" si="27"/>
        <v>0</v>
      </c>
      <c r="G352" s="1692">
        <f t="shared" si="27"/>
        <v>1300</v>
      </c>
      <c r="H352" s="1692">
        <f t="shared" si="27"/>
        <v>0</v>
      </c>
      <c r="I352" s="1692">
        <f t="shared" si="27"/>
        <v>0</v>
      </c>
      <c r="J352" s="1692">
        <f t="shared" si="27"/>
        <v>0</v>
      </c>
      <c r="K352" s="1692">
        <f t="shared" si="27"/>
        <v>22665</v>
      </c>
      <c r="L352" s="1692">
        <f t="shared" si="27"/>
        <v>515000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21365</v>
      </c>
      <c r="F367" s="1692">
        <f t="shared" si="28"/>
        <v>0</v>
      </c>
      <c r="G367" s="1692">
        <f t="shared" si="28"/>
        <v>1300</v>
      </c>
      <c r="H367" s="1692">
        <f t="shared" si="28"/>
        <v>0</v>
      </c>
      <c r="I367" s="1692">
        <f t="shared" si="28"/>
        <v>0</v>
      </c>
      <c r="J367" s="1692">
        <f t="shared" si="28"/>
        <v>0</v>
      </c>
      <c r="K367" s="1692">
        <f t="shared" si="28"/>
        <v>22665</v>
      </c>
      <c r="L367" s="1692">
        <f t="shared" si="28"/>
        <v>515000</v>
      </c>
    </row>
    <row r="368" spans="1:14" ht="13.5" thickTop="1" x14ac:dyDescent="0.2">
      <c r="A368" s="2200" t="s">
        <v>1053</v>
      </c>
      <c r="B368" s="2201"/>
      <c r="C368" s="655"/>
      <c r="D368" s="655"/>
      <c r="E368" s="627"/>
      <c r="F368" s="627"/>
      <c r="G368" s="627"/>
      <c r="H368" s="627"/>
      <c r="I368" s="627"/>
      <c r="J368" s="624"/>
      <c r="K368" s="1693">
        <f>'Revenues 9-14'!K275-'Expenditures 15-22'!K367</f>
        <v>119073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gridLinesSet="0"/>
  <pageMargins left="0.75" right="0.75" top="1.1499999999999999" bottom="0.5" header="0.5" footer="0.5"/>
  <pageSetup scale="60" firstPageNumber="15" fitToHeight="0" orientation="landscape" r:id="rId1"/>
  <headerFooter>
    <oddHeader>&amp;C&amp;"Times New Roman,Regular"PONTIAC-WILLIAM HOLLIDAY SCHOOL DISTRICT NO. 105
STATEMENT OF DISBURSEMENTS - CASH - REGULATORY BASIS
(ACTUAL AND BUDGET)
ALL FUNDS
FOR THE YEAR ENDED JUNE 30, 2018</oddHeader>
    <oddFooter>&amp;C&amp;"Times New Roman,Regular"See Notes to Financial Statements and Independent Auditor's Reports
&amp;P</oddFooter>
  </headerFooter>
  <rowBreaks count="6" manualBreakCount="6">
    <brk id="53" max="16383" man="1"/>
    <brk id="107" max="16383" man="1"/>
    <brk id="160" max="16383" man="1"/>
    <brk id="208" max="16383" man="1"/>
    <brk id="261" max="16383" man="1"/>
    <brk id="31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elements/1.1/"/>
    <ds:schemaRef ds:uri="http://purl.org/dc/dcmitype/"/>
    <ds:schemaRef ds:uri="http://schemas.microsoft.com/sharepoint/v3"/>
    <ds:schemaRef ds:uri="d21dc803-237d-4c68-8692-8d731fd29118"/>
    <ds:schemaRef ds:uri="http://purl.org/dc/term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22</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'Aud Quest 2'!Print_Area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'Tax Sched 23'!Print_Area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2018-09-11T16:29:05Z</cp:lastPrinted>
  <dcterms:created xsi:type="dcterms:W3CDTF">2003-10-29T19:06:34Z</dcterms:created>
  <dcterms:modified xsi:type="dcterms:W3CDTF">2018-09-18T19:23:57Z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