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AC32" sheetId="145" r:id="rId17"/>
    <sheet name="Itemization 33" sheetId="127" r:id="rId18"/>
    <sheet name="Shared Outsourced Services 31" sheetId="182"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page 1 of 3" sheetId="179" r:id="rId29"/>
    <sheet name=" SEFA page 2 of 3" sheetId="183" r:id="rId30"/>
    <sheet name=" SEFA page 3 of 3" sheetId="184" r:id="rId31"/>
    <sheet name="SF&amp;QC Sec-1" sheetId="174" r:id="rId32"/>
    <sheet name="SF&amp;QC Sec-2" sheetId="175" r:id="rId33"/>
    <sheet name="SF&amp;QC Sec-3" sheetId="176" r:id="rId34"/>
    <sheet name="SSPAF" sheetId="177" r:id="rId35"/>
  </sheets>
  <definedNames>
    <definedName name="_xlnm.Print_Area" localSheetId="28">' SEFA page 1 of 3'!$B$1:$M$46</definedName>
    <definedName name="_xlnm.Print_Area" localSheetId="29">' SEFA page 2 of 3'!$B$1:$M$46</definedName>
    <definedName name="_xlnm.Print_Area" localSheetId="30">' SEFA page 3 of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8">'Shared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6">#REF!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6">#REF!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6">#REF!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6">#REF!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6">#REF!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F21" i="181" l="1"/>
  <c r="C33" i="173" l="1"/>
  <c r="D35" i="171"/>
  <c r="E8" i="108"/>
  <c r="E9" i="108"/>
  <c r="E10" i="108"/>
  <c r="E12" i="108"/>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G21" i="18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J85" i="28"/>
  <c r="B7758" i="106" s="1"/>
  <c r="D7758" i="106" s="1"/>
  <c r="J88" i="28"/>
  <c r="K6" i="29"/>
  <c r="B7763" i="106" s="1"/>
  <c r="B7762" i="106"/>
  <c r="K12" i="12"/>
  <c r="B7719" i="106" s="1"/>
  <c r="D7719" i="106" s="1"/>
  <c r="K23" i="12"/>
  <c r="K24" i="12" s="1"/>
  <c r="B7733" i="106" s="1"/>
  <c r="D7733" i="106" s="1"/>
  <c r="J12" i="12"/>
  <c r="J21" i="12"/>
  <c r="J23" i="12" s="1"/>
  <c r="B7729" i="106"/>
  <c r="D7729" i="106" s="1"/>
  <c r="B7734" i="106"/>
  <c r="D7734" i="106" s="1"/>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B5304" i="106" s="1"/>
  <c r="D5304" i="106" s="1"/>
  <c r="C259" i="5"/>
  <c r="B6833" i="106" s="1"/>
  <c r="D6833" i="106" s="1"/>
  <c r="B7761" i="106"/>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K93" i="29"/>
  <c r="K94" i="29"/>
  <c r="B6999" i="106" s="1"/>
  <c r="D6999" i="106" s="1"/>
  <c r="K95" i="29"/>
  <c r="K96" i="29"/>
  <c r="B7003" i="106" s="1"/>
  <c r="D7003" i="106" s="1"/>
  <c r="K97" i="29"/>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G27" i="108"/>
  <c r="F31" i="108"/>
  <c r="G28" i="108"/>
  <c r="E30" i="108"/>
  <c r="D31"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F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F106" i="34"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D14" i="4"/>
  <c r="B2570" i="106" s="1"/>
  <c r="D2570" i="106" s="1"/>
  <c r="B2633" i="106"/>
  <c r="D2633" i="106" s="1"/>
  <c r="D7" i="118"/>
  <c r="D8" i="118"/>
  <c r="D9" i="118"/>
  <c r="H14" i="118"/>
  <c r="H19" i="118"/>
  <c r="H24" i="118"/>
  <c r="D13" i="7"/>
  <c r="B3726" i="106" s="1"/>
  <c r="D3726" i="106" s="1"/>
  <c r="D12" i="7"/>
  <c r="B1769" i="106" s="1"/>
  <c r="D1769" i="106" s="1"/>
  <c r="B5752" i="106" l="1"/>
  <c r="D5752" i="106" s="1"/>
  <c r="F46" i="34"/>
  <c r="F26" i="108"/>
  <c r="F70" i="34"/>
  <c r="F42" i="34"/>
  <c r="G34" i="108"/>
  <c r="D36" i="108"/>
  <c r="F36" i="108"/>
  <c r="F36" i="34"/>
  <c r="G30" i="108"/>
  <c r="D68" i="36"/>
  <c r="L22" i="37"/>
  <c r="D22" i="37"/>
  <c r="E26" i="108"/>
  <c r="F14" i="4"/>
  <c r="B2597" i="106" s="1"/>
  <c r="D2597" i="106" s="1"/>
  <c r="F37" i="108"/>
  <c r="D26" i="108"/>
  <c r="B7047" i="106"/>
  <c r="D7047" i="106" s="1"/>
  <c r="F69" i="34"/>
  <c r="F62" i="34"/>
  <c r="F49" i="34"/>
  <c r="F38" i="34"/>
  <c r="G39" i="108"/>
  <c r="G26" i="108"/>
  <c r="F45" i="34"/>
  <c r="B1126" i="106"/>
  <c r="D1126" i="106" s="1"/>
  <c r="D9" i="7"/>
  <c r="B1767" i="106" s="1"/>
  <c r="D1767" i="106" s="1"/>
  <c r="J274" i="5"/>
  <c r="B7054" i="106" s="1"/>
  <c r="D7054" i="106" s="1"/>
  <c r="D17" i="7"/>
  <c r="B4104" i="106" s="1"/>
  <c r="D4104" i="106" s="1"/>
  <c r="D5" i="7"/>
  <c r="B1761" i="106" s="1"/>
  <c r="D1761" i="106" s="1"/>
  <c r="H33" i="118"/>
  <c r="D24" i="37"/>
  <c r="B4270" i="106" s="1"/>
  <c r="D4270" i="106" s="1"/>
  <c r="F71" i="34"/>
  <c r="G35" i="108"/>
  <c r="G33" i="108"/>
  <c r="F34" i="34"/>
  <c r="E35" i="108"/>
  <c r="B2724" i="106"/>
  <c r="D2724" i="106" s="1"/>
  <c r="D15" i="7"/>
  <c r="B1772" i="106" s="1"/>
  <c r="D1772" i="106" s="1"/>
  <c r="F111" i="34"/>
  <c r="G5" i="4"/>
  <c r="B3409" i="106" s="1"/>
  <c r="D3409" i="106" s="1"/>
  <c r="D11" i="7"/>
  <c r="B1768" i="106" s="1"/>
  <c r="D1768" i="106" s="1"/>
  <c r="F131" i="34"/>
  <c r="D4" i="7"/>
  <c r="B1760" i="106" s="1"/>
  <c r="D1760" i="106" s="1"/>
  <c r="B1223" i="106"/>
  <c r="D1223" i="106" s="1"/>
  <c r="I210" i="29"/>
  <c r="H112" i="29"/>
  <c r="B7018" i="106" s="1"/>
  <c r="D7018" i="106" s="1"/>
  <c r="C342" i="29"/>
  <c r="B7216" i="106" s="1"/>
  <c r="D7216" i="106" s="1"/>
  <c r="J352" i="29"/>
  <c r="J367" i="29" s="1"/>
  <c r="B7245" i="106" s="1"/>
  <c r="D7245" i="106" s="1"/>
  <c r="J210" i="29"/>
  <c r="B7072" i="106" s="1"/>
  <c r="D7072" i="106" s="1"/>
  <c r="K184" i="29"/>
  <c r="F13" i="4" s="1"/>
  <c r="B2596" i="106" s="1"/>
  <c r="D2596" i="106" s="1"/>
  <c r="G29" i="108"/>
  <c r="E29" i="108"/>
  <c r="H342" i="29"/>
  <c r="B7221" i="106" s="1"/>
  <c r="D7221" i="106" s="1"/>
  <c r="F72" i="34"/>
  <c r="E38" i="108"/>
  <c r="G14" i="4"/>
  <c r="B2609" i="106" s="1"/>
  <c r="D2609" i="106" s="1"/>
  <c r="D27" i="108"/>
  <c r="F28" i="108"/>
  <c r="E28" i="108"/>
  <c r="I342" i="29"/>
  <c r="B7222" i="106" s="1"/>
  <c r="D7222" i="106" s="1"/>
  <c r="B6995" i="106"/>
  <c r="D6995" i="106" s="1"/>
  <c r="G38" i="108"/>
  <c r="B1124" i="106"/>
  <c r="D1124" i="106" s="1"/>
  <c r="F35" i="34"/>
  <c r="B3619" i="106"/>
  <c r="D3619" i="106" s="1"/>
  <c r="D7" i="7"/>
  <c r="B1763" i="106" s="1"/>
  <c r="D1763" i="106" s="1"/>
  <c r="D6103" i="106"/>
  <c r="K26" i="12"/>
  <c r="B7743" i="106" s="1"/>
  <c r="D7743" i="106" s="1"/>
  <c r="B1746" i="106"/>
  <c r="D1746" i="106" s="1"/>
  <c r="F128" i="34"/>
  <c r="H173" i="5"/>
  <c r="F127" i="34"/>
  <c r="I173" i="5"/>
  <c r="B4216" i="106" s="1"/>
  <c r="D4216" i="106" s="1"/>
  <c r="H109" i="5"/>
  <c r="G15" i="145"/>
  <c r="B6289" i="106"/>
  <c r="D6289" i="106" s="1"/>
  <c r="H76" i="4"/>
  <c r="B3298" i="106" s="1"/>
  <c r="D3298" i="106" s="1"/>
  <c r="J22" i="37"/>
  <c r="D69" i="36"/>
  <c r="I24" i="12"/>
  <c r="N22" i="3"/>
  <c r="B283" i="106" s="1"/>
  <c r="D283" i="106" s="1"/>
  <c r="F21" i="8"/>
  <c r="H28" i="118"/>
  <c r="F19" i="7"/>
  <c r="B1807" i="106" s="1"/>
  <c r="D1807" i="106" s="1"/>
  <c r="L312" i="29"/>
  <c r="B3647" i="106"/>
  <c r="D3647" i="106" s="1"/>
  <c r="B1329" i="106"/>
  <c r="D1329" i="106" s="1"/>
  <c r="F61" i="34"/>
  <c r="L13" i="11"/>
  <c r="B2060" i="106" s="1"/>
  <c r="D2060" i="106" s="1"/>
  <c r="H29" i="118"/>
  <c r="D11" i="37"/>
  <c r="D31" i="36"/>
  <c r="G109" i="5"/>
  <c r="B5730" i="106"/>
  <c r="D5730" i="106" s="1"/>
  <c r="B5886" i="106"/>
  <c r="D5886" i="106" s="1"/>
  <c r="B4373" i="106"/>
  <c r="D4373" i="106" s="1"/>
  <c r="J77" i="4"/>
  <c r="B6262" i="106" s="1"/>
  <c r="D6262" i="106" s="1"/>
  <c r="K76" i="4"/>
  <c r="B3586" i="106" s="1"/>
  <c r="D3586" i="106" s="1"/>
  <c r="D54" i="36"/>
  <c r="E174" i="29"/>
  <c r="B1309" i="106" s="1"/>
  <c r="D1309" i="106" s="1"/>
  <c r="H365" i="29"/>
  <c r="B7242" i="106" s="1"/>
  <c r="D7242" i="106" s="1"/>
  <c r="K274" i="5"/>
  <c r="K7" i="4" s="1"/>
  <c r="B3718" i="106" s="1"/>
  <c r="D3718" i="106" s="1"/>
  <c r="G172" i="5"/>
  <c r="C172" i="5"/>
  <c r="C173" i="5" s="1"/>
  <c r="B5223" i="106" s="1"/>
  <c r="D5223" i="106" s="1"/>
  <c r="C109" i="5"/>
  <c r="B5121" i="106" s="1"/>
  <c r="D5121" i="106" s="1"/>
  <c r="D109" i="5"/>
  <c r="F77" i="4"/>
  <c r="B3255" i="106" s="1"/>
  <c r="D3255" i="106" s="1"/>
  <c r="J41" i="3"/>
  <c r="B6216" i="106" s="1"/>
  <c r="D6216" i="106" s="1"/>
  <c r="L15" i="11"/>
  <c r="B3459" i="106" s="1"/>
  <c r="D3459" i="106" s="1"/>
  <c r="L5" i="11"/>
  <c r="B2056" i="106" s="1"/>
  <c r="D2056" i="106" s="1"/>
  <c r="L342" i="29"/>
  <c r="B3621" i="106"/>
  <c r="D3621" i="106" s="1"/>
  <c r="C367" i="29"/>
  <c r="B3622" i="106" s="1"/>
  <c r="D3622" i="106" s="1"/>
  <c r="K285" i="29"/>
  <c r="B1410" i="106"/>
  <c r="D1410" i="106" s="1"/>
  <c r="B3649" i="106"/>
  <c r="D3649" i="106" s="1"/>
  <c r="G367" i="29"/>
  <c r="B3650" i="106" s="1"/>
  <c r="D3650" i="106" s="1"/>
  <c r="L367" i="29"/>
  <c r="K350" i="29"/>
  <c r="G210" i="29"/>
  <c r="E109" i="5"/>
  <c r="E4" i="4" s="1"/>
  <c r="B2630" i="106" s="1"/>
  <c r="D2630" i="106" s="1"/>
  <c r="F136" i="34"/>
  <c r="K173" i="5"/>
  <c r="K6" i="4" s="1"/>
  <c r="B3570" i="106" s="1"/>
  <c r="D3570" i="106" s="1"/>
  <c r="F172" i="5"/>
  <c r="B5644" i="106" s="1"/>
  <c r="D5644" i="106" s="1"/>
  <c r="F130" i="34"/>
  <c r="B7041" i="106"/>
  <c r="D7041" i="106" s="1"/>
  <c r="K41" i="3"/>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D7256" i="106" l="1"/>
  <c r="D7250" i="106"/>
  <c r="K77" i="4"/>
  <c r="B3587" i="106" s="1"/>
  <c r="D3587" i="106" s="1"/>
  <c r="D41" i="108"/>
  <c r="E43" i="108" s="1"/>
  <c r="B1328" i="106"/>
  <c r="D1328" i="106" s="1"/>
  <c r="B3628" i="106"/>
  <c r="D3628" i="106" s="1"/>
  <c r="F41" i="108"/>
  <c r="G43" i="108" s="1"/>
  <c r="B1266" i="106"/>
  <c r="D1266" i="106" s="1"/>
  <c r="B5914" i="106"/>
  <c r="D5914" i="106" s="1"/>
  <c r="H275" i="5"/>
  <c r="D274" i="5"/>
  <c r="D7253" i="106"/>
  <c r="B1381" i="106"/>
  <c r="D1381" i="106" s="1"/>
  <c r="D51" i="36"/>
  <c r="I6" i="4"/>
  <c r="B5011" i="106" s="1"/>
  <c r="D5011" i="106" s="1"/>
  <c r="B7235" i="106"/>
  <c r="D7235" i="106" s="1"/>
  <c r="B7071" i="106"/>
  <c r="D7071" i="106" s="1"/>
  <c r="F66" i="34"/>
  <c r="D7255" i="106"/>
  <c r="D7251" i="106"/>
  <c r="K365" i="29"/>
  <c r="K16" i="4" s="1"/>
  <c r="L114" i="29"/>
  <c r="N23" i="3"/>
  <c r="B284" i="106" s="1"/>
  <c r="D284" i="106" s="1"/>
  <c r="B1317" i="106"/>
  <c r="D1317" i="106" s="1"/>
  <c r="C114" i="29"/>
  <c r="B757" i="106" s="1"/>
  <c r="D757" i="106" s="1"/>
  <c r="B6025" i="106"/>
  <c r="D6025" i="106" s="1"/>
  <c r="H4" i="4"/>
  <c r="B2655" i="106" s="1"/>
  <c r="D2655" i="106" s="1"/>
  <c r="F173" i="5"/>
  <c r="B5527" i="106"/>
  <c r="D5527" i="106" s="1"/>
  <c r="C6" i="4"/>
  <c r="B2553" i="106" s="1"/>
  <c r="D2553" i="106" s="1"/>
  <c r="H77" i="4"/>
  <c r="B3299" i="106" s="1"/>
  <c r="D3299" i="106" s="1"/>
  <c r="C4" i="4"/>
  <c r="B2551" i="106" s="1"/>
  <c r="D2551" i="106" s="1"/>
  <c r="B5906" i="106"/>
  <c r="D5906" i="106" s="1"/>
  <c r="H6" i="4"/>
  <c r="B2656" i="106" s="1"/>
  <c r="D2656" i="106" s="1"/>
  <c r="B1996" i="106"/>
  <c r="D1996" i="106" s="1"/>
  <c r="I26" i="12"/>
  <c r="B7741" i="106" s="1"/>
  <c r="D7741" i="106" s="1"/>
  <c r="K28" i="118"/>
  <c r="O27" i="118" s="1"/>
  <c r="O29" i="118" s="1"/>
  <c r="B1879" i="106"/>
  <c r="D1879" i="106" s="1"/>
  <c r="H22" i="37"/>
  <c r="B1365" i="106"/>
  <c r="D1365" i="106" s="1"/>
  <c r="F65" i="34"/>
  <c r="K342" i="29"/>
  <c r="F13" i="34" s="1"/>
  <c r="F73" i="34"/>
  <c r="G15" i="4"/>
  <c r="B6032" i="106" s="1"/>
  <c r="D6032" i="106" s="1"/>
  <c r="F274" i="5"/>
  <c r="B5719" i="106" s="1"/>
  <c r="D5719" i="106" s="1"/>
  <c r="G173" i="5"/>
  <c r="B5770" i="106"/>
  <c r="D5770" i="106" s="1"/>
  <c r="B5356" i="106"/>
  <c r="D5356" i="106" s="1"/>
  <c r="D4" i="4"/>
  <c r="B2564" i="106" s="1"/>
  <c r="D2564" i="106" s="1"/>
  <c r="B6014" i="106"/>
  <c r="D6014" i="106" s="1"/>
  <c r="B5214" i="106"/>
  <c r="D5214" i="106" s="1"/>
  <c r="B6024" i="106"/>
  <c r="D6024" i="106" s="1"/>
  <c r="G4" i="4"/>
  <c r="B2603" i="106" s="1"/>
  <c r="D2603" i="106" s="1"/>
  <c r="D44" i="36"/>
  <c r="L16" i="11"/>
  <c r="B2061" i="106" s="1"/>
  <c r="D2061" i="106" s="1"/>
  <c r="D19" i="7"/>
  <c r="B1775" i="106" s="1"/>
  <c r="D1775" i="106" s="1"/>
  <c r="H367" i="29"/>
  <c r="B3660" i="106" s="1"/>
  <c r="D3660" i="106" s="1"/>
  <c r="B3670" i="106"/>
  <c r="D3670" i="106" s="1"/>
  <c r="K352" i="29"/>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B5507" i="106"/>
  <c r="D5507" i="106" s="1"/>
  <c r="B7298" i="106"/>
  <c r="B7299" i="106"/>
  <c r="B7243" i="106" l="1"/>
  <c r="D7243" i="106" s="1"/>
  <c r="D275" i="5"/>
  <c r="F7" i="4"/>
  <c r="B2594" i="106" s="1"/>
  <c r="D2594" i="106" s="1"/>
  <c r="B7224" i="106"/>
  <c r="D7224" i="106" s="1"/>
  <c r="F275" i="5"/>
  <c r="B5720" i="106" s="1"/>
  <c r="D5720" i="106" s="1"/>
  <c r="F6" i="4"/>
  <c r="B2593" i="106" s="1"/>
  <c r="D2593" i="106" s="1"/>
  <c r="B5653" i="106"/>
  <c r="D5653" i="106" s="1"/>
  <c r="F24" i="37"/>
  <c r="H8" i="4"/>
  <c r="J8" i="4"/>
  <c r="K367" i="29"/>
  <c r="K368" i="29" s="1"/>
  <c r="B3681" i="106" s="1"/>
  <c r="D3681" i="106" s="1"/>
  <c r="K13" i="4"/>
  <c r="B3572" i="106" s="1"/>
  <c r="D3572" i="106" s="1"/>
  <c r="B3672" i="106"/>
  <c r="D3672" i="106" s="1"/>
  <c r="E41" i="108"/>
  <c r="E44" i="108" s="1"/>
  <c r="E45" i="108" s="1"/>
  <c r="G41" i="108"/>
  <c r="G44" i="108" s="1"/>
  <c r="G45" i="108" s="1"/>
  <c r="J17" i="4"/>
  <c r="J19" i="4" s="1"/>
  <c r="B6229" i="106" s="1"/>
  <c r="D6229" i="106"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F8" i="4" l="1"/>
  <c r="B2595" i="106" s="1"/>
  <c r="D2595" i="106" s="1"/>
  <c r="B6227" i="106"/>
  <c r="D6227" i="106" s="1"/>
  <c r="J20" i="4"/>
  <c r="J78" i="4" s="1"/>
  <c r="J10" i="4"/>
  <c r="B6225" i="106" s="1"/>
  <c r="D6225" i="106" s="1"/>
  <c r="B3678" i="106"/>
  <c r="D3678" i="106" s="1"/>
  <c r="H10" i="4"/>
  <c r="B4127" i="106" s="1"/>
  <c r="D4127" i="106" s="1"/>
  <c r="B2658" i="106"/>
  <c r="D2658" i="106" s="1"/>
  <c r="K17" i="4"/>
  <c r="B3575" i="106" s="1"/>
  <c r="D3575" i="106" s="1"/>
  <c r="D8" i="4"/>
  <c r="B2568" i="106" s="1"/>
  <c r="D256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F10" i="4" l="1"/>
  <c r="B4125" i="106" s="1"/>
  <c r="D4125" i="106" s="1"/>
  <c r="B6230" i="106"/>
  <c r="D6230" i="106" s="1"/>
  <c r="K20" i="4"/>
  <c r="K78" i="4" s="1"/>
  <c r="D8" i="146"/>
  <c r="D10" i="4"/>
  <c r="B4123" i="106" s="1"/>
  <c r="D4123" i="106" s="1"/>
  <c r="C8" i="146"/>
  <c r="D20" i="4"/>
  <c r="B2574" i="106" s="1"/>
  <c r="D2574" i="106" s="1"/>
  <c r="K19" i="4"/>
  <c r="B4144" i="106" s="1"/>
  <c r="D4144"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D78" i="4" l="1"/>
  <c r="F8" i="146"/>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81" i="34"/>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<sst xmlns="http://schemas.openxmlformats.org/spreadsheetml/2006/main" count="5393" uniqueCount="2206">
  <si>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</si>
  <si>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</si>
  <si>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</si>
  <si>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</si>
  <si>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</si>
  <si>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</si>
  <si>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</si>
  <si>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</si>
  <si>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</si>
  <si>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</si>
  <si>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</si>
  <si>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</si>
  <si>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</si>
  <si>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</si>
  <si>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</si>
  <si>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</si>
  <si>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</si>
  <si>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</si>
  <si>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</si>
  <si>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</si>
  <si>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</si>
  <si>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</si>
  <si>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</si>
  <si>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</si>
  <si>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</si>
  <si>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</si>
  <si>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</si>
  <si>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</si>
  <si>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</si>
  <si>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</si>
  <si>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</si>
  <si>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</si>
  <si>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</si>
  <si>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</si>
  <si>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</si>
  <si>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</si>
  <si>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</si>
  <si>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</si>
  <si>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</si>
  <si>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</si>
  <si>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</si>
  <si>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</si>
  <si>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</si>
  <si>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</si>
  <si>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</si>
  <si>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</si>
  <si>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</si>
  <si>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</si>
  <si>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</si>
  <si>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</si>
  <si>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</si>
  <si>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</si>
  <si>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</si>
  <si>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</si>
  <si>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</si>
  <si>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</si>
  <si>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</si>
  <si>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</si>
  <si>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</si>
  <si>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</si>
  <si>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</si>
  <si>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</si>
  <si>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</si>
  <si>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</si>
  <si>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</si>
  <si>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</si>
  <si>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</si>
  <si>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</si>
  <si>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</si>
  <si>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</si>
  <si>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</si>
  <si>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</si>
  <si>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</si>
  <si>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</si>
  <si>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</si>
  <si>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</si>
  <si>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</si>
  <si>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</si>
  <si>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</si>
  <si>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</si>
  <si>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</si>
  <si>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</si>
  <si>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</si>
  <si>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</si>
  <si>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</si>
  <si>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</si>
  <si>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</si>
  <si>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</si>
  <si>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</si>
  <si>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</si>
  <si>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</si>
  <si>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</si>
  <si>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</si>
  <si>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</si>
  <si>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</si>
  <si>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</si>
  <si>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</si>
  <si>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</si>
  <si>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</si>
  <si>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</si>
  <si>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</si>
  <si>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</si>
  <si>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</si>
  <si>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</si>
  <si>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</si>
  <si>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</si>
  <si>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</si>
  <si>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</si>
  <si>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</si>
  <si>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</si>
  <si>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</si>
  <si>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</si>
  <si>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</si>
  <si>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</si>
  <si>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</si>
  <si>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</si>
  <si>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</si>
  <si>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</si>
  <si>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</si>
  <si>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</si>
  <si>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</si>
  <si>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</si>
  <si>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</si>
  <si>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</si>
  <si>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</si>
  <si>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</si>
  <si>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</si>
  <si>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</si>
  <si>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</si>
  <si>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</si>
  <si>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</si>
  <si>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</si>
  <si>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</si>
  <si>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</si>
  <si>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</si>
  <si>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</si>
  <si>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</si>
  <si>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</si>
  <si>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</si>
  <si>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</si>
  <si>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</si>
  <si>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</si>
  <si>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</si>
  <si>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</si>
  <si>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</si>
  <si>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</si>
  <si>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</si>
  <si>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</si>
  <si>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</si>
  <si>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</si>
  <si>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</si>
  <si>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</si>
  <si>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</si>
  <si>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</si>
  <si>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</si>
  <si>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</si>
  <si>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</si>
  <si>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</si>
  <si>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</si>
  <si>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</si>
  <si>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</si>
  <si>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</si>
  <si>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</si>
  <si>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</si>
  <si>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</si>
  <si>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</si>
  <si>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</si>
  <si>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</si>
  <si>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</si>
  <si>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</si>
  <si>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</si>
  <si>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</si>
  <si>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</si>
  <si>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</si>
  <si>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</si>
  <si>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</si>
  <si>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</si>
  <si>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</si>
  <si>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</si>
  <si>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</si>
  <si>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</si>
  <si>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</si>
  <si>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</si>
  <si>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</si>
  <si>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</si>
  <si>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</si>
  <si>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</si>
  <si>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</si>
  <si>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</si>
  <si>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</si>
  <si>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</si>
  <si>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</si>
  <si>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</si>
  <si>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</si>
  <si>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</si>
  <si>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</si>
  <si>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</si>
  <si>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</si>
  <si>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</si>
  <si>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</si>
  <si>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</si>
  <si>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</si>
  <si>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</si>
  <si>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</si>
  <si>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</si>
  <si>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</si>
  <si>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</si>
  <si>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</si>
  <si>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</si>
  <si>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</si>
  <si>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</si>
  <si>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</si>
  <si>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</si>
  <si>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</si>
  <si>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</si>
  <si>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</si>
  <si>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</si>
  <si>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</si>
  <si>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</si>
  <si>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</si>
  <si>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</si>
  <si>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</si>
  <si>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</si>
  <si>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</si>
  <si>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</si>
  <si>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</si>
  <si>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</si>
  <si>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</si>
  <si>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</si>
  <si>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</si>
  <si>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</si>
  <si>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</si>
  <si>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</si>
  <si>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</si>
  <si>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</si>
  <si>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</si>
  <si>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</si>
  <si>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</si>
  <si>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</si>
  <si>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</si>
  <si>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</si>
  <si>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</si>
  <si>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</si>
  <si>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</si>
  <si>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</si>
  <si>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</si>
  <si>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</si>
  <si>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</si>
  <si>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</si>
  <si>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</si>
  <si>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</si>
  <si>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</si>
  <si>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</si>
  <si>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</si>
  <si>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</si>
  <si>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</si>
  <si>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</si>
  <si>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</si>
  <si>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</si>
  <si>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</si>
  <si>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</si>
  <si>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</si>
  <si>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</si>
  <si>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</si>
  <si>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</si>
  <si>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</si>
  <si>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</si>
  <si>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</si>
  <si>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</si>
  <si>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</si>
  <si>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</si>
  <si>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</si>
  <si>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</si>
  <si>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</si>
  <si>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</si>
  <si>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</si>
  <si>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</si>
  <si>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</si>
  <si>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</si>
  <si>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</si>
  <si>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</si>
  <si>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</si>
  <si>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</si>
  <si>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</si>
  <si>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</si>
  <si>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</si>
  <si>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</si>
  <si>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</si>
  <si>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</si>
  <si>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</si>
  <si>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</si>
  <si>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</si>
  <si>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</si>
  <si>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</si>
  <si>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</si>
  <si>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</si>
  <si>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</si>
  <si>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</si>
  <si>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</si>
  <si>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</si>
  <si>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</si>
  <si>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</si>
  <si>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</si>
  <si>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</si>
  <si>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</si>
  <si>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</si>
  <si>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</si>
  <si>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</si>
  <si>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</si>
  <si>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</si>
  <si>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</si>
  <si>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</si>
  <si>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</si>
  <si>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</si>
  <si>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</si>
  <si>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</si>
  <si>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</si>
  <si>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</si>
  <si>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</si>
  <si>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</si>
  <si>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</si>
  <si>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</si>
  <si>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</si>
  <si>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</si>
  <si>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</si>
  <si>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</si>
  <si>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</si>
  <si>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</si>
  <si>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</si>
  <si>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</si>
  <si>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</si>
  <si>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</si>
  <si>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</si>
  <si>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</si>
  <si>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</si>
  <si>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</si>
  <si>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</si>
  <si>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</si>
  <si>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</si>
  <si>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</si>
  <si>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</si>
  <si>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</si>
  <si>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</si>
  <si>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</si>
  <si>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</si>
  <si>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</si>
  <si>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</si>
  <si>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</si>
  <si>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</si>
  <si>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</si>
  <si>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</si>
  <si>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</si>
  <si>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</si>
  <si>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</si>
  <si>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</si>
  <si>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</si>
  <si>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</si>
  <si>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</si>
  <si>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</si>
  <si>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</si>
  <si>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</si>
  <si>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</si>
  <si>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</si>
  <si>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</si>
  <si>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</si>
  <si>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</si>
  <si>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</si>
  <si>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</si>
  <si>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</si>
  <si>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</si>
  <si>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</si>
  <si>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</si>
  <si>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</si>
  <si>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</si>
  <si>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</si>
  <si>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</si>
  <si>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</si>
  <si>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</si>
  <si>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</si>
  <si>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</si>
  <si>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</si>
  <si>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</si>
  <si>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</si>
  <si>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</si>
  <si>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</si>
  <si>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</si>
  <si>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</si>
  <si>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</si>
  <si>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</si>
  <si>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</si>
  <si>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</si>
  <si>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</si>
  <si>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</si>
  <si>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</si>
  <si>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</si>
  <si>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</si>
  <si>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</si>
  <si>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</si>
  <si>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</si>
  <si>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</si>
  <si>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</si>
  <si>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</si>
  <si>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</si>
  <si>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</si>
  <si>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</si>
  <si>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</si>
  <si>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</si>
  <si>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</si>
  <si>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</si>
  <si>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</si>
  <si>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</si>
  <si>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</si>
  <si>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</si>
  <si>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</si>
  <si>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</si>
  <si>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</si>
  <si>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</si>
  <si>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</si>
  <si>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</si>
  <si>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</si>
  <si>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</si>
  <si>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</si>
  <si>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</si>
  <si>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</si>
  <si>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</si>
  <si>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</si>
  <si>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</si>
  <si>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</si>
  <si>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</si>
  <si>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</si>
  <si>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</si>
  <si>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</si>
  <si>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</si>
  <si>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</si>
  <si>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</si>
  <si>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</si>
  <si>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</si>
  <si>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</si>
  <si>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</si>
  <si>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</si>
  <si>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</si>
  <si>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</si>
  <si>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</si>
  <si>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</si>
  <si>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</si>
  <si>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</si>
  <si>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</si>
  <si>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</si>
  <si>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</si>
  <si>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</si>
  <si>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</si>
  <si>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</si>
  <si>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</si>
  <si>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</si>
  <si>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</si>
  <si>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</si>
  <si>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</si>
  <si>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</si>
  <si>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</si>
  <si>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</si>
  <si>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</si>
  <si>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</si>
  <si>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</si>
  <si>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</si>
  <si>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</si>
  <si>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</si>
  <si>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</si>
  <si>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</si>
  <si>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</si>
  <si>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</si>
  <si>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</si>
  <si>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</si>
  <si>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</si>
  <si>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</si>
  <si>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</si>
  <si>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</si>
  <si>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</si>
  <si>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</si>
  <si>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</si>
  <si>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</si>
  <si>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</si>
  <si>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</si>
  <si>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</si>
  <si>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</si>
  <si>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</si>
  <si>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</si>
  <si>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</si>
  <si>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</si>
  <si>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</si>
  <si>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</si>
  <si>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</si>
  <si>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</si>
  <si>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</si>
  <si>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</si>
  <si>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</si>
  <si>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</si>
  <si>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</si>
  <si>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</si>
  <si>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</si>
  <si>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</si>
  <si>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</si>
  <si>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</si>
  <si>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</si>
  <si>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</si>
  <si>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</si>
  <si>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</si>
  <si>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</si>
  <si>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</si>
  <si>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</si>
  <si>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</si>
  <si>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</si>
  <si>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</si>
  <si>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</si>
  <si>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</si>
  <si>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</si>
  <si>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</si>
  <si>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</si>
  <si>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</si>
  <si>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</si>
  <si>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</si>
  <si>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</si>
  <si>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</si>
  <si>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</si>
  <si>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</si>
  <si>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</si>
  <si>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</si>
  <si>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</si>
  <si>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</si>
  <si>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</si>
  <si>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</si>
  <si>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</si>
  <si>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</si>
  <si>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</si>
  <si>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</si>
  <si>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</si>
  <si>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</si>
  <si>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</si>
  <si>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</si>
  <si>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</si>
  <si>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</si>
  <si>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</si>
  <si>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</si>
  <si>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</si>
  <si>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</si>
  <si>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</si>
  <si>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</si>
  <si>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</si>
  <si>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</si>
  <si>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</si>
  <si>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</si>
  <si>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</si>
  <si>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</si>
  <si>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</si>
  <si>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</si>
  <si>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</si>
  <si>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</si>
  <si>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</si>
  <si>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</si>
  <si>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</si>
  <si>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</si>
  <si>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</si>
  <si>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</si>
  <si>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</si>
  <si>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</si>
  <si>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</si>
  <si>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</si>
  <si>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</si>
  <si>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</si>
  <si>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</si>
  <si>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</si>
  <si>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</si>
  <si>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</si>
  <si>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</si>
  <si>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</si>
  <si>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</si>
  <si>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</si>
  <si>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</si>
  <si>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</si>
  <si>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</si>
  <si>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</si>
  <si>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</si>
  <si>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</si>
  <si>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</si>
  <si>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</si>
  <si>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</si>
  <si>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</si>
  <si>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</si>
  <si>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</si>
  <si>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</si>
  <si>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</si>
  <si>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</si>
  <si>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</si>
  <si>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</si>
  <si>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</si>
  <si>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</si>
  <si>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</si>
  <si>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</si>
  <si>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</si>
  <si>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</si>
  <si>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</si>
  <si>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</si>
  <si>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</si>
  <si>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</si>
  <si>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</si>
  <si>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</si>
  <si>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</si>
  <si>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</si>
  <si>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</si>
  <si>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</si>
  <si>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</si>
  <si>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</si>
  <si>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</si>
  <si>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</si>
  <si>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</si>
  <si>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</si>
  <si>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</si>
  <si>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</si>
  <si>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</si>
  <si>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</si>
  <si>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</si>
  <si>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</si>
  <si>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</si>
  <si>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</si>
  <si>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</si>
  <si>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</si>
  <si>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</si>
  <si>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</si>
  <si>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</si>
  <si>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</si>
  <si>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</si>
  <si>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</si>
  <si>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</si>
  <si>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</si>
  <si>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</si>
  <si>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</si>
  <si>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</si>
  <si>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</si>
  <si>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</si>
  <si>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</si>
  <si>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</si>
  <si>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</si>
  <si>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</si>
  <si>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</si>
  <si>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</si>
  <si>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</si>
  <si>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</si>
  <si>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</si>
  <si>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</si>
  <si>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</si>
  <si>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</si>
  <si>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</si>
  <si>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</si>
  <si>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</si>
  <si>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</si>
  <si>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</si>
  <si>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</si>
  <si>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</si>
  <si>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</si>
  <si>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</si>
  <si>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</si>
  <si>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</si>
  <si>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</si>
  <si>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</si>
  <si>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</si>
  <si>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</si>
  <si>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</si>
  <si>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</si>
  <si>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</si>
  <si>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</si>
  <si>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</si>
  <si>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</si>
  <si>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</si>
  <si>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</si>
  <si>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</si>
  <si>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</si>
  <si>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</si>
  <si>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</si>
  <si>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</si>
  <si>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</si>
  <si>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</si>
  <si>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</si>
  <si>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</si>
  <si>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</si>
  <si>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</si>
  <si>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</si>
  <si>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</si>
  <si>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</si>
  <si>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</si>
  <si>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</si>
  <si>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</si>
  <si>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</si>
  <si>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</si>
  <si>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</si>
  <si>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</si>
  <si>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</si>
  <si>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</si>
  <si>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</si>
  <si>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</si>
  <si>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</si>
  <si>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</si>
  <si>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</si>
  <si>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</si>
  <si>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</si>
  <si>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</si>
  <si>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</si>
  <si>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</si>
  <si>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</si>
  <si>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</si>
  <si>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</si>
  <si>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</si>
  <si>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</si>
  <si>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</si>
  <si>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</si>
  <si>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</si>
  <si>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</si>
  <si>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</si>
  <si>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</si>
  <si>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</si>
  <si>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</si>
  <si>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</si>
  <si>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</si>
  <si>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</si>
  <si>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</si>
  <si>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</si>
  <si>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</si>
  <si>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</si>
  <si>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</si>
  <si>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</si>
  <si>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</si>
  <si>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</si>
  <si>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</si>
  <si>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</si>
  <si>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</si>
  <si>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</si>
  <si>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</si>
  <si>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</si>
  <si>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</si>
  <si>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</si>
  <si>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</si>
  <si>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</si>
  <si>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</si>
  <si>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</si>
  <si>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</si>
  <si>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</si>
  <si>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</si>
  <si>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</si>
  <si>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</si>
  <si>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</si>
  <si>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</si>
  <si>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</si>
  <si>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</si>
  <si>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</si>
  <si>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</si>
  <si>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</si>
  <si>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</si>
  <si>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</si>
  <si>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</si>
  <si>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</si>
  <si>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</si>
  <si>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</si>
  <si>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</si>
  <si>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</si>
  <si>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</si>
  <si>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</si>
  <si>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</si>
  <si>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</si>
  <si>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</si>
  <si>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</si>
  <si>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</si>
  <si>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</si>
  <si>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</si>
  <si>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</si>
  <si>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</si>
  <si>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</si>
  <si>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</si>
  <si>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</si>
  <si>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</si>
  <si>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</si>
  <si>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</si>
  <si>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</si>
  <si>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</si>
  <si>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</si>
  <si>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</si>
  <si>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</si>
  <si>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</si>
  <si>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</si>
  <si>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</si>
  <si>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</si>
  <si>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</si>
  <si>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</si>
  <si>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</si>
  <si>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</si>
  <si>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</si>
  <si>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</si>
  <si>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</si>
  <si>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</si>
  <si>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</si>
  <si>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</si>
  <si>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</si>
  <si>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</si>
  <si>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</si>
  <si>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</si>
  <si>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</si>
  <si>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</si>
  <si>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</si>
  <si>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</si>
  <si>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</si>
  <si>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</si>
  <si>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</si>
  <si>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</si>
  <si>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</si>
  <si>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</si>
  <si>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</si>
  <si>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</si>
  <si>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</si>
  <si>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</si>
  <si>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</si>
  <si>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</si>
  <si>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</si>
  <si>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</si>
  <si>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</si>
  <si>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</si>
  <si>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</si>
  <si>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</si>
  <si>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</si>
  <si>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</si>
  <si>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</si>
  <si>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</si>
  <si>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</si>
  <si>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</si>
  <si>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</si>
  <si>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</si>
  <si>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</si>
  <si>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</si>
  <si>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</si>
  <si>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</si>
  <si>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</si>
  <si>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</si>
  <si>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</si>
  <si>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</si>
  <si>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</si>
  <si>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</si>
  <si>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</si>
  <si>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</si>
  <si>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</si>
  <si>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</si>
  <si>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</si>
  <si>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</si>
  <si>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</si>
  <si>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</si>
  <si>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</si>
  <si>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</si>
  <si>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</si>
  <si>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</si>
  <si>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</si>
  <si>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</si>
  <si>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</si>
  <si>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</si>
  <si>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</si>
  <si>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</si>
  <si>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</si>
  <si>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</si>
  <si>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</si>
  <si>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</si>
  <si>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</si>
  <si>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</si>
  <si>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</si>
  <si>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</si>
  <si>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</si>
  <si>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</si>
  <si>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</si>
  <si>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</si>
  <si>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</si>
  <si>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</si>
  <si>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</si>
  <si>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</si>
  <si>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</si>
  <si>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</si>
  <si>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</si>
  <si>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</si>
  <si>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</si>
  <si>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</si>
  <si>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</si>
  <si>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</si>
  <si>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</si>
  <si>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</si>
  <si>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</si>
  <si>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</si>
  <si>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</si>
  <si>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</si>
  <si>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</si>
  <si>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</si>
  <si>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</si>
  <si>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</si>
  <si>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</si>
  <si>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</si>
  <si>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</si>
  <si>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</si>
  <si>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</si>
  <si>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</si>
  <si>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</si>
  <si>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</si>
  <si>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</si>
  <si>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</si>
  <si>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</si>
  <si>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</si>
  <si>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</si>
  <si>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</si>
  <si>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</si>
  <si>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</si>
  <si>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</si>
  <si>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</si>
  <si>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</si>
  <si>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</si>
  <si>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</si>
  <si>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</si>
  <si>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</si>
  <si>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</si>
  <si>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</si>
  <si>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</si>
  <si>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</si>
  <si>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</si>
  <si>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</si>
  <si>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</si>
  <si>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</si>
  <si>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</si>
  <si>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</si>
  <si>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</si>
  <si>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</si>
  <si>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</si>
  <si>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</si>
  <si>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</si>
  <si>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</si>
  <si>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</si>
  <si>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</si>
  <si>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</si>
  <si>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</si>
  <si>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</si>
  <si>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</si>
  <si>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</si>
  <si>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</si>
  <si>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</si>
  <si>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</si>
  <si>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</si>
  <si>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</si>
  <si>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</si>
  <si>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</si>
  <si>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</si>
  <si>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</si>
  <si>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</si>
  <si>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</si>
  <si>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</si>
  <si>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</si>
  <si>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</si>
  <si>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</si>
  <si>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</si>
  <si>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</si>
  <si>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</si>
  <si>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</si>
  <si>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</si>
  <si>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</si>
  <si>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</si>
  <si>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</si>
  <si>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</si>
  <si>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</si>
  <si>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</si>
  <si>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</si>
  <si>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</si>
  <si>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</si>
  <si>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</si>
  <si>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</si>
  <si>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</si>
  <si>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</si>
  <si>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</si>
  <si>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</si>
  <si>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</si>
  <si>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</si>
  <si>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</si>
  <si>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</si>
  <si>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</si>
  <si>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</si>
  <si>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</si>
  <si>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</si>
  <si>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</si>
  <si>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</si>
  <si>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</si>
  <si>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</si>
  <si>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</si>
  <si>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</si>
  <si>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</si>
  <si>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</si>
  <si>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</si>
  <si>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</si>
  <si>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</si>
  <si>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</si>
  <si>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</si>
  <si>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</si>
  <si>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</si>
  <si>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</si>
  <si>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</si>
  <si>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</si>
  <si>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</si>
  <si>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</si>
  <si>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</si>
  <si>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</si>
  <si>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</si>
  <si>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</si>
  <si>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</si>
  <si>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</si>
  <si>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</si>
  <si>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</si>
  <si>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</si>
  <si>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</si>
  <si>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</si>
  <si>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</si>
  <si>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</si>
  <si>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</si>
  <si>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</si>
  <si>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</si>
  <si>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</si>
  <si>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</si>
  <si>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</si>
  <si>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</si>
  <si>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</si>
  <si>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</si>
  <si>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</si>
  <si>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</si>
  <si>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</si>
  <si>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</si>
  <si>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</si>
  <si>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</si>
  <si>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</si>
  <si>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</si>
  <si>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</si>
  <si>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</si>
  <si>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</si>
  <si>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</si>
  <si>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</si>
  <si>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</si>
  <si>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</si>
  <si>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</si>
  <si>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</si>
  <si>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</si>
  <si>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</si>
  <si>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</si>
  <si>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</si>
  <si>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</si>
  <si>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</si>
  <si>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</si>
  <si>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</si>
  <si>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</si>
  <si>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</si>
  <si>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</si>
  <si>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</si>
  <si>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</si>
  <si>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</si>
  <si>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</si>
  <si>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</si>
  <si>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</si>
  <si>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</si>
  <si>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</si>
  <si>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</si>
  <si>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</si>
  <si>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</si>
  <si>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</si>
  <si>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</si>
  <si>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</si>
  <si>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</si>
  <si>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</si>
  <si>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</si>
  <si>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</si>
  <si>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</si>
  <si>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</si>
  <si>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</si>
  <si>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</si>
  <si>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</si>
  <si>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</si>
  <si>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</si>
  <si>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</si>
  <si>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</si>
  <si>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</si>
  <si>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</si>
  <si>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</si>
  <si>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</si>
  <si>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</si>
  <si>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</si>
  <si>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</si>
  <si>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</si>
  <si>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</si>
  <si>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</si>
  <si>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</si>
  <si>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</si>
  <si>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</si>
  <si>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</si>
  <si>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</si>
  <si>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</si>
  <si>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</si>
  <si>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</si>
  <si>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</si>
  <si>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</si>
  <si>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</si>
  <si>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</si>
  <si>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</si>
  <si>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</si>
  <si>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</si>
  <si>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</si>
  <si>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</si>
  <si>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</si>
  <si>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</si>
  <si>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</si>
  <si>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</si>
  <si>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</si>
  <si>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</si>
  <si>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</si>
  <si>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</si>
  <si>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</si>
  <si>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</si>
  <si>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</si>
  <si>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</si>
  <si>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</si>
  <si>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</si>
  <si>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</si>
  <si>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</si>
  <si>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</si>
  <si>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</si>
  <si>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</si>
  <si>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</si>
  <si>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</si>
  <si>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</si>
  <si>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</si>
  <si>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</si>
  <si>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</si>
  <si>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</si>
  <si>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</si>
  <si>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</si>
  <si>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</si>
  <si>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</si>
  <si>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</si>
  <si>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</si>
  <si>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</si>
  <si>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</si>
  <si>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</si>
  <si>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</si>
  <si>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</si>
  <si>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</si>
  <si>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</si>
  <si>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</si>
  <si>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</si>
  <si>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</si>
  <si>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</si>
  <si>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</si>
  <si>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</si>
  <si>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</si>
  <si>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</si>
  <si>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</si>
  <si>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</si>
  <si>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</si>
  <si>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</si>
  <si>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</si>
  <si>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</si>
  <si>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</si>
  <si>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</si>
  <si>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</si>
  <si>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</si>
  <si>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</si>
  <si>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</si>
  <si>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</si>
  <si>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</si>
  <si>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</si>
  <si>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</si>
  <si>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</si>
  <si>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</si>
  <si>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</si>
  <si>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</si>
  <si>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</si>
  <si>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</si>
  <si>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</si>
  <si>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</si>
  <si>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</si>
  <si>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</si>
  <si>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</si>
  <si>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</si>
  <si>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</si>
  <si>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</si>
  <si>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</si>
  <si>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</si>
  <si>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</si>
  <si>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</si>
  <si>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</si>
  <si>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</si>
  <si>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</si>
  <si>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</si>
  <si>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</si>
  <si>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</si>
  <si>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</si>
  <si>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</si>
  <si>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</si>
  <si>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</si>
  <si>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</si>
  <si>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</si>
  <si>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</si>
  <si>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</si>
  <si>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</si>
  <si>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</si>
  <si>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</si>
  <si>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</si>
  <si>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</si>
  <si>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</si>
  <si>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</si>
  <si>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</si>
  <si>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</si>
  <si>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</si>
  <si>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</si>
  <si>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</si>
  <si>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</si>
  <si>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</si>
  <si>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</si>
  <si>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</si>
  <si>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</si>
  <si>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</si>
  <si>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</si>
  <si>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</si>
  <si>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</si>
  <si>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</si>
  <si>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</si>
  <si>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</si>
  <si>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</si>
  <si>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</si>
  <si>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</si>
  <si>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</si>
  <si>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</si>
  <si>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</si>
  <si>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</si>
  <si>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</si>
  <si>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</si>
  <si>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</si>
  <si>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</si>
  <si>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</si>
  <si>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</si>
  <si>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</si>
  <si>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</si>
  <si>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</si>
  <si>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</si>
  <si>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</si>
  <si>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</si>
  <si>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</si>
  <si>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</si>
  <si>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</si>
  <si>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</si>
  <si>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</si>
  <si>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</si>
  <si>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</si>
  <si>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</si>
  <si>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</si>
  <si>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</si>
  <si>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</si>
  <si>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</si>
  <si>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</si>
  <si>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</si>
  <si>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</si>
  <si>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</si>
  <si>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</si>
  <si>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</si>
  <si>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</si>
  <si>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</si>
  <si>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</si>
  <si>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</si>
  <si>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</si>
  <si>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</si>
  <si>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</si>
  <si>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</si>
  <si>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</si>
  <si>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</si>
  <si>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</si>
  <si>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</si>
  <si>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</si>
  <si>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</si>
  <si>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</si>
  <si>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</si>
  <si>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</si>
  <si>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</si>
  <si>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</si>
  <si>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</si>
  <si>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</si>
  <si>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</si>
  <si>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</si>
  <si>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</si>
  <si>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</si>
  <si>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</si>
  <si>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</si>
  <si>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</si>
  <si>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</si>
  <si>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</si>
  <si>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</si>
  <si>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</si>
  <si>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</si>
  <si>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</si>
  <si>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</si>
  <si>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</si>
  <si>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</si>
  <si>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</si>
  <si>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</si>
  <si>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</si>
  <si>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</si>
  <si>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</si>
  <si>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</si>
  <si>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</si>
  <si>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</si>
  <si>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</si>
  <si>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</si>
  <si>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</si>
  <si>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</si>
  <si>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</si>
  <si>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</si>
  <si>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</si>
  <si>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</si>
  <si>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</si>
  <si>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</si>
  <si>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</si>
  <si>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</si>
  <si>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</si>
  <si>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</si>
  <si>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</si>
  <si>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</si>
  <si>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</si>
  <si>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</si>
  <si>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</si>
  <si>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</si>
  <si>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</si>
  <si>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</si>
  <si>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</si>
  <si>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</si>
  <si>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</si>
  <si>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</si>
  <si>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</si>
  <si>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</si>
  <si>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</si>
  <si>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</si>
  <si>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</si>
  <si>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</si>
  <si>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</si>
  <si>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</si>
  <si>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</si>
  <si>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</si>
  <si>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</si>
  <si>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</si>
  <si>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</si>
  <si>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</si>
  <si>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</si>
  <si>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</si>
  <si>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</si>
  <si>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</si>
  <si>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</si>
  <si>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</si>
  <si>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</si>
  <si>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</si>
  <si>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</si>
  <si>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</si>
  <si>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</si>
  <si>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</si>
  <si>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</si>
  <si>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</si>
  <si>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</si>
  <si>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</si>
  <si>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</si>
  <si>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</si>
  <si>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</si>
  <si>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</si>
  <si>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</si>
  <si>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</si>
  <si>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</si>
  <si>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</si>
  <si>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</si>
  <si>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</si>
  <si>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</si>
  <si>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</si>
  <si>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</si>
  <si>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</si>
  <si>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</si>
  <si>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</si>
  <si>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</si>
  <si>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</si>
  <si>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</si>
  <si>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</si>
  <si>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</si>
  <si>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</si>
  <si>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</si>
  <si>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</si>
  <si>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</si>
  <si>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</si>
  <si>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</si>
  <si>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</si>
  <si>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</si>
  <si>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</si>
  <si>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</si>
  <si>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</si>
  <si>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</si>
  <si>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</si>
  <si>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</si>
  <si>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</si>
  <si>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</si>
  <si>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</si>
  <si>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</si>
  <si>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</si>
  <si>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</si>
  <si>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</si>
  <si>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</si>
  <si>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</si>
  <si>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</si>
  <si>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</si>
  <si>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</si>
  <si>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</si>
  <si>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</si>
  <si>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</si>
  <si>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</si>
  <si>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</si>
  <si>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</si>
  <si>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</si>
  <si>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</si>
  <si>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</si>
  <si>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</si>
  <si>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</si>
  <si>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</si>
  <si>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</si>
  <si>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</si>
  <si>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</si>
  <si>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</si>
  <si>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</si>
  <si>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</si>
  <si>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</si>
  <si>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</si>
  <si>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</si>
  <si>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</si>
  <si>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</si>
  <si>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</si>
  <si>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</si>
  <si>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</si>
  <si>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</si>
  <si>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</si>
  <si>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</si>
  <si>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</si>
  <si>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</si>
  <si>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</si>
  <si>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</si>
  <si>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</si>
  <si>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</si>
  <si>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</si>
  <si>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</si>
  <si>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</si>
  <si>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</si>
  <si>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</si>
  <si>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</si>
  <si>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</si>
  <si>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</si>
  <si>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</si>
  <si>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</si>
  <si>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</si>
  <si>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</si>
  <si>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</si>
  <si>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</si>
  <si>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</si>
  <si>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</si>
  <si>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</si>
  <si>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</si>
  <si>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</si>
  <si>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</si>
  <si>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</si>
  <si>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</si>
  <si>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</si>
  <si>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</si>
  <si>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</si>
  <si>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</si>
  <si>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</si>
  <si>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</si>
  <si>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</si>
  <si>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</si>
  <si>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</si>
  <si>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</si>
  <si>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</si>
  <si>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</si>
  <si>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</si>
  <si>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</si>
  <si>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</si>
  <si>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</si>
  <si>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</si>
  <si>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</si>
  <si>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</si>
  <si>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</si>
  <si>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</si>
  <si>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</si>
  <si>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</si>
  <si>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</si>
  <si>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</si>
  <si>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</si>
  <si>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</si>
  <si>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</si>
  <si>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</si>
  <si>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</si>
  <si>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</si>
  <si>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</si>
  <si>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</si>
  <si>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</si>
  <si>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</si>
  <si>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</si>
  <si>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</si>
  <si>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</si>
  <si>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</si>
  <si>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</si>
  <si>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</si>
  <si>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</si>
  <si>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</si>
  <si>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</si>
  <si>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</si>
  <si>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</si>
  <si>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</si>
  <si>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</si>
  <si>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</si>
  <si>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</si>
  <si>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</si>
  <si>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</si>
  <si>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</si>
  <si>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</si>
  <si>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</si>
  <si>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</si>
  <si>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</si>
  <si>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</si>
  <si>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</si>
  <si>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</si>
  <si>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</si>
  <si>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</si>
  <si>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</si>
  <si>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</si>
  <si>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</si>
  <si>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</si>
  <si>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</si>
  <si>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</si>
  <si>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</si>
  <si>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</si>
  <si>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</si>
  <si>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</si>
  <si>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</si>
  <si>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</si>
  <si>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</si>
  <si>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</si>
  <si>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</si>
  <si>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</si>
  <si>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</si>
  <si>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</si>
  <si>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</si>
  <si>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</si>
  <si>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</si>
  <si>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</si>
  <si>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</si>
  <si>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</si>
  <si>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</si>
  <si>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</si>
  <si>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</si>
  <si>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</si>
  <si>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</si>
  <si>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</si>
  <si>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</si>
  <si>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</si>
  <si>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</si>
  <si>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</si>
  <si>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</si>
  <si>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</si>
  <si>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</si>
  <si>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</si>
  <si>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</si>
  <si>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</si>
  <si>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</si>
  <si>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</si>
  <si>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</si>
  <si>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</si>
  <si>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</si>
  <si>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</si>
  <si>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</si>
  <si>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</si>
  <si>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</si>
  <si>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</si>
  <si>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</si>
  <si>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</si>
  <si>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</si>
  <si>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</si>
  <si>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</si>
  <si>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</si>
  <si>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</si>
  <si>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</si>
  <si>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</si>
  <si>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</si>
  <si>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</si>
  <si>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</si>
  <si>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</si>
  <si>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</si>
  <si>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</si>
  <si>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</si>
  <si>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</si>
  <si>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</si>
  <si>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</si>
  <si>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</si>
  <si>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</si>
  <si>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</si>
  <si>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</si>
  <si>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</si>
  <si>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</si>
  <si>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</si>
  <si>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</si>
  <si>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</si>
  <si>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</si>
  <si>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</si>
  <si>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</si>
  <si>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</si>
  <si>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</si>
  <si>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</si>
  <si>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</si>
  <si>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</si>
  <si>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</si>
  <si>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</si>
  <si>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</si>
  <si>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</si>
  <si>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</si>
  <si>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</si>
  <si>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</si>
  <si>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</si>
  <si>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</si>
  <si>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</si>
  <si>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</si>
  <si>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</si>
  <si>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</si>
  <si>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</si>
  <si>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</si>
  <si>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</si>
  <si>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</si>
  <si>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</si>
  <si>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</si>
  <si>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</si>
  <si>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</si>
  <si>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</si>
  <si>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</si>
  <si>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</si>
  <si>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</si>
  <si>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</si>
  <si>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</si>
  <si>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</si>
  <si>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</si>
  <si>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</si>
  <si>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</si>
  <si>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</si>
  <si>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</si>
  <si>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</si>
  <si>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</si>
  <si>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</si>
  <si>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</si>
  <si>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</si>
  <si>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</si>
  <si>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</si>
  <si>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</si>
  <si>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</si>
  <si>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</si>
  <si>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</si>
  <si>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</si>
  <si>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</si>
  <si>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</si>
  <si>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</si>
  <si>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</si>
  <si>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</si>
  <si>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</si>
  <si>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</si>
  <si>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</si>
  <si>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</si>
  <si>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</si>
  <si>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</si>
  <si>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</si>
  <si>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</si>
  <si>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</si>
  <si>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</si>
  <si>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</si>
  <si>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</si>
  <si>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</si>
  <si>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</si>
  <si>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</si>
  <si>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</si>
  <si>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</si>
  <si>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</si>
  <si>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</si>
  <si>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</si>
  <si>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</si>
  <si>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</si>
  <si>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</si>
  <si>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</si>
  <si>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</si>
  <si>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</si>
  <si>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</si>
  <si>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</si>
  <si>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</si>
  <si>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</si>
  <si>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</si>
  <si>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</si>
  <si>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</si>
  <si>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</si>
  <si>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</si>
  <si>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</si>
  <si>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</si>
  <si>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</si>
  <si>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</si>
  <si>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</si>
  <si>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</si>
  <si>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</si>
  <si>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</si>
  <si>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</si>
  <si>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</si>
  <si>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</si>
  <si>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</si>
  <si>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</si>
  <si>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</si>
  <si>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</si>
  <si>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</si>
  <si>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</si>
  <si>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</si>
  <si>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</si>
  <si>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</si>
  <si>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</si>
  <si>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</si>
  <si>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</si>
  <si>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</si>
  <si>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</si>
  <si>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</si>
  <si>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</si>
  <si>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</si>
  <si>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</si>
  <si>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</si>
  <si>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</si>
  <si>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</si>
  <si>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</si>
  <si>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</si>
  <si>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</si>
  <si>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</si>
  <si>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</si>
  <si>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</si>
  <si>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</si>
  <si>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</si>
  <si>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</si>
  <si>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</si>
  <si>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</si>
  <si>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</si>
  <si>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</si>
  <si>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</si>
  <si>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</si>
  <si>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</si>
  <si>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</si>
  <si>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</si>
  <si>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</si>
  <si>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</si>
  <si>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</si>
  <si>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</si>
  <si>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</si>
  <si>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</si>
  <si>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</si>
  <si>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</si>
  <si>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</si>
  <si>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</si>
  <si>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</si>
  <si>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</si>
  <si>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</si>
  <si>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</si>
  <si>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</si>
  <si>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</si>
  <si>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</si>
  <si>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</si>
  <si>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</si>
  <si>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</si>
  <si>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</si>
  <si>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</si>
  <si>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</si>
  <si>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</si>
  <si>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</si>
  <si>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</si>
  <si>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</si>
  <si>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</si>
  <si>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</si>
  <si>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</si>
  <si>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</si>
  <si>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</si>
  <si>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</si>
  <si>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</si>
  <si>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</si>
  <si>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</si>
  <si>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</si>
  <si>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</si>
  <si>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</si>
  <si>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</si>
  <si>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</si>
  <si>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</si>
  <si>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</si>
  <si>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</si>
  <si>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</si>
  <si>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</si>
  <si>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</si>
  <si>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</si>
  <si>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</si>
  <si>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</si>
  <si>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</si>
  <si>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</si>
  <si>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</si>
  <si>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</si>
  <si>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</si>
  <si>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</si>
  <si>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</si>
  <si>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</si>
  <si>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</si>
  <si>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</si>
  <si>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</si>
  <si>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</si>
  <si>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</si>
  <si>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</si>
  <si>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</si>
  <si>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</si>
  <si>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</si>
  <si>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</si>
  <si>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</si>
  <si>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</si>
  <si>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</si>
  <si>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</si>
  <si>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</si>
  <si>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</si>
  <si>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</si>
  <si>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</si>
  <si>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</si>
  <si>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</si>
  <si>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</si>
  <si>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</si>
  <si>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</si>
  <si>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</si>
  <si>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</si>
  <si>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</si>
  <si>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</si>
  <si>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</si>
  <si>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</si>
  <si>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</si>
  <si>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</si>
  <si>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</si>
  <si>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</si>
  <si>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</si>
  <si>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</si>
  <si>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</si>
  <si>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</si>
  <si>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</si>
  <si>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</si>
  <si>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</si>
  <si>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</si>
  <si>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</si>
  <si>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</si>
  <si>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</si>
  <si>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</si>
  <si>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</si>
  <si>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</si>
  <si>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</si>
  <si>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</si>
  <si>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</si>
  <si>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</si>
  <si>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</si>
  <si>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</si>
  <si>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</si>
  <si>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</si>
  <si>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</si>
  <si>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</si>
  <si>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</si>
  <si>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</si>
  <si>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</si>
  <si>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</si>
  <si>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</si>
  <si>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</si>
  <si>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</si>
  <si>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</si>
  <si>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</si>
  <si>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</si>
  <si>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</si>
  <si>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</si>
  <si>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</si>
  <si>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</si>
  <si>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</si>
  <si>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</si>
  <si>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</si>
  <si>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</si>
  <si>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</si>
  <si>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</si>
  <si>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</si>
  <si>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</si>
  <si>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</si>
  <si>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</si>
  <si>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</si>
  <si>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</si>
  <si>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</si>
  <si>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</si>
  <si>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</si>
  <si>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</si>
  <si>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</si>
  <si>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</si>
  <si>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</si>
  <si>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</si>
  <si>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</si>
  <si>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</si>
  <si>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</si>
  <si>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</si>
  <si>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</si>
  <si>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</si>
  <si>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</si>
  <si>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</si>
  <si>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</si>
  <si>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</si>
  <si>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</si>
  <si>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</si>
  <si>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</si>
  <si>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</si>
  <si>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</si>
  <si>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</si>
  <si>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</si>
  <si>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</si>
  <si>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</si>
  <si>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</si>
  <si>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</si>
  <si>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</si>
  <si>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</si>
  <si>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</si>
  <si>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</si>
  <si>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</si>
  <si>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</si>
  <si>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</si>
  <si>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</si>
  <si>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</si>
  <si>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</si>
  <si>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</si>
  <si>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</si>
  <si>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</si>
  <si>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</si>
  <si>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</si>
  <si>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</si>
  <si>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</si>
  <si>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</si>
  <si>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</si>
  <si>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</si>
  <si>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</si>
  <si>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</si>
  <si>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</si>
  <si>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</si>
  <si>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</si>
  <si>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</si>
  <si>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</si>
  <si>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</si>
  <si>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</si>
  <si>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</si>
  <si>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</si>
  <si>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</si>
  <si>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</si>
  <si>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</si>
  <si>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</si>
  <si>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</si>
  <si>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</si>
  <si>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</si>
  <si>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</si>
  <si>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</si>
  <si>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</si>
  <si>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</si>
  <si>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</si>
  <si>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</si>
  <si>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</si>
  <si>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</si>
  <si>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</si>
  <si>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</si>
  <si>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</si>
  <si>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</si>
  <si>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</si>
  <si>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</si>
  <si>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</si>
  <si>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</si>
  <si>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</si>
  <si>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</si>
  <si>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</si>
  <si>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</si>
  <si>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</si>
  <si>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</si>
  <si>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</si>
  <si>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</si>
  <si>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</si>
  <si>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</si>
  <si>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</si>
  <si>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</si>
  <si>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</si>
  <si>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</si>
  <si>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</si>
  <si>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</si>
  <si>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</si>
  <si>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</si>
  <si>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</si>
  <si>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</si>
  <si>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</si>
  <si>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</si>
  <si>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</si>
  <si>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</si>
  <si>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</si>
  <si>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</si>
  <si>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</si>
  <si>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</si>
  <si>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</si>
  <si>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</si>
  <si>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</si>
  <si>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</si>
  <si>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</si>
  <si>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</si>
  <si>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</si>
  <si>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</si>
  <si>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</si>
  <si>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</si>
  <si>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</si>
  <si>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</si>
  <si>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</si>
  <si>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</si>
  <si>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</si>
  <si>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</si>
  <si>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</si>
  <si>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</si>
  <si>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</si>
  <si>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</si>
  <si>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</si>
  <si>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</si>
  <si>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</si>
  <si>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</si>
  <si>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</si>
  <si>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</si>
  <si>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</si>
  <si>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</si>
  <si>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</si>
  <si>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</si>
  <si>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</si>
  <si>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</si>
  <si>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</si>
  <si>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</si>
  <si>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</si>
  <si>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</si>
  <si>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</si>
  <si>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</si>
  <si>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</si>
  <si>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</si>
  <si>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</si>
  <si>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</si>
  <si>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</si>
  <si>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</si>
  <si>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</si>
  <si>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</si>
  <si>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</si>
  <si>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</si>
  <si>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</si>
  <si>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</si>
  <si>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</si>
  <si>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</si>
  <si>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</si>
  <si>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</si>
  <si>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</si>
  <si>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</si>
  <si>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</si>
  <si>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</si>
  <si>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</si>
  <si>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</si>
  <si>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</si>
  <si>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</si>
  <si>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</si>
  <si>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</si>
  <si>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</si>
  <si>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</si>
  <si>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</si>
  <si>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</si>
  <si>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</si>
  <si>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</si>
  <si>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</si>
  <si>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St. Clair</t>
  </si>
  <si>
    <t>118 E. Washington Street</t>
  </si>
  <si>
    <t>O'Fallon</t>
  </si>
  <si>
    <t>Schorb &amp; Schmersahl, LLC</t>
  </si>
  <si>
    <t>James R. Schmersahl</t>
  </si>
  <si>
    <t>518 North Main Street</t>
  </si>
  <si>
    <t>Columbia</t>
  </si>
  <si>
    <t>IL</t>
  </si>
  <si>
    <t>618-281-5195</t>
  </si>
  <si>
    <t>618-281-6101</t>
  </si>
  <si>
    <t>066-003932</t>
  </si>
  <si>
    <t>jim@stcpa.com</t>
  </si>
  <si>
    <t>Susan Sarfaty</t>
  </si>
  <si>
    <t>ssarfaty@stclair.k12.il.us</t>
  </si>
  <si>
    <t>618-825-3900</t>
  </si>
  <si>
    <t>618-825-3999</t>
  </si>
  <si>
    <t>618-632-3666</t>
  </si>
  <si>
    <t>618-632-7864</t>
  </si>
  <si>
    <t>Carrie Hruby</t>
  </si>
  <si>
    <t>chruby@of90.net</t>
  </si>
  <si>
    <t>2007 General Obligation School Capital Appreciation Bonds</t>
  </si>
  <si>
    <t>2008 General Obligation School Bonds</t>
  </si>
  <si>
    <t>2008A General Obligation School Bonds</t>
  </si>
  <si>
    <t>2009 General Obligation refunding Bonds</t>
  </si>
  <si>
    <t>2013A General Obligation Refunding Bonds</t>
  </si>
  <si>
    <t>2013B General Obligation Refunding Bonds</t>
  </si>
  <si>
    <t>2015A General Obligation refunding Bonds</t>
  </si>
  <si>
    <t>2015B General Obligaion Refunding Bonds</t>
  </si>
  <si>
    <t>2015 Debt Certificates</t>
  </si>
  <si>
    <t>2016B General Obligation Refunding Bonds</t>
  </si>
  <si>
    <r>
      <t>The accompanying Schedule of Expenditures of Federal Awards includes the federal grant activity of O'Fallon Community Consolidated School District No. 90 and is presented on the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General-Purpose </t>
    </r>
    <r>
      <rPr>
        <sz val="9"/>
        <rFont val="Calibri"/>
        <family val="2"/>
        <scheme val="minor"/>
      </rPr>
      <t>financial statements.</t>
    </r>
  </si>
  <si>
    <t>Of the federal expenditures presented in the schedule, O'Fallon Community Consolidated School District No. 90 provided federal awards to subrecipients as follows:</t>
  </si>
  <si>
    <r>
      <t xml:space="preserve">The following amounts were expended in the form of non-cash assistance by O'Fallon Community Consolidated School District No. 90 and </t>
    </r>
    <r>
      <rPr>
        <b/>
        <sz val="9"/>
        <rFont val="Calibri"/>
        <family val="2"/>
        <scheme val="minor"/>
      </rPr>
      <t>should be</t>
    </r>
    <r>
      <rPr>
        <sz val="9"/>
        <rFont val="Calibri"/>
        <family val="2"/>
        <scheme val="minor"/>
      </rPr>
      <t xml:space="preserve"> included in the Schedule of Expenditures of Federal Awards:</t>
    </r>
  </si>
  <si>
    <t>page 10/Fund 10/Line 81/Acct 1790 - $77,226 =  Student Activity Fee</t>
  </si>
  <si>
    <t>Page 11/Fund 10/Line 106/Acct 1993 - $27,812 = Retiree Insurance</t>
  </si>
  <si>
    <t xml:space="preserve">Page 11/Fund 10/Line 107/Acct 1999 - $2,100,439 - $718,002 Latchkey Revenue + 33,679 Summer School + </t>
  </si>
  <si>
    <t>Page 12/Fund 20/Line 171/Acct 3999 - $21,121 = Pursuant to Other Approp - State</t>
  </si>
  <si>
    <t>Page 15/Fund 10/Line 41/Acct 2190 - $4,658 = Noon Hour Sup Sub $4,645 + Noon Supervisors Salary $13</t>
  </si>
  <si>
    <t>Page 16/Fund 10/Line 56/Acct 2490 - Registration Supplies $1,723</t>
  </si>
  <si>
    <t>Page 16/Fund 10/Line 73/Acct 2900 - Title I Homeless Supplies $270</t>
  </si>
  <si>
    <t>US Department of Agiculture</t>
  </si>
  <si>
    <t xml:space="preserve">  Passed Through IL State Boad of Education:</t>
  </si>
  <si>
    <t xml:space="preserve">    Child Nutrition Cluster</t>
  </si>
  <si>
    <t xml:space="preserve">    (m) National School Breakfast</t>
  </si>
  <si>
    <t xml:space="preserve">    (m) National School Lunch</t>
  </si>
  <si>
    <t xml:space="preserve">      Total Child Nutition Cluster</t>
  </si>
  <si>
    <t xml:space="preserve">      Commodities</t>
  </si>
  <si>
    <t xml:space="preserve">      TOTAL US DEPARTMENT OF AGRICULTURE</t>
  </si>
  <si>
    <t>17-4200</t>
  </si>
  <si>
    <t>18-4220</t>
  </si>
  <si>
    <t>17-4210</t>
  </si>
  <si>
    <t>18-4210</t>
  </si>
  <si>
    <t>17-4299</t>
  </si>
  <si>
    <t>N/A</t>
  </si>
  <si>
    <t>US Department of Education</t>
  </si>
  <si>
    <t xml:space="preserve">    Impact Aid Section 8003, P.L. 874</t>
  </si>
  <si>
    <t xml:space="preserve">  Passed Through IL State Board of Education:</t>
  </si>
  <si>
    <t xml:space="preserve">    Title I-grants to Local Eucation Agencies</t>
  </si>
  <si>
    <t xml:space="preserve">    Title I-Grants to Local Education Agencies</t>
  </si>
  <si>
    <t xml:space="preserve">    Supporting Effective Instruction State Grant</t>
  </si>
  <si>
    <t xml:space="preserve">    Title IV-Student Support &amp; Academic Enrichment</t>
  </si>
  <si>
    <t xml:space="preserve">    Special Education-Grants to States (IDEA Part B)</t>
  </si>
  <si>
    <t xml:space="preserve">  Passed Through Belleville Ara Special Service Coop:</t>
  </si>
  <si>
    <t xml:space="preserve">  Special Education-Grants to States (IDEA Part B)</t>
  </si>
  <si>
    <t xml:space="preserve">      TOTAL DEPARMENT OF EDUCATION</t>
  </si>
  <si>
    <t>84.010A</t>
  </si>
  <si>
    <t>84.367A</t>
  </si>
  <si>
    <t>17-4001</t>
  </si>
  <si>
    <t>18-4001</t>
  </si>
  <si>
    <t>18-4300</t>
  </si>
  <si>
    <t>17-4932</t>
  </si>
  <si>
    <t>18-4932</t>
  </si>
  <si>
    <t>18-4400</t>
  </si>
  <si>
    <t>17-4620</t>
  </si>
  <si>
    <t>16-4620</t>
  </si>
  <si>
    <t>US Department of Health and Human Services</t>
  </si>
  <si>
    <t xml:space="preserve">  Passed Through IL  Department of Healthcare and Family Services:</t>
  </si>
  <si>
    <t xml:space="preserve">    Medical Assistance Program (Medicaid Title XIX)</t>
  </si>
  <si>
    <t>16-4900</t>
  </si>
  <si>
    <t>17-4900</t>
  </si>
  <si>
    <t xml:space="preserve">      TOTAL US DEPARTMENT OF HEALTH AND HUMAN SERVICES</t>
  </si>
  <si>
    <t xml:space="preserve">        TOTAL FEDERAL</t>
  </si>
  <si>
    <t>Adverse, unmodified</t>
  </si>
  <si>
    <t>IDEA</t>
  </si>
  <si>
    <t>NONE</t>
  </si>
  <si>
    <t>2016A General Obligation Refunding Bonds</t>
  </si>
  <si>
    <t>$1,015,574 Employee Daycare Revenue + Other $333,184</t>
  </si>
  <si>
    <t xml:space="preserve">Page 12/Fund 10/Line 171/Acct 3999 - $8,942 = IL Library Grant $4,817 + Career &amp; Tech Ed Improvement Grant $4,125                                                                                      </t>
  </si>
  <si>
    <t>Page 11/Fund 30/Line 107/Acct 1999 - $1 = Other Rev Local Sources</t>
  </si>
  <si>
    <t>Page 11/Fund 40/Line 107/Acct 199 - $2,134 = Other Rev Local Source</t>
  </si>
  <si>
    <t xml:space="preserve">                                                                                          </t>
  </si>
  <si>
    <t>Noon Hour Supervisor Medicare $67</t>
  </si>
  <si>
    <t>BEST Committee "Building Educational Success Together"</t>
  </si>
  <si>
    <t>Baugher Financial</t>
  </si>
  <si>
    <t>Constellation New Energy</t>
  </si>
  <si>
    <t>Sodexo</t>
  </si>
  <si>
    <t>Warma Witter Kreisler</t>
  </si>
  <si>
    <t>ISDAF+; participants too numerous to list</t>
  </si>
  <si>
    <t>Miller, Tracy, Braun, Funk</t>
  </si>
  <si>
    <t>ROE Staff Development; St. Clair County Public Schools</t>
  </si>
  <si>
    <t>Belleville Area Special Services Coop; 22 other LEA's</t>
  </si>
  <si>
    <t>Charter</t>
  </si>
  <si>
    <t>O'Fallon #203, Central #104, Shiloh #85, IL Central, EMT</t>
  </si>
  <si>
    <t>Medicaid Fee-for-Service Program</t>
  </si>
  <si>
    <t>Ed-Fiscal Svc-Prof</t>
  </si>
  <si>
    <t>10-2000-300</t>
  </si>
  <si>
    <t>Brecht's Data Solutions</t>
  </si>
  <si>
    <t>Frontline Technologies</t>
  </si>
  <si>
    <t>Power School</t>
  </si>
  <si>
    <t>Emerald Data Solutions</t>
  </si>
  <si>
    <t>Forecast Analytics</t>
  </si>
  <si>
    <t>Skyward</t>
  </si>
  <si>
    <t>O&amp;M-Maintenance-Prof</t>
  </si>
  <si>
    <t>20-2000-300</t>
  </si>
  <si>
    <t>Charter Communications</t>
  </si>
  <si>
    <t>Ptiney Bowes</t>
  </si>
  <si>
    <t>O&amp;M-Maintenance-Sanitation</t>
  </si>
  <si>
    <t>O&amp;M-Maintenance-Rental</t>
  </si>
  <si>
    <t>Trans-Trans Svc-Pur Svc</t>
  </si>
  <si>
    <t>IL Central</t>
  </si>
  <si>
    <t>EMT</t>
  </si>
  <si>
    <t>Republic Services</t>
  </si>
  <si>
    <t>Kansas State Bank</t>
  </si>
  <si>
    <t>US Bank Corp</t>
  </si>
  <si>
    <t>Great America Financial</t>
  </si>
  <si>
    <t>Xerox</t>
  </si>
  <si>
    <t>Kubota</t>
  </si>
  <si>
    <t>O'Fallon CCSD 90</t>
  </si>
  <si>
    <t>10-25200-300</t>
  </si>
  <si>
    <t>20-25400-300</t>
  </si>
  <si>
    <t>20-2540-300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</si>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</sst>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7">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4" fillId="0" borderId="0" xfId="3" applyFont="1" applyBorder="1" applyAlignment="1" applyProtection="1">
      <alignment horizontal="center"/>
      <protection locked="0"/>
    </xf>
    <xf numFmtId="0" fontId="54" fillId="0" borderId="0" xfId="0" applyFont="1" applyAlignment="1">
      <alignment horizontal="left" indent="18"/>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1818410</xdr:colOff>
          <xdr:row>2</xdr:row>
          <xdr:rowOff>95251</xdr:rowOff>
        </xdr:from>
        <xdr:to>
          <xdr:col>1</xdr:col>
          <xdr:colOff>2729346</xdr:colOff>
          <xdr:row>6</xdr:row>
          <xdr:rowOff>133351</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5" t="s">
        <v>1684</v>
      </c>
      <c r="B3" s="156"/>
      <c r="C3" s="156"/>
      <c r="D3" s="157"/>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4" t="s">
        <v>2073</v>
      </c>
      <c r="C5" s="26" t="s">
        <v>965</v>
      </c>
      <c r="D5" s="84"/>
      <c r="E5" s="84"/>
      <c r="H5" s="38"/>
      <c r="I5" s="2045" t="s">
        <v>700</v>
      </c>
      <c r="J5" s="1990"/>
      <c r="K5" s="1990"/>
      <c r="L5" s="1990"/>
      <c r="M5" s="1990"/>
      <c r="N5" s="1990"/>
      <c r="O5" s="1990"/>
      <c r="P5" s="1990"/>
      <c r="Q5" s="1990"/>
      <c r="R5" s="1990"/>
      <c r="S5" s="1990"/>
    </row>
    <row r="6" spans="1:28" ht="14.1" customHeight="1" x14ac:dyDescent="0.2">
      <c r="B6" s="104"/>
      <c r="C6" s="26" t="s">
        <v>966</v>
      </c>
      <c r="D6" s="84"/>
      <c r="E6" s="84"/>
      <c r="I6" s="2044" t="s">
        <v>937</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1986" t="s">
        <v>553</v>
      </c>
      <c r="U9" s="1987"/>
      <c r="V9" s="1987"/>
      <c r="W9" s="1987"/>
      <c r="X9" s="1987"/>
      <c r="Y9" s="1987"/>
      <c r="Z9" s="1987"/>
      <c r="AA9" s="1988"/>
    </row>
    <row r="10" spans="1:28" ht="13.5" customHeight="1" x14ac:dyDescent="0.2">
      <c r="A10" s="1995" t="s">
        <v>695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1011</v>
      </c>
      <c r="B11" s="1999"/>
      <c r="C11" s="1999"/>
      <c r="D11" s="1999"/>
      <c r="E11" s="1999"/>
      <c r="F11" s="1999"/>
      <c r="G11" s="1999"/>
      <c r="H11" s="2000"/>
      <c r="I11" s="27"/>
      <c r="J11" s="74"/>
      <c r="K11" s="27"/>
      <c r="O11" s="148" t="s">
        <v>2073</v>
      </c>
      <c r="P11" s="100" t="s">
        <v>210</v>
      </c>
      <c r="Q11" s="30"/>
      <c r="R11" s="28"/>
      <c r="S11" s="27"/>
      <c r="T11" s="1992"/>
      <c r="U11" s="1993"/>
      <c r="V11" s="1993"/>
      <c r="W11" s="1993"/>
      <c r="X11" s="1993"/>
      <c r="Y11" s="1993"/>
      <c r="Z11" s="1993"/>
      <c r="AA11" s="1994"/>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6">
        <v>50082090004</v>
      </c>
      <c r="B13" s="2007"/>
      <c r="C13" s="2007"/>
      <c r="D13" s="2007"/>
      <c r="E13" s="2007"/>
      <c r="F13" s="2007"/>
      <c r="G13" s="2007"/>
      <c r="H13" s="2008"/>
      <c r="I13" s="31"/>
      <c r="J13" s="30"/>
      <c r="K13" s="28"/>
      <c r="L13" s="30"/>
      <c r="M13" s="30"/>
      <c r="N13" s="30"/>
      <c r="O13" s="30"/>
      <c r="P13" s="30"/>
      <c r="Q13" s="30"/>
      <c r="R13" s="30"/>
      <c r="S13" s="30"/>
      <c r="T13" s="2011" t="s">
        <v>2077</v>
      </c>
      <c r="U13" s="2012"/>
      <c r="V13" s="2012"/>
      <c r="W13" s="2012"/>
      <c r="X13" s="2012"/>
      <c r="Y13" s="2013"/>
      <c r="Z13" s="2013"/>
      <c r="AA13" s="201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4" t="s">
        <v>2074</v>
      </c>
      <c r="B15" s="2009"/>
      <c r="C15" s="2009"/>
      <c r="D15" s="2009"/>
      <c r="E15" s="2009"/>
      <c r="F15" s="2009"/>
      <c r="G15" s="2009"/>
      <c r="H15" s="2010"/>
      <c r="T15" s="1972" t="s">
        <v>2078</v>
      </c>
      <c r="U15" s="1973"/>
      <c r="V15" s="1973"/>
      <c r="W15" s="1973"/>
      <c r="X15" s="1973"/>
      <c r="Y15" s="2015"/>
      <c r="Z15" s="2015"/>
      <c r="AA15" s="201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4" t="s">
        <v>2201</v>
      </c>
      <c r="B17" s="2034"/>
      <c r="C17" s="2034"/>
      <c r="D17" s="2034"/>
      <c r="E17" s="2034"/>
      <c r="F17" s="2034"/>
      <c r="G17" s="2034"/>
      <c r="H17" s="2035"/>
      <c r="T17" s="2021" t="s">
        <v>2079</v>
      </c>
      <c r="U17" s="2022"/>
      <c r="V17" s="2022"/>
      <c r="W17" s="2022"/>
      <c r="X17" s="2022"/>
      <c r="Y17" s="2022"/>
      <c r="Z17" s="2022"/>
      <c r="AA17" s="2023"/>
    </row>
    <row r="18" spans="1:27" ht="13.5" customHeight="1" x14ac:dyDescent="0.2">
      <c r="A18" s="85" t="s">
        <v>550</v>
      </c>
      <c r="B18" s="76"/>
      <c r="C18" s="72"/>
      <c r="D18" s="76"/>
      <c r="E18" s="76"/>
      <c r="F18" s="76"/>
      <c r="G18" s="76"/>
      <c r="H18" s="56"/>
      <c r="I18" s="2031" t="s">
        <v>696</v>
      </c>
      <c r="J18" s="2032"/>
      <c r="K18" s="2032"/>
      <c r="L18" s="2032"/>
      <c r="M18" s="2032"/>
      <c r="N18" s="2032"/>
      <c r="O18" s="2032"/>
      <c r="P18" s="2032"/>
      <c r="Q18" s="2032"/>
      <c r="R18" s="2032"/>
      <c r="S18" s="2033"/>
      <c r="T18" s="85" t="s">
        <v>734</v>
      </c>
      <c r="U18" s="51"/>
      <c r="V18" s="72"/>
      <c r="W18" s="50"/>
      <c r="X18" s="85" t="s">
        <v>283</v>
      </c>
      <c r="Y18" s="81"/>
      <c r="Z18" s="159" t="s">
        <v>697</v>
      </c>
      <c r="AA18" s="46"/>
    </row>
    <row r="19" spans="1:27" ht="13.5" customHeight="1" x14ac:dyDescent="0.2">
      <c r="A19" s="2004" t="s">
        <v>2075</v>
      </c>
      <c r="B19" s="2005"/>
      <c r="C19" s="2005"/>
      <c r="D19" s="2005"/>
      <c r="E19" s="2005"/>
      <c r="F19" s="2005"/>
      <c r="G19" s="2005"/>
      <c r="H19" s="2003"/>
      <c r="I19" s="30"/>
      <c r="J19" s="99"/>
      <c r="K19" s="40"/>
      <c r="L19" s="38"/>
      <c r="M19" s="112" t="s">
        <v>332</v>
      </c>
      <c r="P19" s="27"/>
      <c r="Q19" s="27"/>
      <c r="R19" s="27"/>
      <c r="S19" s="31"/>
      <c r="T19" s="2004" t="s">
        <v>2080</v>
      </c>
      <c r="U19" s="2002"/>
      <c r="V19" s="2002"/>
      <c r="W19" s="2003"/>
      <c r="X19" s="2019" t="s">
        <v>2081</v>
      </c>
      <c r="Y19" s="2020"/>
      <c r="Z19" s="2017">
        <v>62236</v>
      </c>
      <c r="AA19" s="201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1" t="s">
        <v>2076</v>
      </c>
      <c r="B21" s="2002"/>
      <c r="C21" s="2002"/>
      <c r="D21" s="2002"/>
      <c r="E21" s="2002"/>
      <c r="F21" s="2002"/>
      <c r="G21" s="2002"/>
      <c r="H21" s="2003"/>
      <c r="I21" s="2027" t="s">
        <v>698</v>
      </c>
      <c r="J21" s="1990"/>
      <c r="K21" s="1990"/>
      <c r="L21" s="1990"/>
      <c r="M21" s="1990"/>
      <c r="N21" s="1990"/>
      <c r="O21" s="1990"/>
      <c r="P21" s="1990"/>
      <c r="Q21" s="1990"/>
      <c r="R21" s="1990"/>
      <c r="S21" s="1991"/>
      <c r="T21" s="1969" t="s">
        <v>2082</v>
      </c>
      <c r="U21" s="1970"/>
      <c r="V21" s="1970"/>
      <c r="W21" s="1970"/>
      <c r="X21" s="1983" t="s">
        <v>2083</v>
      </c>
      <c r="Y21" s="1984"/>
      <c r="Z21" s="1984"/>
      <c r="AA21" s="1985"/>
    </row>
    <row r="22" spans="1:27" ht="13.5" customHeight="1" x14ac:dyDescent="0.2">
      <c r="A22" s="87" t="s">
        <v>551</v>
      </c>
      <c r="B22" s="59"/>
      <c r="C22" s="59"/>
      <c r="D22" s="59"/>
      <c r="E22" s="59"/>
      <c r="F22" s="59"/>
      <c r="G22" s="59"/>
      <c r="H22" s="60"/>
      <c r="I22" s="2028" t="s">
        <v>1503</v>
      </c>
      <c r="J22" s="2029"/>
      <c r="K22" s="2029"/>
      <c r="L22" s="2029"/>
      <c r="M22" s="2029"/>
      <c r="N22" s="2029"/>
      <c r="O22" s="2029"/>
      <c r="P22" s="2029"/>
      <c r="Q22" s="2029"/>
      <c r="R22" s="2029"/>
      <c r="S22" s="2030"/>
      <c r="T22" s="85" t="s">
        <v>1595</v>
      </c>
      <c r="U22" s="51"/>
      <c r="V22" s="72"/>
      <c r="W22" s="51"/>
      <c r="X22" s="160" t="s">
        <v>1384</v>
      </c>
      <c r="Z22" s="45"/>
      <c r="AA22" s="46"/>
    </row>
    <row r="23" spans="1:27" ht="13.5" customHeight="1" x14ac:dyDescent="0.2">
      <c r="A23" s="2024" t="s">
        <v>2093</v>
      </c>
      <c r="B23" s="2025"/>
      <c r="C23" s="2025"/>
      <c r="D23" s="2025"/>
      <c r="E23" s="2025"/>
      <c r="F23" s="2025"/>
      <c r="G23" s="2025"/>
      <c r="H23" s="2026"/>
      <c r="T23" s="1964" t="s">
        <v>2084</v>
      </c>
      <c r="U23" s="1965"/>
      <c r="V23" s="1965"/>
      <c r="W23" s="1965"/>
      <c r="X23" s="1980">
        <v>43434</v>
      </c>
      <c r="Y23" s="1981"/>
      <c r="Z23" s="1981"/>
      <c r="AA23" s="1982"/>
    </row>
    <row r="24" spans="1:27" ht="14.1" customHeight="1" x14ac:dyDescent="0.2">
      <c r="A24" s="88" t="s">
        <v>697</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551</v>
      </c>
      <c r="U24" s="106"/>
      <c r="V24" s="106"/>
      <c r="W24" s="106"/>
      <c r="X24" s="107"/>
      <c r="Y24" s="107"/>
      <c r="Z24" s="107"/>
      <c r="AA24" s="108"/>
    </row>
    <row r="25" spans="1:27" ht="14.1" customHeight="1" x14ac:dyDescent="0.2">
      <c r="A25" s="2001">
        <v>62269</v>
      </c>
      <c r="B25" s="2002"/>
      <c r="C25" s="2002"/>
      <c r="D25" s="2002"/>
      <c r="E25" s="2002"/>
      <c r="F25" s="2002"/>
      <c r="G25" s="2002"/>
      <c r="H25" s="2003"/>
      <c r="I25" s="113"/>
      <c r="J25" s="2068"/>
      <c r="K25" s="2068"/>
      <c r="L25" s="2068"/>
      <c r="M25" s="2068"/>
      <c r="N25" s="2068"/>
      <c r="O25" s="2068"/>
      <c r="P25" s="2068"/>
      <c r="Q25" s="2068"/>
      <c r="R25" s="2068"/>
      <c r="S25" s="2069"/>
      <c r="T25" s="1961" t="s">
        <v>2085</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9" t="s">
        <v>1590</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2073</v>
      </c>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562</v>
      </c>
      <c r="D34" s="31"/>
      <c r="E34" s="31"/>
      <c r="F34" s="31"/>
      <c r="G34" s="31"/>
      <c r="H34" s="31"/>
      <c r="I34" s="54"/>
      <c r="J34" s="83"/>
      <c r="L34" s="101"/>
      <c r="M34" s="93" t="s">
        <v>730</v>
      </c>
      <c r="N34" s="30"/>
      <c r="O34" s="30"/>
      <c r="P34" s="30"/>
      <c r="Q34" s="30"/>
      <c r="R34" s="30"/>
      <c r="S34" s="55"/>
      <c r="T34" s="30"/>
      <c r="U34" s="148" t="s">
        <v>2073</v>
      </c>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4" t="s">
        <v>2092</v>
      </c>
      <c r="B38" s="2034"/>
      <c r="C38" s="2034"/>
      <c r="D38" s="2034"/>
      <c r="E38" s="2034"/>
      <c r="F38" s="2002"/>
      <c r="G38" s="2002"/>
      <c r="H38" s="2003"/>
      <c r="I38" s="2053"/>
      <c r="J38" s="1973"/>
      <c r="K38" s="1973"/>
      <c r="L38" s="1973"/>
      <c r="M38" s="1973"/>
      <c r="N38" s="1973"/>
      <c r="O38" s="1973"/>
      <c r="P38" s="1974"/>
      <c r="Q38" s="1974"/>
      <c r="R38" s="1974"/>
      <c r="S38" s="1975"/>
      <c r="T38" s="1972" t="s">
        <v>2086</v>
      </c>
      <c r="U38" s="1973"/>
      <c r="V38" s="1973"/>
      <c r="W38" s="1973"/>
      <c r="X38" s="1974"/>
      <c r="Y38" s="1974"/>
      <c r="Z38" s="1974"/>
      <c r="AA38" s="1975"/>
    </row>
    <row r="39" spans="1:27" ht="12" customHeight="1" x14ac:dyDescent="0.2">
      <c r="A39" s="2057" t="s">
        <v>551</v>
      </c>
      <c r="B39" s="2058"/>
      <c r="C39" s="72"/>
      <c r="D39" s="69"/>
      <c r="E39" s="69"/>
      <c r="F39" s="79"/>
      <c r="G39" s="69"/>
      <c r="H39" s="56"/>
      <c r="I39" s="2057" t="s">
        <v>551</v>
      </c>
      <c r="J39" s="2058"/>
      <c r="K39" s="2058"/>
      <c r="L39" s="2058"/>
      <c r="M39" s="2058"/>
      <c r="N39" s="67"/>
      <c r="O39" s="72"/>
      <c r="P39" s="72"/>
      <c r="Q39" s="78"/>
      <c r="R39" s="72"/>
      <c r="S39" s="56"/>
      <c r="T39" s="72" t="s">
        <v>551</v>
      </c>
      <c r="U39" s="51"/>
      <c r="V39" s="72"/>
      <c r="W39" s="50"/>
      <c r="X39" s="78"/>
      <c r="Y39" s="45"/>
      <c r="Z39" s="45"/>
      <c r="AA39" s="46"/>
    </row>
    <row r="40" spans="1:27" ht="13.5" customHeight="1" x14ac:dyDescent="0.2">
      <c r="A40" s="2060" t="s">
        <v>2093</v>
      </c>
      <c r="B40" s="2061"/>
      <c r="C40" s="2062"/>
      <c r="D40" s="2062"/>
      <c r="E40" s="2062"/>
      <c r="F40" s="2063"/>
      <c r="G40" s="2063"/>
      <c r="H40" s="2064"/>
      <c r="I40" s="1976"/>
      <c r="J40" s="1978"/>
      <c r="K40" s="1978"/>
      <c r="L40" s="1978"/>
      <c r="M40" s="1978"/>
      <c r="N40" s="1978"/>
      <c r="O40" s="1978"/>
      <c r="P40" s="1978"/>
      <c r="Q40" s="1978"/>
      <c r="R40" s="1978"/>
      <c r="S40" s="1979"/>
      <c r="T40" s="1976" t="s">
        <v>2087</v>
      </c>
      <c r="U40" s="1977"/>
      <c r="V40" s="1978"/>
      <c r="W40" s="1978"/>
      <c r="X40" s="1978"/>
      <c r="Y40" s="1978"/>
      <c r="Z40" s="1978"/>
      <c r="AA40" s="197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0" t="s">
        <v>2090</v>
      </c>
      <c r="B42" s="2051"/>
      <c r="C42" s="2052"/>
      <c r="D42" s="2065" t="s">
        <v>2091</v>
      </c>
      <c r="E42" s="2051"/>
      <c r="F42" s="2051"/>
      <c r="G42" s="2051"/>
      <c r="H42" s="2052"/>
      <c r="I42" s="1971"/>
      <c r="J42" s="1967"/>
      <c r="K42" s="1967"/>
      <c r="L42" s="1967"/>
      <c r="M42" s="1967"/>
      <c r="N42" s="1967"/>
      <c r="O42" s="1968"/>
      <c r="P42" s="1966"/>
      <c r="Q42" s="1967"/>
      <c r="R42" s="1967"/>
      <c r="S42" s="1968"/>
      <c r="T42" s="1971" t="s">
        <v>2088</v>
      </c>
      <c r="U42" s="1967"/>
      <c r="V42" s="1967"/>
      <c r="W42" s="1968"/>
      <c r="X42" s="1966" t="s">
        <v>2089</v>
      </c>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2077</v>
      </c>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645847682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1.4E-2</v>
      </c>
      <c r="E10" s="356" t="s">
        <v>1061</v>
      </c>
      <c r="F10" s="355">
        <v>4.0000000000000001E-3</v>
      </c>
      <c r="G10" s="356" t="s">
        <v>1061</v>
      </c>
      <c r="H10" s="355">
        <v>1.1999999999999999E-3</v>
      </c>
      <c r="I10" s="356" t="s">
        <v>1062</v>
      </c>
      <c r="J10" s="1754">
        <f>ROUND(D10+F10+H10,5)</f>
        <v>1.9199999999999998E-2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30271721</v>
      </c>
      <c r="E16" s="356"/>
      <c r="F16" s="1755">
        <f>SUM('Acct Summary 7-8'!C17,'Acct Summary 7-8'!D17,'Acct Summary 7-8'!F17)</f>
        <v>26900005</v>
      </c>
      <c r="G16" s="356"/>
      <c r="H16" s="1755">
        <f>SUM(D16-F16)</f>
        <v>3371716</v>
      </c>
      <c r="I16" s="222"/>
      <c r="J16" s="1755">
        <f>SUM('Acct Summary 7-8'!C81,'Acct Summary 7-8'!D81,'Acct Summary 7-8'!F81,'Acct Summary 7-8'!I81)</f>
        <v>6740103</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606</v>
      </c>
      <c r="D31" s="237" t="s">
        <v>1131</v>
      </c>
      <c r="E31" s="222"/>
      <c r="F31" s="222"/>
      <c r="G31" s="363"/>
      <c r="H31" s="1757">
        <f>IF(B31="X",(J7*0.069),IF(B32="X",(J7*0.138),"Enter x in a.or b."))</f>
        <v>44563490.058000006</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32176934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O37" sqref="O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O'Fallon CCSD 90</v>
      </c>
      <c r="E7" s="391"/>
      <c r="G7" s="252"/>
      <c r="H7" s="387"/>
      <c r="I7" s="387"/>
      <c r="J7" s="387"/>
      <c r="K7" s="387"/>
      <c r="L7" s="329"/>
      <c r="M7" s="329"/>
      <c r="N7" s="329"/>
      <c r="O7" s="329"/>
      <c r="P7" s="329"/>
    </row>
    <row r="8" spans="1:18" ht="12.75" x14ac:dyDescent="0.2">
      <c r="A8" s="329"/>
      <c r="B8" s="329"/>
      <c r="C8" s="389" t="s">
        <v>1186</v>
      </c>
      <c r="D8" s="392">
        <f>COVER!A13</f>
        <v>50082090004</v>
      </c>
      <c r="E8" s="393"/>
      <c r="G8" s="329"/>
      <c r="H8" s="329"/>
      <c r="I8" s="329"/>
      <c r="J8" s="329"/>
      <c r="K8" s="329"/>
      <c r="L8" s="329"/>
      <c r="M8" s="329"/>
      <c r="N8" s="329"/>
      <c r="O8" s="329"/>
      <c r="P8" s="329"/>
    </row>
    <row r="9" spans="1:18" ht="12.75" x14ac:dyDescent="0.2">
      <c r="A9" s="329"/>
      <c r="B9" s="329"/>
      <c r="C9" s="389" t="s">
        <v>736</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3</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6740103</v>
      </c>
      <c r="I12" s="404"/>
      <c r="J12" s="404"/>
      <c r="K12" s="405">
        <f>TRUNC((H12/H13*100000),5)/100000</f>
        <v>0.222653446</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30271721</v>
      </c>
      <c r="I13" s="404"/>
      <c r="J13" s="404"/>
      <c r="K13" s="410"/>
      <c r="L13" s="218"/>
      <c r="M13" s="360" t="s">
        <v>1206</v>
      </c>
      <c r="N13" s="360"/>
      <c r="O13" s="411">
        <f>(O11*O12)</f>
        <v>1.0499999999999998</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26900005</v>
      </c>
      <c r="I17" s="404"/>
      <c r="J17" s="416"/>
      <c r="K17" s="405">
        <f>TRUNC((H17/H18*100000),5)/100000</f>
        <v>0.88861829159999994</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30271721</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6760332</v>
      </c>
      <c r="I24" s="422"/>
      <c r="J24" s="422"/>
      <c r="K24" s="423">
        <f>TRUNC(((H24/H25*100000)/100000),2)</f>
        <v>90.47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74722.236109999998</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10540234.17024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32176934</v>
      </c>
      <c r="I32" s="420"/>
      <c r="J32" s="420"/>
      <c r="K32" s="423">
        <f>TRUNC(100-((((H32/H33*100))*100)/100),2)</f>
        <v>27.79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44563490.058000006</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3.35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A47" sqref="A47"/>
      <selection pane="bottomLeft" activeCell="I1" sqref="I1:I104857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81"/>
      <c r="D3" s="1582"/>
      <c r="E3" s="1582"/>
      <c r="F3" s="1582"/>
      <c r="G3" s="1582"/>
      <c r="H3" s="1582"/>
      <c r="I3" s="1582"/>
      <c r="J3" s="1582"/>
      <c r="K3" s="1582"/>
      <c r="L3" s="1582"/>
      <c r="M3" s="1583"/>
      <c r="N3" s="1584"/>
    </row>
    <row r="4" spans="1:14" ht="13.5" customHeight="1" x14ac:dyDescent="0.2">
      <c r="A4" s="463" t="s">
        <v>1749</v>
      </c>
      <c r="B4" s="464"/>
      <c r="C4" s="465">
        <v>2501057</v>
      </c>
      <c r="D4" s="466">
        <v>135855</v>
      </c>
      <c r="E4" s="466">
        <v>261</v>
      </c>
      <c r="F4" s="466">
        <v>251010</v>
      </c>
      <c r="G4" s="466">
        <v>106966</v>
      </c>
      <c r="H4" s="466">
        <v>695</v>
      </c>
      <c r="I4" s="466">
        <v>27</v>
      </c>
      <c r="J4" s="467">
        <v>83395</v>
      </c>
      <c r="K4" s="466">
        <v>73097</v>
      </c>
      <c r="L4" s="466">
        <v>313052</v>
      </c>
      <c r="M4" s="468"/>
      <c r="N4" s="469"/>
    </row>
    <row r="5" spans="1:14" x14ac:dyDescent="0.2">
      <c r="A5" s="463" t="s">
        <v>1048</v>
      </c>
      <c r="B5" s="470">
        <v>120</v>
      </c>
      <c r="C5" s="465">
        <v>2044424</v>
      </c>
      <c r="D5" s="466">
        <v>890220</v>
      </c>
      <c r="E5" s="466">
        <v>1271780</v>
      </c>
      <c r="F5" s="466">
        <v>200827</v>
      </c>
      <c r="G5" s="466">
        <v>410023</v>
      </c>
      <c r="H5" s="466">
        <v>1058</v>
      </c>
      <c r="I5" s="466">
        <v>736912</v>
      </c>
      <c r="J5" s="467">
        <v>774901</v>
      </c>
      <c r="K5" s="471">
        <v>943592</v>
      </c>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4545481</v>
      </c>
      <c r="D13" s="1759">
        <f t="shared" ref="D13:L13" si="0">SUM(D4:D12)</f>
        <v>1026075</v>
      </c>
      <c r="E13" s="1759">
        <f t="shared" si="0"/>
        <v>1272041</v>
      </c>
      <c r="F13" s="1759">
        <f t="shared" si="0"/>
        <v>451837</v>
      </c>
      <c r="G13" s="1759">
        <f t="shared" si="0"/>
        <v>516989</v>
      </c>
      <c r="H13" s="1759">
        <f t="shared" si="0"/>
        <v>1753</v>
      </c>
      <c r="I13" s="1759">
        <f t="shared" si="0"/>
        <v>736939</v>
      </c>
      <c r="J13" s="1759">
        <f t="shared" si="0"/>
        <v>858296</v>
      </c>
      <c r="K13" s="1759">
        <f t="shared" si="0"/>
        <v>1016689</v>
      </c>
      <c r="L13" s="1759">
        <f t="shared" si="0"/>
        <v>313052</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2935335</v>
      </c>
      <c r="N16" s="484"/>
    </row>
    <row r="17" spans="1:14" s="485" customFormat="1" ht="12.75" customHeight="1" x14ac:dyDescent="0.2">
      <c r="A17" s="482" t="s">
        <v>1469</v>
      </c>
      <c r="B17" s="483">
        <v>230</v>
      </c>
      <c r="C17" s="477"/>
      <c r="D17" s="477"/>
      <c r="E17" s="477"/>
      <c r="F17" s="477"/>
      <c r="G17" s="477"/>
      <c r="H17" s="477"/>
      <c r="I17" s="477"/>
      <c r="J17" s="477"/>
      <c r="K17" s="477"/>
      <c r="L17" s="477"/>
      <c r="M17" s="467">
        <v>45942400</v>
      </c>
      <c r="N17" s="484"/>
    </row>
    <row r="18" spans="1:14" s="485" customFormat="1" ht="12.75" customHeight="1" x14ac:dyDescent="0.2">
      <c r="A18" s="482" t="s">
        <v>1470</v>
      </c>
      <c r="B18" s="483">
        <v>240</v>
      </c>
      <c r="C18" s="477"/>
      <c r="D18" s="477"/>
      <c r="E18" s="477"/>
      <c r="F18" s="477"/>
      <c r="G18" s="477"/>
      <c r="H18" s="477"/>
      <c r="I18" s="477"/>
      <c r="J18" s="477"/>
      <c r="K18" s="477"/>
      <c r="L18" s="477"/>
      <c r="M18" s="467">
        <v>531556</v>
      </c>
      <c r="N18" s="484"/>
    </row>
    <row r="19" spans="1:14" s="485" customFormat="1" ht="12.75" customHeight="1" x14ac:dyDescent="0.2">
      <c r="A19" s="482" t="s">
        <v>1471</v>
      </c>
      <c r="B19" s="483">
        <v>250</v>
      </c>
      <c r="C19" s="477"/>
      <c r="D19" s="477"/>
      <c r="E19" s="477"/>
      <c r="F19" s="477"/>
      <c r="G19" s="477"/>
      <c r="H19" s="477"/>
      <c r="I19" s="477"/>
      <c r="J19" s="477"/>
      <c r="K19" s="477"/>
      <c r="L19" s="477"/>
      <c r="M19" s="467">
        <v>408765</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1272041</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30904893</v>
      </c>
    </row>
    <row r="23" spans="1:14" ht="13.5" customHeight="1" thickBot="1" x14ac:dyDescent="0.25">
      <c r="A23" s="1758" t="s">
        <v>663</v>
      </c>
      <c r="B23" s="1763"/>
      <c r="C23" s="468"/>
      <c r="D23" s="468"/>
      <c r="E23" s="468"/>
      <c r="F23" s="468"/>
      <c r="G23" s="468"/>
      <c r="H23" s="468"/>
      <c r="I23" s="468"/>
      <c r="J23" s="468"/>
      <c r="K23" s="468"/>
      <c r="L23" s="468"/>
      <c r="M23" s="1710">
        <f>SUM(M15:M22)</f>
        <v>49818056</v>
      </c>
      <c r="N23" s="1710">
        <f>SUM(N21:N22)</f>
        <v>32176934</v>
      </c>
    </row>
    <row r="24" spans="1:14" ht="18" customHeight="1" thickTop="1" x14ac:dyDescent="0.2">
      <c r="A24" s="2132" t="s">
        <v>618</v>
      </c>
      <c r="B24" s="2133"/>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v>12</v>
      </c>
      <c r="K31" s="467"/>
      <c r="L31" s="468"/>
      <c r="M31" s="468"/>
      <c r="N31" s="468"/>
    </row>
    <row r="32" spans="1:14" ht="13.5" customHeight="1" x14ac:dyDescent="0.2">
      <c r="A32" s="490" t="s">
        <v>672</v>
      </c>
      <c r="B32" s="491">
        <v>490</v>
      </c>
      <c r="C32" s="492">
        <v>20229</v>
      </c>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313052</v>
      </c>
      <c r="M33" s="468"/>
      <c r="N33" s="469"/>
    </row>
    <row r="34" spans="1:14" ht="13.5" customHeight="1" thickBot="1" x14ac:dyDescent="0.25">
      <c r="A34" s="1760" t="s">
        <v>674</v>
      </c>
      <c r="B34" s="1761"/>
      <c r="C34" s="1762">
        <f>SUM(C25:C33)</f>
        <v>20229</v>
      </c>
      <c r="D34" s="1762">
        <f t="shared" ref="D34:K34" si="1">SUM(D25:D33)</f>
        <v>0</v>
      </c>
      <c r="E34" s="1762">
        <f t="shared" si="1"/>
        <v>0</v>
      </c>
      <c r="F34" s="1762">
        <f t="shared" si="1"/>
        <v>0</v>
      </c>
      <c r="G34" s="1762">
        <f t="shared" si="1"/>
        <v>0</v>
      </c>
      <c r="H34" s="1762">
        <f t="shared" si="1"/>
        <v>0</v>
      </c>
      <c r="I34" s="1762">
        <f t="shared" si="1"/>
        <v>0</v>
      </c>
      <c r="J34" s="1762">
        <f t="shared" si="1"/>
        <v>12</v>
      </c>
      <c r="K34" s="1762">
        <f t="shared" si="1"/>
        <v>0</v>
      </c>
      <c r="L34" s="1743">
        <f>SUM(L33)</f>
        <v>313052</v>
      </c>
      <c r="M34" s="468"/>
      <c r="N34" s="480"/>
    </row>
    <row r="35" spans="1:14" ht="18" customHeight="1" thickTop="1" x14ac:dyDescent="0.2">
      <c r="A35" s="2134" t="s">
        <v>549</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32176934</v>
      </c>
    </row>
    <row r="37" spans="1:14" ht="13.5" thickBot="1" x14ac:dyDescent="0.25">
      <c r="A37" s="1758" t="s">
        <v>673</v>
      </c>
      <c r="B37" s="1763"/>
      <c r="C37" s="477"/>
      <c r="D37" s="477"/>
      <c r="E37" s="477"/>
      <c r="F37" s="477"/>
      <c r="G37" s="477"/>
      <c r="H37" s="477"/>
      <c r="I37" s="477"/>
      <c r="J37" s="477"/>
      <c r="K37" s="477"/>
      <c r="L37" s="480"/>
      <c r="M37" s="468"/>
      <c r="N37" s="1710">
        <f>SUM(N36:N36)</f>
        <v>32176934</v>
      </c>
    </row>
    <row r="38" spans="1:14" s="329" customFormat="1" ht="13.5" customHeight="1" thickTop="1" x14ac:dyDescent="0.2">
      <c r="A38" s="496" t="s">
        <v>439</v>
      </c>
      <c r="B38" s="483">
        <v>714</v>
      </c>
      <c r="C38" s="466"/>
      <c r="D38" s="466"/>
      <c r="E38" s="466">
        <v>1272041</v>
      </c>
      <c r="F38" s="466">
        <v>451837</v>
      </c>
      <c r="G38" s="466">
        <v>516989</v>
      </c>
      <c r="H38" s="466">
        <v>1753</v>
      </c>
      <c r="I38" s="466"/>
      <c r="J38" s="467">
        <v>858284</v>
      </c>
      <c r="K38" s="466">
        <v>1016689</v>
      </c>
      <c r="L38" s="481"/>
      <c r="M38" s="497"/>
      <c r="N38" s="497"/>
    </row>
    <row r="39" spans="1:14" s="329" customFormat="1" ht="13.5" customHeight="1" x14ac:dyDescent="0.2">
      <c r="A39" s="496" t="s">
        <v>359</v>
      </c>
      <c r="B39" s="483">
        <v>730</v>
      </c>
      <c r="C39" s="466">
        <v>4525252</v>
      </c>
      <c r="D39" s="466">
        <v>1026075</v>
      </c>
      <c r="E39" s="466"/>
      <c r="F39" s="466"/>
      <c r="G39" s="466"/>
      <c r="H39" s="466"/>
      <c r="I39" s="466">
        <v>736939</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49818056</v>
      </c>
      <c r="N40" s="497"/>
    </row>
    <row r="41" spans="1:14" ht="13.5" customHeight="1" thickBot="1" x14ac:dyDescent="0.25">
      <c r="A41" s="1758" t="s">
        <v>675</v>
      </c>
      <c r="B41" s="1728"/>
      <c r="C41" s="1710">
        <f>(SUM(C34,C37,C38,C39))</f>
        <v>4545481</v>
      </c>
      <c r="D41" s="1710">
        <f t="shared" ref="D41:L41" si="2">SUM(D34,D37,D38:D39)</f>
        <v>1026075</v>
      </c>
      <c r="E41" s="1710">
        <f t="shared" si="2"/>
        <v>1272041</v>
      </c>
      <c r="F41" s="1710">
        <f t="shared" si="2"/>
        <v>451837</v>
      </c>
      <c r="G41" s="1710">
        <f t="shared" si="2"/>
        <v>516989</v>
      </c>
      <c r="H41" s="1710">
        <f t="shared" si="2"/>
        <v>1753</v>
      </c>
      <c r="I41" s="1710">
        <f t="shared" si="2"/>
        <v>736939</v>
      </c>
      <c r="J41" s="1710">
        <f t="shared" si="2"/>
        <v>858296</v>
      </c>
      <c r="K41" s="1710">
        <f t="shared" si="2"/>
        <v>1016689</v>
      </c>
      <c r="L41" s="1710">
        <f t="shared" si="2"/>
        <v>313052</v>
      </c>
      <c r="M41" s="1710">
        <f>SUM(M40)</f>
        <v>49818056</v>
      </c>
      <c r="N41" s="1710">
        <f>SUM(N37)</f>
        <v>32176934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A47" sqref="A47"/>
      <selection pane="bottomLeft" activeCell="I76" sqref="I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95"/>
      <c r="D3" s="1596"/>
      <c r="E3" s="1596"/>
      <c r="F3" s="1596"/>
      <c r="G3" s="1596"/>
      <c r="H3" s="1596"/>
      <c r="I3" s="1596"/>
      <c r="J3" s="1596"/>
      <c r="K3" s="1597"/>
      <c r="L3" s="506"/>
    </row>
    <row r="4" spans="1:13" ht="15.75" customHeight="1" x14ac:dyDescent="0.2">
      <c r="A4" s="1953" t="s">
        <v>1578</v>
      </c>
      <c r="B4" s="1954">
        <v>1000</v>
      </c>
      <c r="C4" s="1764">
        <f>'Revenues 9-14'!C109</f>
        <v>13727782</v>
      </c>
      <c r="D4" s="1764">
        <f>'Revenues 9-14'!D109</f>
        <v>3388240</v>
      </c>
      <c r="E4" s="1764">
        <f>'Revenues 9-14'!E109</f>
        <v>4002650</v>
      </c>
      <c r="F4" s="1764">
        <f>'Revenues 9-14'!F109</f>
        <v>904254</v>
      </c>
      <c r="G4" s="1764">
        <f>'Revenues 9-14'!G109</f>
        <v>1195170</v>
      </c>
      <c r="H4" s="1764">
        <f>'Revenues 9-14'!H109</f>
        <v>14</v>
      </c>
      <c r="I4" s="1764">
        <f>'Revenues 9-14'!I109</f>
        <v>377027</v>
      </c>
      <c r="J4" s="1764">
        <f>'Revenues 9-14'!J109</f>
        <v>2585284</v>
      </c>
      <c r="K4" s="1764">
        <f>'Revenues 9-14'!K109</f>
        <v>371436</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8845518</v>
      </c>
      <c r="D6" s="1765">
        <f>'Revenues 9-14'!D173</f>
        <v>21121</v>
      </c>
      <c r="E6" s="1765">
        <f>'Revenues 9-14'!E173</f>
        <v>0</v>
      </c>
      <c r="F6" s="1765">
        <f>'Revenues 9-14'!F173</f>
        <v>1021781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1985998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24559298</v>
      </c>
      <c r="D8" s="1710">
        <f t="shared" ref="D8:K8" si="0">SUM(D4:D7)</f>
        <v>3409361</v>
      </c>
      <c r="E8" s="1710">
        <f t="shared" si="0"/>
        <v>4002650</v>
      </c>
      <c r="F8" s="1710">
        <f t="shared" si="0"/>
        <v>1926035</v>
      </c>
      <c r="G8" s="1710">
        <f t="shared" si="0"/>
        <v>1195170</v>
      </c>
      <c r="H8" s="1710">
        <f t="shared" si="0"/>
        <v>14</v>
      </c>
      <c r="I8" s="1710">
        <f t="shared" si="0"/>
        <v>377027</v>
      </c>
      <c r="J8" s="1710">
        <f t="shared" si="0"/>
        <v>2585284</v>
      </c>
      <c r="K8" s="1710">
        <f t="shared" si="0"/>
        <v>371436</v>
      </c>
      <c r="L8" s="347"/>
    </row>
    <row r="9" spans="1:13" ht="15.75" thickTop="1" x14ac:dyDescent="0.2">
      <c r="A9" s="514" t="s">
        <v>1751</v>
      </c>
      <c r="B9" s="515">
        <v>3998</v>
      </c>
      <c r="C9" s="481">
        <v>10034740</v>
      </c>
      <c r="D9" s="516"/>
      <c r="E9" s="481"/>
      <c r="F9" s="481"/>
      <c r="G9" s="517"/>
      <c r="H9" s="481"/>
      <c r="I9" s="509" t="s">
        <v>1230</v>
      </c>
      <c r="J9" s="478"/>
      <c r="K9" s="481"/>
      <c r="L9" s="347"/>
    </row>
    <row r="10" spans="1:13" s="519" customFormat="1" ht="13.5" thickBot="1" x14ac:dyDescent="0.25">
      <c r="A10" s="1758" t="s">
        <v>1234</v>
      </c>
      <c r="B10" s="1731"/>
      <c r="C10" s="1710">
        <f>SUM(C8:C9)</f>
        <v>34594038</v>
      </c>
      <c r="D10" s="1710">
        <f t="shared" ref="D10:K10" si="1">SUM(D8:D9)</f>
        <v>3409361</v>
      </c>
      <c r="E10" s="1710">
        <f t="shared" si="1"/>
        <v>4002650</v>
      </c>
      <c r="F10" s="1710">
        <f t="shared" si="1"/>
        <v>1926035</v>
      </c>
      <c r="G10" s="1710">
        <f t="shared" si="1"/>
        <v>1195170</v>
      </c>
      <c r="H10" s="1710">
        <f t="shared" si="1"/>
        <v>14</v>
      </c>
      <c r="I10" s="1710">
        <f t="shared" si="1"/>
        <v>377027</v>
      </c>
      <c r="J10" s="1710">
        <f t="shared" si="1"/>
        <v>2585284</v>
      </c>
      <c r="K10" s="1710">
        <f t="shared" si="1"/>
        <v>371436</v>
      </c>
      <c r="L10" s="518"/>
    </row>
    <row r="11" spans="1:13" s="519" customFormat="1" ht="16.7" customHeight="1" thickTop="1" x14ac:dyDescent="0.2">
      <c r="A11" s="2130" t="s">
        <v>1237</v>
      </c>
      <c r="B11" s="2131"/>
      <c r="C11" s="1592"/>
      <c r="D11" s="1593"/>
      <c r="E11" s="1593"/>
      <c r="F11" s="1593"/>
      <c r="G11" s="1593"/>
      <c r="H11" s="1593"/>
      <c r="I11" s="1593"/>
      <c r="J11" s="1593"/>
      <c r="K11" s="1594"/>
      <c r="L11" s="518"/>
    </row>
    <row r="12" spans="1:13" ht="15.75" customHeight="1" x14ac:dyDescent="0.2">
      <c r="A12" s="1598" t="s">
        <v>475</v>
      </c>
      <c r="B12" s="1600">
        <v>1000</v>
      </c>
      <c r="C12" s="1764">
        <f>'Expenditures 15-22'!K33</f>
        <v>14809387</v>
      </c>
      <c r="D12" s="520" t="s">
        <v>1230</v>
      </c>
      <c r="E12" s="468" t="s">
        <v>1230</v>
      </c>
      <c r="F12" s="468" t="s">
        <v>1230</v>
      </c>
      <c r="G12" s="1764">
        <f>'Expenditures 15-22'!K229</f>
        <v>374095</v>
      </c>
      <c r="H12" s="521"/>
      <c r="I12" s="468" t="s">
        <v>1230</v>
      </c>
      <c r="J12" s="468" t="s">
        <v>1230</v>
      </c>
      <c r="K12" s="521" t="s">
        <v>1230</v>
      </c>
      <c r="L12" s="347"/>
    </row>
    <row r="13" spans="1:13" ht="15.75" customHeight="1" x14ac:dyDescent="0.2">
      <c r="A13" s="1598" t="s">
        <v>476</v>
      </c>
      <c r="B13" s="1600">
        <v>2000</v>
      </c>
      <c r="C13" s="1765">
        <f>'Expenditures 15-22'!K74</f>
        <v>5442591</v>
      </c>
      <c r="D13" s="1765">
        <f>'Expenditures 15-22'!K129</f>
        <v>2903323</v>
      </c>
      <c r="E13" s="469" t="s">
        <v>1230</v>
      </c>
      <c r="F13" s="1765">
        <f>'Expenditures 15-22'!K184</f>
        <v>1847973</v>
      </c>
      <c r="G13" s="1765">
        <f>'Expenditures 15-22'!K279</f>
        <v>523815</v>
      </c>
      <c r="H13" s="1765">
        <f>'Expenditures 15-22'!K303</f>
        <v>0</v>
      </c>
      <c r="I13" s="468" t="s">
        <v>1230</v>
      </c>
      <c r="J13" s="1765">
        <f>'Expenditures 15-22'!K330</f>
        <v>2115360</v>
      </c>
      <c r="K13" s="1769">
        <f>'Expenditures 15-22'!K352</f>
        <v>153884</v>
      </c>
      <c r="L13" s="347"/>
    </row>
    <row r="14" spans="1:13" ht="15.75" customHeight="1" x14ac:dyDescent="0.2">
      <c r="A14" s="1598" t="s">
        <v>468</v>
      </c>
      <c r="B14" s="1600">
        <v>3000</v>
      </c>
      <c r="C14" s="1765">
        <f>'Expenditures 15-22'!K75</f>
        <v>1106075</v>
      </c>
      <c r="D14" s="1765">
        <f>'Expenditures 15-22'!K130</f>
        <v>0</v>
      </c>
      <c r="E14" s="520" t="s">
        <v>1230</v>
      </c>
      <c r="F14" s="1765">
        <f>'Expenditures 15-22'!K185</f>
        <v>0</v>
      </c>
      <c r="G14" s="1765">
        <f>'Expenditures 15-22'!K280</f>
        <v>131656</v>
      </c>
      <c r="H14" s="512"/>
      <c r="I14" s="468" t="s">
        <v>1230</v>
      </c>
      <c r="J14" s="468" t="s">
        <v>1230</v>
      </c>
      <c r="K14" s="512" t="s">
        <v>1230</v>
      </c>
      <c r="L14" s="347"/>
    </row>
    <row r="15" spans="1:13" ht="15.75" customHeight="1" x14ac:dyDescent="0.2">
      <c r="A15" s="1598" t="s">
        <v>109</v>
      </c>
      <c r="B15" s="1600">
        <v>4000</v>
      </c>
      <c r="C15" s="1765">
        <f>'Expenditures 15-22'!K102</f>
        <v>790656</v>
      </c>
      <c r="D15" s="1765">
        <f>'Expenditures 15-22'!K139</f>
        <v>0</v>
      </c>
      <c r="E15" s="1765">
        <f>'Expenditures 15-22'!K160</f>
        <v>0</v>
      </c>
      <c r="F15" s="1765">
        <f>'Expenditures 15-22'!K196</f>
        <v>0</v>
      </c>
      <c r="G15" s="1765">
        <f>'Expenditures 15-22'!K285</f>
        <v>6192</v>
      </c>
      <c r="H15" s="1765">
        <f>'Expenditures 15-22'!K310</f>
        <v>0</v>
      </c>
      <c r="I15" s="468" t="s">
        <v>1230</v>
      </c>
      <c r="J15" s="1858">
        <f>'Expenditures 15-22'!K334</f>
        <v>25032</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3496441</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22148709</v>
      </c>
      <c r="D17" s="1710">
        <f t="shared" si="2"/>
        <v>2903323</v>
      </c>
      <c r="E17" s="1710">
        <f t="shared" si="2"/>
        <v>3496441</v>
      </c>
      <c r="F17" s="1710">
        <f t="shared" si="2"/>
        <v>1847973</v>
      </c>
      <c r="G17" s="1710">
        <f t="shared" si="2"/>
        <v>1035758</v>
      </c>
      <c r="H17" s="1710">
        <f t="shared" si="2"/>
        <v>0</v>
      </c>
      <c r="I17" s="468"/>
      <c r="J17" s="1710">
        <f>SUM(J12:J16)</f>
        <v>2140392</v>
      </c>
      <c r="K17" s="1710">
        <f>SUM(K12:K16)</f>
        <v>153884</v>
      </c>
      <c r="L17" s="347"/>
    </row>
    <row r="18" spans="1:12" ht="15" customHeight="1" thickTop="1" x14ac:dyDescent="0.2">
      <c r="A18" s="1766" t="s">
        <v>1752</v>
      </c>
      <c r="B18" s="1767">
        <v>4180</v>
      </c>
      <c r="C18" s="1764">
        <f t="shared" ref="C18:H18" si="3">C9</f>
        <v>10034740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32183449</v>
      </c>
      <c r="D19" s="1710">
        <f t="shared" si="4"/>
        <v>2903323</v>
      </c>
      <c r="E19" s="1710">
        <f t="shared" si="4"/>
        <v>3496441</v>
      </c>
      <c r="F19" s="1710">
        <f t="shared" si="4"/>
        <v>1847973</v>
      </c>
      <c r="G19" s="1710">
        <f t="shared" si="4"/>
        <v>1035758</v>
      </c>
      <c r="H19" s="1710">
        <f t="shared" si="4"/>
        <v>0</v>
      </c>
      <c r="I19" s="468"/>
      <c r="J19" s="1710">
        <f>SUM(J17:J18)</f>
        <v>2140392</v>
      </c>
      <c r="K19" s="1710">
        <f>SUM(K17:K18)</f>
        <v>153884</v>
      </c>
      <c r="L19" s="347"/>
    </row>
    <row r="20" spans="1:12" ht="16.5" thickTop="1" thickBot="1" x14ac:dyDescent="0.25">
      <c r="A20" s="2146" t="s">
        <v>1753</v>
      </c>
      <c r="B20" s="2147"/>
      <c r="C20" s="1768">
        <f>C8-C17</f>
        <v>2410589</v>
      </c>
      <c r="D20" s="1768">
        <f t="shared" ref="D20:K20" si="5">D8-D17</f>
        <v>506038</v>
      </c>
      <c r="E20" s="1768">
        <f t="shared" si="5"/>
        <v>506209</v>
      </c>
      <c r="F20" s="1768">
        <f t="shared" si="5"/>
        <v>78062</v>
      </c>
      <c r="G20" s="1768">
        <f t="shared" si="5"/>
        <v>159412</v>
      </c>
      <c r="H20" s="1768">
        <f t="shared" si="5"/>
        <v>14</v>
      </c>
      <c r="I20" s="1768">
        <f t="shared" si="5"/>
        <v>377027</v>
      </c>
      <c r="J20" s="1768">
        <f t="shared" si="5"/>
        <v>444892</v>
      </c>
      <c r="K20" s="1768">
        <f t="shared" si="5"/>
        <v>217552</v>
      </c>
      <c r="L20" s="347"/>
    </row>
    <row r="21" spans="1:12" ht="16.7" customHeight="1" thickTop="1" x14ac:dyDescent="0.2">
      <c r="A21" s="2158" t="s">
        <v>615</v>
      </c>
      <c r="B21" s="2159"/>
      <c r="C21" s="1592"/>
      <c r="D21" s="1593"/>
      <c r="E21" s="1593"/>
      <c r="F21" s="1593"/>
      <c r="G21" s="1593"/>
      <c r="H21" s="1593"/>
      <c r="I21" s="1593"/>
      <c r="J21" s="1593"/>
      <c r="K21" s="1594"/>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v>115483</v>
      </c>
      <c r="D25" s="467"/>
      <c r="E25" s="467"/>
      <c r="F25" s="467">
        <v>371000</v>
      </c>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c r="F43" s="467"/>
      <c r="G43" s="467"/>
      <c r="H43" s="467"/>
      <c r="I43" s="467"/>
      <c r="J43" s="467"/>
      <c r="K43" s="467"/>
      <c r="L43" s="524"/>
    </row>
    <row r="44" spans="1:12" s="485" customFormat="1" ht="13.5" customHeight="1" thickBot="1" x14ac:dyDescent="0.25">
      <c r="A44" s="2160" t="s">
        <v>391</v>
      </c>
      <c r="B44" s="2161"/>
      <c r="C44" s="1725">
        <f>SUM(C24:C43)</f>
        <v>115483</v>
      </c>
      <c r="D44" s="1725">
        <f t="shared" ref="D44:K44" si="6">SUM(D24:D43)</f>
        <v>0</v>
      </c>
      <c r="E44" s="1725">
        <f t="shared" si="6"/>
        <v>0</v>
      </c>
      <c r="F44" s="1725">
        <f t="shared" si="6"/>
        <v>371000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486483</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c r="L75" s="524"/>
    </row>
    <row r="76" spans="1:12" s="485" customFormat="1" ht="14.25" thickTop="1" thickBot="1" x14ac:dyDescent="0.25">
      <c r="A76" s="2136" t="s">
        <v>459</v>
      </c>
      <c r="B76" s="2137"/>
      <c r="C76" s="1725">
        <f t="shared" ref="C76:K76" si="7">SUM(C47:C75)</f>
        <v>0</v>
      </c>
      <c r="D76" s="1725">
        <f t="shared" si="7"/>
        <v>0</v>
      </c>
      <c r="E76" s="1725">
        <f t="shared" si="7"/>
        <v>0</v>
      </c>
      <c r="F76" s="1725">
        <f t="shared" si="7"/>
        <v>0</v>
      </c>
      <c r="G76" s="1725">
        <f t="shared" si="7"/>
        <v>0</v>
      </c>
      <c r="H76" s="1725">
        <f t="shared" si="7"/>
        <v>0</v>
      </c>
      <c r="I76" s="1725">
        <f t="shared" si="7"/>
        <v>486483</v>
      </c>
      <c r="J76" s="1725">
        <f t="shared" si="7"/>
        <v>0</v>
      </c>
      <c r="K76" s="1725">
        <f t="shared" si="7"/>
        <v>0</v>
      </c>
      <c r="L76" s="524"/>
    </row>
    <row r="77" spans="1:12" ht="14.25" thickTop="1" thickBot="1" x14ac:dyDescent="0.25">
      <c r="A77" s="2138" t="s">
        <v>1238</v>
      </c>
      <c r="B77" s="2139"/>
      <c r="C77" s="1725">
        <f t="shared" ref="C77:K77" si="8">C44-C76</f>
        <v>115483</v>
      </c>
      <c r="D77" s="1725">
        <f t="shared" si="8"/>
        <v>0</v>
      </c>
      <c r="E77" s="1725">
        <f t="shared" si="8"/>
        <v>0</v>
      </c>
      <c r="F77" s="1725">
        <f t="shared" si="8"/>
        <v>371000</v>
      </c>
      <c r="G77" s="1725">
        <f t="shared" si="8"/>
        <v>0</v>
      </c>
      <c r="H77" s="1725">
        <f t="shared" si="8"/>
        <v>0</v>
      </c>
      <c r="I77" s="1725">
        <f t="shared" si="8"/>
        <v>-486483</v>
      </c>
      <c r="J77" s="1725">
        <f t="shared" si="8"/>
        <v>0</v>
      </c>
      <c r="K77" s="1725">
        <f t="shared" si="8"/>
        <v>0</v>
      </c>
      <c r="L77" s="347"/>
    </row>
    <row r="78" spans="1:12" ht="21.75" customHeight="1" thickTop="1" thickBot="1" x14ac:dyDescent="0.25">
      <c r="A78" s="2142" t="s">
        <v>617</v>
      </c>
      <c r="B78" s="2143"/>
      <c r="C78" s="1724">
        <f t="shared" ref="C78:K78" si="9">C20+C77</f>
        <v>2526072</v>
      </c>
      <c r="D78" s="1724">
        <f t="shared" si="9"/>
        <v>506038</v>
      </c>
      <c r="E78" s="1724">
        <f t="shared" si="9"/>
        <v>506209</v>
      </c>
      <c r="F78" s="1724">
        <f t="shared" si="9"/>
        <v>449062</v>
      </c>
      <c r="G78" s="1724">
        <f t="shared" si="9"/>
        <v>159412</v>
      </c>
      <c r="H78" s="1724">
        <f t="shared" si="9"/>
        <v>14</v>
      </c>
      <c r="I78" s="1724">
        <f t="shared" si="9"/>
        <v>-109456</v>
      </c>
      <c r="J78" s="1724">
        <f t="shared" si="9"/>
        <v>444892</v>
      </c>
      <c r="K78" s="1724">
        <f t="shared" si="9"/>
        <v>217552</v>
      </c>
      <c r="L78" s="533"/>
    </row>
    <row r="79" spans="1:12" ht="13.5" thickTop="1" x14ac:dyDescent="0.2">
      <c r="A79" s="1516" t="s">
        <v>2069</v>
      </c>
      <c r="B79" s="534"/>
      <c r="C79" s="478">
        <v>1999180</v>
      </c>
      <c r="D79" s="535">
        <v>520037</v>
      </c>
      <c r="E79" s="535">
        <v>765832</v>
      </c>
      <c r="F79" s="535">
        <v>2775</v>
      </c>
      <c r="G79" s="535">
        <v>357577</v>
      </c>
      <c r="H79" s="535">
        <v>1739</v>
      </c>
      <c r="I79" s="535">
        <v>846395</v>
      </c>
      <c r="J79" s="535">
        <v>413392</v>
      </c>
      <c r="K79" s="535">
        <v>799137</v>
      </c>
      <c r="L79" s="347"/>
    </row>
    <row r="80" spans="1:12" x14ac:dyDescent="0.2">
      <c r="A80" s="2148" t="s">
        <v>1894</v>
      </c>
      <c r="B80" s="2149"/>
      <c r="C80" s="467"/>
      <c r="D80" s="467"/>
      <c r="E80" s="467"/>
      <c r="F80" s="467"/>
      <c r="G80" s="467"/>
      <c r="H80" s="467"/>
      <c r="I80" s="467"/>
      <c r="J80" s="467"/>
      <c r="K80" s="467"/>
      <c r="L80" s="347"/>
    </row>
    <row r="81" spans="1:12" ht="13.5" thickBot="1" x14ac:dyDescent="0.25">
      <c r="A81" s="2140" t="s">
        <v>2070</v>
      </c>
      <c r="B81" s="2141"/>
      <c r="C81" s="1710">
        <f>(SUM(C78:C80))</f>
        <v>4525252</v>
      </c>
      <c r="D81" s="1710">
        <f>SUM(D78:D80)</f>
        <v>1026075</v>
      </c>
      <c r="E81" s="1710">
        <f t="shared" ref="E81:K81" si="10">SUM(E78:E80)</f>
        <v>1272041</v>
      </c>
      <c r="F81" s="1710">
        <f t="shared" si="10"/>
        <v>451837</v>
      </c>
      <c r="G81" s="1710">
        <f t="shared" si="10"/>
        <v>516989</v>
      </c>
      <c r="H81" s="1710">
        <f t="shared" si="10"/>
        <v>1753</v>
      </c>
      <c r="I81" s="1710">
        <f t="shared" si="10"/>
        <v>736939</v>
      </c>
      <c r="J81" s="1710">
        <f t="shared" si="10"/>
        <v>858284</v>
      </c>
      <c r="K81" s="1710">
        <f t="shared" si="10"/>
        <v>1016689</v>
      </c>
      <c r="L81" s="347"/>
    </row>
    <row r="82" spans="1:12" ht="0.75" customHeight="1" thickTop="1" thickBot="1" x14ac:dyDescent="0.25">
      <c r="A82" s="536" t="s">
        <v>360</v>
      </c>
      <c r="B82" s="537"/>
      <c r="C82" s="538">
        <f>(C81-C79)</f>
        <v>2526072</v>
      </c>
      <c r="D82" s="538">
        <f t="shared" ref="D82:K82" si="11">(D81-D79)</f>
        <v>506038</v>
      </c>
      <c r="E82" s="538">
        <f t="shared" si="11"/>
        <v>506209</v>
      </c>
      <c r="F82" s="538">
        <f t="shared" si="11"/>
        <v>449062</v>
      </c>
      <c r="G82" s="538">
        <f t="shared" si="11"/>
        <v>159412</v>
      </c>
      <c r="H82" s="538">
        <f t="shared" si="11"/>
        <v>14</v>
      </c>
      <c r="I82" s="538">
        <f t="shared" si="11"/>
        <v>-109456</v>
      </c>
      <c r="J82" s="538">
        <f t="shared" si="11"/>
        <v>444892</v>
      </c>
      <c r="K82" s="538">
        <f t="shared" si="11"/>
        <v>217552</v>
      </c>
    </row>
    <row r="83" spans="1:12" ht="14.25" hidden="1" thickTop="1" thickBot="1" x14ac:dyDescent="0.25">
      <c r="A83" s="539" t="s">
        <v>361</v>
      </c>
      <c r="B83" s="464"/>
      <c r="C83" s="540">
        <f>C82/C81</f>
        <v>0.55821686836445794</v>
      </c>
      <c r="D83" s="540">
        <f t="shared" ref="D83:K83" si="12">D82/D81</f>
        <v>0.49317837390054331</v>
      </c>
      <c r="E83" s="540">
        <f t="shared" si="12"/>
        <v>0.39795022330255081</v>
      </c>
      <c r="F83" s="540">
        <f t="shared" si="12"/>
        <v>0.99385840469018694</v>
      </c>
      <c r="G83" s="540">
        <f t="shared" si="12"/>
        <v>0.30834698610608735</v>
      </c>
      <c r="H83" s="540">
        <f t="shared" si="12"/>
        <v>7.9863091842555627E-3</v>
      </c>
      <c r="I83" s="540">
        <f t="shared" si="12"/>
        <v>-0.14852789715295295</v>
      </c>
      <c r="J83" s="540">
        <f t="shared" si="12"/>
        <v>0.51835056927543799</v>
      </c>
      <c r="K83" s="540">
        <f t="shared" si="12"/>
        <v>0.21398087320704759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30" zoomScaleNormal="13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1901</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10084997</v>
      </c>
      <c r="D5" s="481">
        <v>2881418</v>
      </c>
      <c r="E5" s="466">
        <v>3988946</v>
      </c>
      <c r="F5" s="548">
        <v>864426</v>
      </c>
      <c r="G5" s="466">
        <v>500988</v>
      </c>
      <c r="H5" s="466"/>
      <c r="I5" s="466">
        <v>360181</v>
      </c>
      <c r="J5" s="467">
        <v>2575567</v>
      </c>
      <c r="K5" s="466">
        <v>360179</v>
      </c>
    </row>
    <row r="6" spans="1:12" ht="15" x14ac:dyDescent="0.2">
      <c r="A6" s="463" t="s">
        <v>1760</v>
      </c>
      <c r="B6" s="470">
        <v>1130</v>
      </c>
      <c r="C6" s="466"/>
      <c r="D6" s="466">
        <v>360180</v>
      </c>
      <c r="E6" s="475"/>
      <c r="F6" s="475"/>
      <c r="G6" s="468"/>
      <c r="H6" s="468"/>
      <c r="I6" s="468"/>
      <c r="J6" s="468"/>
      <c r="K6" s="468"/>
    </row>
    <row r="7" spans="1:12" x14ac:dyDescent="0.2">
      <c r="A7" s="463" t="s">
        <v>112</v>
      </c>
      <c r="B7" s="549">
        <v>1140</v>
      </c>
      <c r="C7" s="466">
        <v>144078</v>
      </c>
      <c r="D7" s="466"/>
      <c r="E7" s="468"/>
      <c r="F7" s="467"/>
      <c r="G7" s="467"/>
      <c r="H7" s="467"/>
      <c r="I7" s="468"/>
      <c r="J7" s="468"/>
      <c r="K7" s="468"/>
    </row>
    <row r="8" spans="1:12" x14ac:dyDescent="0.2">
      <c r="A8" s="463" t="s">
        <v>432</v>
      </c>
      <c r="B8" s="470">
        <v>1150</v>
      </c>
      <c r="C8" s="475"/>
      <c r="D8" s="475"/>
      <c r="E8" s="477"/>
      <c r="F8" s="477"/>
      <c r="G8" s="481">
        <v>687733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10229075</v>
      </c>
      <c r="D12" s="1729">
        <f t="shared" si="0"/>
        <v>3241598</v>
      </c>
      <c r="E12" s="1729">
        <f t="shared" si="0"/>
        <v>3988946</v>
      </c>
      <c r="F12" s="1729">
        <f t="shared" si="0"/>
        <v>864426</v>
      </c>
      <c r="G12" s="1729">
        <f t="shared" si="0"/>
        <v>1188721</v>
      </c>
      <c r="H12" s="1729">
        <f t="shared" si="0"/>
        <v>0</v>
      </c>
      <c r="I12" s="1729">
        <f t="shared" si="0"/>
        <v>360181</v>
      </c>
      <c r="J12" s="1729">
        <f t="shared" si="0"/>
        <v>2575567</v>
      </c>
      <c r="K12" s="1710">
        <f t="shared" si="0"/>
        <v>360179</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v>132038</v>
      </c>
      <c r="E16" s="466"/>
      <c r="F16" s="466"/>
      <c r="G16" s="466"/>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0</v>
      </c>
      <c r="D18" s="1732">
        <f t="shared" ref="D18:K18" si="1">SUM(D14:D17)</f>
        <v>132038</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27064</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27064</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36121</v>
      </c>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36121</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25721</v>
      </c>
      <c r="D65" s="466">
        <v>10999</v>
      </c>
      <c r="E65" s="466">
        <v>13703</v>
      </c>
      <c r="F65" s="467">
        <v>1573</v>
      </c>
      <c r="G65" s="466">
        <v>6449</v>
      </c>
      <c r="H65" s="466">
        <v>14</v>
      </c>
      <c r="I65" s="466">
        <v>16846</v>
      </c>
      <c r="J65" s="467">
        <v>9717</v>
      </c>
      <c r="K65" s="466">
        <v>11257</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25721</v>
      </c>
      <c r="D67" s="1710">
        <f t="shared" ref="D67:K67" si="2">SUM(D65:D66)</f>
        <v>10999</v>
      </c>
      <c r="E67" s="1710">
        <f t="shared" si="2"/>
        <v>13703</v>
      </c>
      <c r="F67" s="1710">
        <f t="shared" si="2"/>
        <v>1573</v>
      </c>
      <c r="G67" s="1710">
        <f t="shared" si="2"/>
        <v>6449</v>
      </c>
      <c r="H67" s="1710">
        <f t="shared" si="2"/>
        <v>14</v>
      </c>
      <c r="I67" s="1710">
        <f t="shared" si="2"/>
        <v>16846</v>
      </c>
      <c r="J67" s="1710">
        <f t="shared" si="2"/>
        <v>9717</v>
      </c>
      <c r="K67" s="1710">
        <f t="shared" si="2"/>
        <v>11257</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512501</v>
      </c>
      <c r="D69" s="468"/>
      <c r="E69" s="468"/>
      <c r="F69" s="468"/>
      <c r="G69" s="468"/>
      <c r="H69" s="468"/>
      <c r="I69" s="468"/>
      <c r="J69" s="468"/>
      <c r="K69" s="468"/>
    </row>
    <row r="70" spans="1:11" ht="12.75" customHeight="1" x14ac:dyDescent="0.2">
      <c r="A70" s="463" t="s">
        <v>1053</v>
      </c>
      <c r="B70" s="470">
        <v>1612</v>
      </c>
      <c r="C70" s="551">
        <v>33933</v>
      </c>
      <c r="D70" s="468"/>
      <c r="E70" s="468"/>
      <c r="F70" s="468"/>
      <c r="G70" s="468"/>
      <c r="H70" s="468"/>
      <c r="I70" s="468"/>
      <c r="J70" s="468"/>
      <c r="K70" s="468"/>
    </row>
    <row r="71" spans="1:11" ht="12.75" customHeight="1" x14ac:dyDescent="0.2">
      <c r="A71" s="463" t="s">
        <v>290</v>
      </c>
      <c r="B71" s="470">
        <v>1613</v>
      </c>
      <c r="C71" s="551">
        <v>216085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9089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771608</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22996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77226</v>
      </c>
      <c r="D81" s="466"/>
      <c r="E81" s="468"/>
      <c r="F81" s="468"/>
      <c r="G81" s="468"/>
      <c r="H81" s="468"/>
      <c r="I81" s="468"/>
      <c r="J81" s="468"/>
      <c r="K81" s="468"/>
    </row>
    <row r="82" spans="1:11" ht="12.75" customHeight="1" thickBot="1" x14ac:dyDescent="0.25">
      <c r="A82" s="1730" t="s">
        <v>259</v>
      </c>
      <c r="B82" s="1731"/>
      <c r="C82" s="1729">
        <f>SUM(C77:C81)</f>
        <v>100222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445841</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445841</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v>3605</v>
      </c>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v>27812</v>
      </c>
      <c r="D106" s="489"/>
      <c r="E106" s="467"/>
      <c r="F106" s="467"/>
      <c r="G106" s="467"/>
      <c r="H106" s="467"/>
      <c r="I106" s="521"/>
      <c r="J106" s="467"/>
      <c r="K106" s="467"/>
    </row>
    <row r="107" spans="1:12" ht="12.75" customHeight="1" x14ac:dyDescent="0.2">
      <c r="A107" s="463" t="s">
        <v>80</v>
      </c>
      <c r="B107" s="470">
        <v>1999</v>
      </c>
      <c r="C107" s="551">
        <v>2100439</v>
      </c>
      <c r="D107" s="466"/>
      <c r="E107" s="466">
        <v>1</v>
      </c>
      <c r="F107" s="466">
        <v>2134</v>
      </c>
      <c r="G107" s="466"/>
      <c r="H107" s="466"/>
      <c r="I107" s="466"/>
      <c r="J107" s="467"/>
      <c r="K107" s="466"/>
    </row>
    <row r="108" spans="1:12" ht="12.75" customHeight="1" thickBot="1" x14ac:dyDescent="0.25">
      <c r="A108" s="1730" t="s">
        <v>507</v>
      </c>
      <c r="B108" s="1734"/>
      <c r="C108" s="1729">
        <f>SUM(C95:C107)</f>
        <v>2128251</v>
      </c>
      <c r="D108" s="1729">
        <f t="shared" ref="D108:K108" si="3">SUM(D95:D107)</f>
        <v>3605</v>
      </c>
      <c r="E108" s="1729">
        <f t="shared" si="3"/>
        <v>1</v>
      </c>
      <c r="F108" s="1729">
        <f t="shared" si="3"/>
        <v>2134</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13727782</v>
      </c>
      <c r="D109" s="1737">
        <f t="shared" si="4"/>
        <v>3388240</v>
      </c>
      <c r="E109" s="1737">
        <f t="shared" si="4"/>
        <v>4002650</v>
      </c>
      <c r="F109" s="1737">
        <f t="shared" si="4"/>
        <v>904254</v>
      </c>
      <c r="G109" s="1737">
        <f t="shared" si="4"/>
        <v>1195170</v>
      </c>
      <c r="H109" s="1737">
        <f t="shared" si="4"/>
        <v>14</v>
      </c>
      <c r="I109" s="1737">
        <f t="shared" si="4"/>
        <v>377027</v>
      </c>
      <c r="J109" s="1737">
        <f t="shared" si="4"/>
        <v>2585284</v>
      </c>
      <c r="K109" s="1724">
        <f t="shared" si="4"/>
        <v>371436</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c r="D117" s="481"/>
      <c r="E117" s="466"/>
      <c r="F117" s="481"/>
      <c r="G117" s="481"/>
      <c r="H117" s="466"/>
      <c r="I117" s="468"/>
      <c r="J117" s="467"/>
      <c r="K117" s="466"/>
    </row>
    <row r="118" spans="1:11" ht="12.75" customHeight="1" x14ac:dyDescent="0.2">
      <c r="A118" s="463" t="s">
        <v>1898</v>
      </c>
      <c r="B118" s="562">
        <v>3002</v>
      </c>
      <c r="C118" s="551">
        <v>7845665</v>
      </c>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7845665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79425</v>
      </c>
      <c r="D124" s="561"/>
      <c r="E124" s="468"/>
      <c r="F124" s="548"/>
      <c r="G124" s="468"/>
      <c r="H124" s="468"/>
      <c r="I124" s="468"/>
      <c r="J124" s="468"/>
      <c r="K124" s="468"/>
    </row>
    <row r="125" spans="1:11" ht="12.75" customHeight="1" x14ac:dyDescent="0.2">
      <c r="A125" s="463" t="s">
        <v>1520</v>
      </c>
      <c r="B125" s="562">
        <v>3105</v>
      </c>
      <c r="C125" s="466">
        <v>219595</v>
      </c>
      <c r="D125" s="561"/>
      <c r="E125" s="468"/>
      <c r="F125" s="466"/>
      <c r="G125" s="468"/>
      <c r="H125" s="468"/>
      <c r="I125" s="468"/>
      <c r="J125" s="468"/>
      <c r="K125" s="468"/>
    </row>
    <row r="126" spans="1:11" ht="12.75" customHeight="1" x14ac:dyDescent="0.2">
      <c r="A126" s="463" t="s">
        <v>921</v>
      </c>
      <c r="B126" s="562">
        <v>3110</v>
      </c>
      <c r="C126" s="551">
        <v>345354</v>
      </c>
      <c r="D126" s="466"/>
      <c r="E126" s="468"/>
      <c r="F126" s="466"/>
      <c r="G126" s="468"/>
      <c r="H126" s="468"/>
      <c r="I126" s="468"/>
      <c r="J126" s="468"/>
      <c r="K126" s="468"/>
    </row>
    <row r="127" spans="1:11" ht="12.75" customHeight="1" x14ac:dyDescent="0.2">
      <c r="A127" s="463" t="s">
        <v>107</v>
      </c>
      <c r="B127" s="562">
        <v>3120</v>
      </c>
      <c r="C127" s="466">
        <v>90177</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19101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753652</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0</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6026</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467610</v>
      </c>
      <c r="G151" s="467"/>
      <c r="H151" s="468"/>
      <c r="I151" s="468"/>
      <c r="J151" s="468"/>
      <c r="K151" s="468"/>
    </row>
    <row r="152" spans="1:11" ht="12.75" customHeight="1" x14ac:dyDescent="0.2">
      <c r="A152" s="463" t="s">
        <v>1116</v>
      </c>
      <c r="B152" s="562">
        <v>3510</v>
      </c>
      <c r="C152" s="551"/>
      <c r="D152" s="466"/>
      <c r="E152" s="561"/>
      <c r="F152" s="466">
        <v>554171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1021781</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231233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8942</v>
      </c>
      <c r="D171" s="580">
        <v>21121</v>
      </c>
      <c r="E171" s="580"/>
      <c r="F171" s="580"/>
      <c r="G171" s="581"/>
      <c r="H171" s="582"/>
      <c r="I171" s="581"/>
      <c r="J171" s="581"/>
      <c r="K171" s="582"/>
    </row>
    <row r="172" spans="1:11" ht="12.75" customHeight="1" thickTop="1" thickBot="1" x14ac:dyDescent="0.25">
      <c r="A172" s="2164" t="s">
        <v>417</v>
      </c>
      <c r="B172" s="2165"/>
      <c r="C172" s="1744">
        <f t="shared" ref="C172:K172" si="6">SUM(C131,C140,C144,C145:C149,C154,C155:C170,C171)</f>
        <v>999853</v>
      </c>
      <c r="D172" s="1744">
        <f t="shared" si="6"/>
        <v>21121</v>
      </c>
      <c r="E172" s="1744">
        <f t="shared" si="6"/>
        <v>0</v>
      </c>
      <c r="F172" s="1744">
        <f t="shared" si="6"/>
        <v>1021781</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8845518</v>
      </c>
      <c r="D173" s="1737">
        <f>SUM(D121,D172)</f>
        <v>21121</v>
      </c>
      <c r="E173" s="1737">
        <f>SUM(E121,E172)</f>
        <v>0</v>
      </c>
      <c r="F173" s="1737">
        <f t="shared" ref="F173:K173" si="7">SUM(F121,F172)</f>
        <v>1021781</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v>245614</v>
      </c>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0" t="s">
        <v>1763</v>
      </c>
      <c r="B178" s="2171"/>
      <c r="C178" s="1729">
        <f>SUM(C176:C177)</f>
        <v>245614</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2" t="s">
        <v>817</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1902</v>
      </c>
      <c r="B185" s="2169"/>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428521</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86639</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515160</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290305</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290305</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1811</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1811</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19560</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579167</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598727</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66095</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c r="D270" s="576"/>
      <c r="E270" s="468"/>
      <c r="F270" s="576"/>
      <c r="G270" s="576"/>
      <c r="H270" s="468"/>
      <c r="I270" s="468"/>
      <c r="J270" s="468"/>
      <c r="K270" s="468"/>
    </row>
    <row r="271" spans="1:11" ht="12.75" customHeight="1" thickTop="1" thickBot="1" x14ac:dyDescent="0.25">
      <c r="A271" s="463" t="s">
        <v>394</v>
      </c>
      <c r="B271" s="470">
        <v>4992</v>
      </c>
      <c r="C271" s="575">
        <v>268286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1740384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1985998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24559298</v>
      </c>
      <c r="D275" s="1737">
        <f t="shared" si="12"/>
        <v>3409361</v>
      </c>
      <c r="E275" s="1737">
        <f t="shared" si="12"/>
        <v>4002650</v>
      </c>
      <c r="F275" s="1737">
        <f t="shared" si="12"/>
        <v>1926035</v>
      </c>
      <c r="G275" s="1737">
        <f t="shared" si="12"/>
        <v>1195170</v>
      </c>
      <c r="H275" s="1737">
        <f t="shared" si="12"/>
        <v>14</v>
      </c>
      <c r="I275" s="1737">
        <f t="shared" si="12"/>
        <v>377027</v>
      </c>
      <c r="J275" s="1737">
        <f t="shared" si="12"/>
        <v>2585284</v>
      </c>
      <c r="K275" s="1724">
        <f t="shared" si="12"/>
        <v>371436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187" colorId="8" zoomScale="110" zoomScaleNormal="110" workbookViewId="0">
      <selection activeCell="A182" sqref="A18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2" t="s">
        <v>314</v>
      </c>
      <c r="B3" s="2183"/>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8014512</v>
      </c>
      <c r="D5" s="466">
        <v>2142811</v>
      </c>
      <c r="E5" s="466">
        <v>23275</v>
      </c>
      <c r="F5" s="466">
        <v>340560</v>
      </c>
      <c r="G5" s="466"/>
      <c r="H5" s="466"/>
      <c r="I5" s="467"/>
      <c r="J5" s="467"/>
      <c r="K5" s="1693">
        <f>SUM(C5:J5)</f>
        <v>10521158</v>
      </c>
      <c r="L5" s="466">
        <v>10546656</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v>101537</v>
      </c>
      <c r="D7" s="467">
        <v>33083</v>
      </c>
      <c r="E7" s="467">
        <v>306</v>
      </c>
      <c r="F7" s="467">
        <v>6355</v>
      </c>
      <c r="G7" s="467"/>
      <c r="H7" s="467"/>
      <c r="I7" s="467"/>
      <c r="J7" s="467"/>
      <c r="K7" s="1693">
        <f t="shared" ref="K7:K32" si="0">SUM(C7:J7)</f>
        <v>141281</v>
      </c>
      <c r="L7" s="466">
        <v>144447</v>
      </c>
    </row>
    <row r="8" spans="1:14" x14ac:dyDescent="0.2">
      <c r="A8" s="1526" t="s">
        <v>166</v>
      </c>
      <c r="B8" s="615">
        <v>1200</v>
      </c>
      <c r="C8" s="466">
        <v>2515432</v>
      </c>
      <c r="D8" s="466">
        <v>786706</v>
      </c>
      <c r="E8" s="466">
        <v>7551</v>
      </c>
      <c r="F8" s="466">
        <v>25061</v>
      </c>
      <c r="G8" s="466"/>
      <c r="H8" s="466"/>
      <c r="I8" s="467"/>
      <c r="J8" s="467"/>
      <c r="K8" s="1693">
        <f t="shared" si="0"/>
        <v>3334750</v>
      </c>
      <c r="L8" s="466">
        <v>3291066</v>
      </c>
    </row>
    <row r="9" spans="1:14" x14ac:dyDescent="0.2">
      <c r="A9" s="1526" t="s">
        <v>744</v>
      </c>
      <c r="B9" s="615" t="s">
        <v>1024</v>
      </c>
      <c r="C9" s="467">
        <v>130337</v>
      </c>
      <c r="D9" s="467">
        <v>36462</v>
      </c>
      <c r="E9" s="467"/>
      <c r="F9" s="467">
        <v>603</v>
      </c>
      <c r="G9" s="467"/>
      <c r="H9" s="467"/>
      <c r="I9" s="467"/>
      <c r="J9" s="467"/>
      <c r="K9" s="1693">
        <f t="shared" si="0"/>
        <v>167402</v>
      </c>
      <c r="L9" s="466">
        <v>167484</v>
      </c>
    </row>
    <row r="10" spans="1:14" x14ac:dyDescent="0.2">
      <c r="A10" s="1526" t="s">
        <v>745</v>
      </c>
      <c r="B10" s="615">
        <v>1250</v>
      </c>
      <c r="C10" s="466">
        <v>343514</v>
      </c>
      <c r="D10" s="466">
        <v>58479</v>
      </c>
      <c r="E10" s="466"/>
      <c r="F10" s="466">
        <v>298</v>
      </c>
      <c r="G10" s="466"/>
      <c r="H10" s="466"/>
      <c r="I10" s="467"/>
      <c r="J10" s="467"/>
      <c r="K10" s="1693">
        <f t="shared" si="0"/>
        <v>402291</v>
      </c>
      <c r="L10" s="466">
        <v>260693</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c r="D13" s="466"/>
      <c r="E13" s="466"/>
      <c r="F13" s="466">
        <v>2836</v>
      </c>
      <c r="G13" s="466"/>
      <c r="H13" s="466"/>
      <c r="I13" s="467"/>
      <c r="J13" s="467"/>
      <c r="K13" s="1693">
        <f t="shared" si="0"/>
        <v>2836</v>
      </c>
      <c r="L13" s="466">
        <v>2420</v>
      </c>
    </row>
    <row r="14" spans="1:14" x14ac:dyDescent="0.2">
      <c r="A14" s="1526" t="s">
        <v>1019</v>
      </c>
      <c r="B14" s="615">
        <v>1500</v>
      </c>
      <c r="C14" s="466">
        <v>137749</v>
      </c>
      <c r="D14" s="466">
        <v>9451</v>
      </c>
      <c r="E14" s="466">
        <v>20260</v>
      </c>
      <c r="F14" s="466">
        <v>4487</v>
      </c>
      <c r="G14" s="466"/>
      <c r="H14" s="466">
        <v>6997</v>
      </c>
      <c r="I14" s="467"/>
      <c r="J14" s="467"/>
      <c r="K14" s="1693">
        <f t="shared" si="0"/>
        <v>178944</v>
      </c>
      <c r="L14" s="466">
        <v>191900</v>
      </c>
    </row>
    <row r="15" spans="1:14" x14ac:dyDescent="0.2">
      <c r="A15" s="1526" t="s">
        <v>1020</v>
      </c>
      <c r="B15" s="615">
        <v>1600</v>
      </c>
      <c r="C15" s="466">
        <v>38702</v>
      </c>
      <c r="D15" s="466">
        <v>640</v>
      </c>
      <c r="E15" s="466"/>
      <c r="F15" s="466">
        <v>1828</v>
      </c>
      <c r="G15" s="466"/>
      <c r="H15" s="466"/>
      <c r="I15" s="467"/>
      <c r="J15" s="467"/>
      <c r="K15" s="1693">
        <f t="shared" si="0"/>
        <v>41170</v>
      </c>
      <c r="L15" s="466">
        <v>44300</v>
      </c>
    </row>
    <row r="16" spans="1:14" x14ac:dyDescent="0.2">
      <c r="A16" s="1526" t="s">
        <v>1043</v>
      </c>
      <c r="B16" s="615" t="s">
        <v>443</v>
      </c>
      <c r="C16" s="466"/>
      <c r="D16" s="466"/>
      <c r="E16" s="466"/>
      <c r="F16" s="466"/>
      <c r="G16" s="466"/>
      <c r="H16" s="466"/>
      <c r="I16" s="467"/>
      <c r="J16" s="467"/>
      <c r="K16" s="1693">
        <f t="shared" si="0"/>
        <v>0</v>
      </c>
      <c r="L16" s="466"/>
    </row>
    <row r="17" spans="1:12" x14ac:dyDescent="0.2">
      <c r="A17" s="1526" t="s">
        <v>747</v>
      </c>
      <c r="B17" s="615" t="s">
        <v>164</v>
      </c>
      <c r="C17" s="467"/>
      <c r="D17" s="467"/>
      <c r="E17" s="467"/>
      <c r="F17" s="467"/>
      <c r="G17" s="467"/>
      <c r="H17" s="467"/>
      <c r="I17" s="467"/>
      <c r="J17" s="467"/>
      <c r="K17" s="1693">
        <f t="shared" si="0"/>
        <v>0</v>
      </c>
      <c r="L17" s="466"/>
    </row>
    <row r="18" spans="1:12" x14ac:dyDescent="0.2">
      <c r="A18" s="1526" t="s">
        <v>1147</v>
      </c>
      <c r="B18" s="615">
        <v>1800</v>
      </c>
      <c r="C18" s="466"/>
      <c r="D18" s="466"/>
      <c r="E18" s="466"/>
      <c r="F18" s="466"/>
      <c r="G18" s="466"/>
      <c r="H18" s="466"/>
      <c r="I18" s="467"/>
      <c r="J18" s="467"/>
      <c r="K18" s="1693">
        <f t="shared" si="0"/>
        <v>0</v>
      </c>
      <c r="L18" s="466"/>
    </row>
    <row r="19" spans="1:12" x14ac:dyDescent="0.2">
      <c r="A19" s="1526" t="s">
        <v>136</v>
      </c>
      <c r="B19" s="615">
        <v>1900</v>
      </c>
      <c r="C19" s="466">
        <v>17844</v>
      </c>
      <c r="D19" s="466">
        <v>1711</v>
      </c>
      <c r="E19" s="466"/>
      <c r="F19" s="466"/>
      <c r="G19" s="466"/>
      <c r="H19" s="466"/>
      <c r="I19" s="467"/>
      <c r="J19" s="467"/>
      <c r="K19" s="1693">
        <f t="shared" si="0"/>
        <v>19555</v>
      </c>
      <c r="L19" s="466">
        <v>35683</v>
      </c>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c r="I22" s="617"/>
      <c r="J22" s="477"/>
      <c r="K22" s="1693">
        <f t="shared" si="0"/>
        <v>0</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11299627</v>
      </c>
      <c r="D33" s="1692">
        <f t="shared" ref="D33:L33" si="1">SUM(D5:D32)</f>
        <v>3069343</v>
      </c>
      <c r="E33" s="1692">
        <f t="shared" si="1"/>
        <v>51392</v>
      </c>
      <c r="F33" s="1692">
        <f t="shared" si="1"/>
        <v>382028</v>
      </c>
      <c r="G33" s="1692">
        <f t="shared" si="1"/>
        <v>0</v>
      </c>
      <c r="H33" s="1692">
        <f t="shared" si="1"/>
        <v>6997</v>
      </c>
      <c r="I33" s="1692">
        <f t="shared" si="1"/>
        <v>0</v>
      </c>
      <c r="J33" s="1692">
        <f t="shared" si="1"/>
        <v>0</v>
      </c>
      <c r="K33" s="1692">
        <f t="shared" si="1"/>
        <v>14809387</v>
      </c>
      <c r="L33" s="1692">
        <f t="shared" si="1"/>
        <v>14684649</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248365</v>
      </c>
      <c r="D36" s="481">
        <v>64371</v>
      </c>
      <c r="E36" s="481"/>
      <c r="F36" s="481">
        <v>149</v>
      </c>
      <c r="G36" s="481"/>
      <c r="H36" s="481"/>
      <c r="I36" s="467"/>
      <c r="J36" s="467"/>
      <c r="K36" s="1693">
        <f t="shared" ref="K36:K41" si="2">SUM(C36:J36)</f>
        <v>312885</v>
      </c>
      <c r="L36" s="466">
        <v>311766</v>
      </c>
    </row>
    <row r="37" spans="1:14" x14ac:dyDescent="0.2">
      <c r="A37" s="1526" t="s">
        <v>1150</v>
      </c>
      <c r="B37" s="615">
        <v>2120</v>
      </c>
      <c r="C37" s="466">
        <v>2780</v>
      </c>
      <c r="D37" s="466">
        <v>230</v>
      </c>
      <c r="E37" s="466"/>
      <c r="F37" s="466"/>
      <c r="G37" s="466"/>
      <c r="H37" s="466"/>
      <c r="I37" s="467"/>
      <c r="J37" s="467"/>
      <c r="K37" s="1693">
        <f t="shared" si="2"/>
        <v>3010</v>
      </c>
      <c r="L37" s="466">
        <v>3714</v>
      </c>
    </row>
    <row r="38" spans="1:14" x14ac:dyDescent="0.2">
      <c r="A38" s="1526" t="s">
        <v>207</v>
      </c>
      <c r="B38" s="615">
        <v>2130</v>
      </c>
      <c r="C38" s="466">
        <v>570131</v>
      </c>
      <c r="D38" s="466">
        <v>99913</v>
      </c>
      <c r="E38" s="466">
        <v>16204</v>
      </c>
      <c r="F38" s="466">
        <v>11811</v>
      </c>
      <c r="G38" s="466"/>
      <c r="H38" s="466"/>
      <c r="I38" s="467"/>
      <c r="J38" s="467"/>
      <c r="K38" s="1693">
        <f t="shared" si="2"/>
        <v>698059</v>
      </c>
      <c r="L38" s="466">
        <v>690220</v>
      </c>
    </row>
    <row r="39" spans="1:14" x14ac:dyDescent="0.2">
      <c r="A39" s="1526" t="s">
        <v>208</v>
      </c>
      <c r="B39" s="615">
        <v>2140</v>
      </c>
      <c r="C39" s="466">
        <v>60099</v>
      </c>
      <c r="D39" s="466">
        <v>5377</v>
      </c>
      <c r="E39" s="466">
        <v>103530</v>
      </c>
      <c r="F39" s="466"/>
      <c r="G39" s="466"/>
      <c r="H39" s="466"/>
      <c r="I39" s="467"/>
      <c r="J39" s="467"/>
      <c r="K39" s="1693">
        <f t="shared" si="2"/>
        <v>169006</v>
      </c>
      <c r="L39" s="466">
        <v>144753</v>
      </c>
    </row>
    <row r="40" spans="1:14" x14ac:dyDescent="0.2">
      <c r="A40" s="1526" t="s">
        <v>209</v>
      </c>
      <c r="B40" s="615">
        <v>2150</v>
      </c>
      <c r="C40" s="466">
        <v>471283</v>
      </c>
      <c r="D40" s="466">
        <v>126789</v>
      </c>
      <c r="E40" s="466">
        <v>13719</v>
      </c>
      <c r="F40" s="466">
        <v>2462</v>
      </c>
      <c r="G40" s="466"/>
      <c r="H40" s="466"/>
      <c r="I40" s="467"/>
      <c r="J40" s="467"/>
      <c r="K40" s="1693">
        <f t="shared" si="2"/>
        <v>614253</v>
      </c>
      <c r="L40" s="466">
        <v>601641</v>
      </c>
    </row>
    <row r="41" spans="1:14" x14ac:dyDescent="0.2">
      <c r="A41" s="1526" t="s">
        <v>1767</v>
      </c>
      <c r="B41" s="615">
        <v>2190</v>
      </c>
      <c r="C41" s="466">
        <v>4658</v>
      </c>
      <c r="D41" s="466"/>
      <c r="E41" s="466"/>
      <c r="F41" s="466"/>
      <c r="G41" s="466"/>
      <c r="H41" s="466"/>
      <c r="I41" s="467"/>
      <c r="J41" s="467"/>
      <c r="K41" s="1693">
        <f t="shared" si="2"/>
        <v>4658</v>
      </c>
      <c r="L41" s="466">
        <v>106500</v>
      </c>
    </row>
    <row r="42" spans="1:14" ht="12.75" customHeight="1" thickBot="1" x14ac:dyDescent="0.25">
      <c r="A42" s="1690" t="s">
        <v>580</v>
      </c>
      <c r="B42" s="1691" t="s">
        <v>739</v>
      </c>
      <c r="C42" s="1692">
        <f>SUM(C36:C41)</f>
        <v>1357316</v>
      </c>
      <c r="D42" s="1692">
        <f t="shared" ref="D42:L42" si="3">SUM(D36:D41)</f>
        <v>296680</v>
      </c>
      <c r="E42" s="1692">
        <f t="shared" si="3"/>
        <v>133453</v>
      </c>
      <c r="F42" s="1692">
        <f t="shared" si="3"/>
        <v>14422</v>
      </c>
      <c r="G42" s="1692">
        <f t="shared" si="3"/>
        <v>0</v>
      </c>
      <c r="H42" s="1692">
        <f t="shared" si="3"/>
        <v>0</v>
      </c>
      <c r="I42" s="1692">
        <f t="shared" si="3"/>
        <v>0</v>
      </c>
      <c r="J42" s="1692">
        <f t="shared" si="3"/>
        <v>0</v>
      </c>
      <c r="K42" s="1692">
        <f t="shared" si="3"/>
        <v>1801871</v>
      </c>
      <c r="L42" s="1692">
        <f t="shared" si="3"/>
        <v>1858594</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20480</v>
      </c>
      <c r="D44" s="481"/>
      <c r="E44" s="481">
        <v>41354</v>
      </c>
      <c r="F44" s="481">
        <v>3768</v>
      </c>
      <c r="G44" s="481"/>
      <c r="H44" s="481">
        <v>3580</v>
      </c>
      <c r="I44" s="467"/>
      <c r="J44" s="467"/>
      <c r="K44" s="1694">
        <f>SUM(C44:J44)</f>
        <v>69182</v>
      </c>
      <c r="L44" s="481">
        <v>69771</v>
      </c>
    </row>
    <row r="45" spans="1:14" x14ac:dyDescent="0.2">
      <c r="A45" s="1526" t="s">
        <v>868</v>
      </c>
      <c r="B45" s="615">
        <v>2220</v>
      </c>
      <c r="C45" s="466">
        <v>304061</v>
      </c>
      <c r="D45" s="466">
        <v>48803</v>
      </c>
      <c r="E45" s="466">
        <v>53682</v>
      </c>
      <c r="F45" s="466">
        <v>59612</v>
      </c>
      <c r="G45" s="466">
        <v>37809</v>
      </c>
      <c r="H45" s="466">
        <v>65985</v>
      </c>
      <c r="I45" s="467">
        <v>12540</v>
      </c>
      <c r="J45" s="467"/>
      <c r="K45" s="1694">
        <f>SUM(C45:J45)</f>
        <v>582492</v>
      </c>
      <c r="L45" s="466">
        <v>612721</v>
      </c>
    </row>
    <row r="46" spans="1:14" x14ac:dyDescent="0.2">
      <c r="A46" s="1526" t="s">
        <v>869</v>
      </c>
      <c r="B46" s="615">
        <v>2230</v>
      </c>
      <c r="C46" s="466"/>
      <c r="D46" s="466"/>
      <c r="E46" s="466">
        <v>23621</v>
      </c>
      <c r="F46" s="466"/>
      <c r="G46" s="466"/>
      <c r="H46" s="466"/>
      <c r="I46" s="467"/>
      <c r="J46" s="467"/>
      <c r="K46" s="1694">
        <f>SUM(C46:J46)</f>
        <v>23621</v>
      </c>
      <c r="L46" s="466">
        <v>22060</v>
      </c>
    </row>
    <row r="47" spans="1:14" ht="12.75" customHeight="1" thickBot="1" x14ac:dyDescent="0.25">
      <c r="A47" s="1690" t="s">
        <v>581</v>
      </c>
      <c r="B47" s="1691" t="s">
        <v>32</v>
      </c>
      <c r="C47" s="1692">
        <f>SUM(C44:C46)</f>
        <v>324541</v>
      </c>
      <c r="D47" s="1692">
        <f t="shared" ref="D47:K47" si="4">SUM(D44:D46)</f>
        <v>48803</v>
      </c>
      <c r="E47" s="1692">
        <f t="shared" si="4"/>
        <v>118657</v>
      </c>
      <c r="F47" s="1692">
        <f t="shared" si="4"/>
        <v>63380</v>
      </c>
      <c r="G47" s="1692">
        <f t="shared" si="4"/>
        <v>37809</v>
      </c>
      <c r="H47" s="1692">
        <f t="shared" si="4"/>
        <v>69565</v>
      </c>
      <c r="I47" s="1692">
        <f t="shared" si="4"/>
        <v>12540</v>
      </c>
      <c r="J47" s="1692">
        <f t="shared" si="4"/>
        <v>0</v>
      </c>
      <c r="K47" s="1692">
        <f t="shared" si="4"/>
        <v>675295</v>
      </c>
      <c r="L47" s="1692">
        <f>SUM(L44:L46)</f>
        <v>704552</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c r="E49" s="481">
        <v>7488</v>
      </c>
      <c r="F49" s="481">
        <v>15248</v>
      </c>
      <c r="G49" s="481"/>
      <c r="H49" s="481"/>
      <c r="I49" s="467"/>
      <c r="J49" s="467"/>
      <c r="K49" s="1694">
        <f>SUM(C49:J49)</f>
        <v>22736</v>
      </c>
      <c r="L49" s="481">
        <v>53345</v>
      </c>
    </row>
    <row r="50" spans="1:14" x14ac:dyDescent="0.2">
      <c r="A50" s="1526" t="s">
        <v>871</v>
      </c>
      <c r="B50" s="615">
        <v>2320</v>
      </c>
      <c r="C50" s="466">
        <v>168475</v>
      </c>
      <c r="D50" s="466">
        <v>37325</v>
      </c>
      <c r="E50" s="466">
        <v>1145</v>
      </c>
      <c r="F50" s="466">
        <v>9554</v>
      </c>
      <c r="G50" s="466"/>
      <c r="H50" s="466">
        <v>8553</v>
      </c>
      <c r="I50" s="467"/>
      <c r="J50" s="467"/>
      <c r="K50" s="1694">
        <f>SUM(C50:J50)</f>
        <v>225052</v>
      </c>
      <c r="L50" s="466">
        <v>233072</v>
      </c>
    </row>
    <row r="51" spans="1:14" x14ac:dyDescent="0.2">
      <c r="A51" s="1526" t="s">
        <v>44</v>
      </c>
      <c r="B51" s="615">
        <v>2330</v>
      </c>
      <c r="C51" s="466">
        <v>14022</v>
      </c>
      <c r="D51" s="466">
        <v>2074</v>
      </c>
      <c r="E51" s="466"/>
      <c r="F51" s="466"/>
      <c r="G51" s="466"/>
      <c r="H51" s="466"/>
      <c r="I51" s="467"/>
      <c r="J51" s="467"/>
      <c r="K51" s="1694">
        <f>SUM(C51:J51)</f>
        <v>16096</v>
      </c>
      <c r="L51" s="466">
        <v>1500</v>
      </c>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182497</v>
      </c>
      <c r="D53" s="1692">
        <f t="shared" ref="D53:L53" si="5">SUM(D49:D52)</f>
        <v>39399</v>
      </c>
      <c r="E53" s="1692">
        <f t="shared" si="5"/>
        <v>8633</v>
      </c>
      <c r="F53" s="1692">
        <f t="shared" si="5"/>
        <v>24802</v>
      </c>
      <c r="G53" s="1692">
        <f t="shared" si="5"/>
        <v>0</v>
      </c>
      <c r="H53" s="1692">
        <f t="shared" si="5"/>
        <v>8553</v>
      </c>
      <c r="I53" s="1692">
        <f t="shared" si="5"/>
        <v>0</v>
      </c>
      <c r="J53" s="1692">
        <f t="shared" si="5"/>
        <v>0</v>
      </c>
      <c r="K53" s="1692">
        <f t="shared" si="5"/>
        <v>263884</v>
      </c>
      <c r="L53" s="1692">
        <f t="shared" si="5"/>
        <v>287917</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1076200</v>
      </c>
      <c r="D55" s="481">
        <v>262320</v>
      </c>
      <c r="E55" s="481">
        <v>7338</v>
      </c>
      <c r="F55" s="481">
        <v>7323</v>
      </c>
      <c r="G55" s="481"/>
      <c r="H55" s="481"/>
      <c r="I55" s="467"/>
      <c r="J55" s="467"/>
      <c r="K55" s="1694">
        <f>SUM(C55:J55)</f>
        <v>1353181</v>
      </c>
      <c r="L55" s="481">
        <v>1363639</v>
      </c>
    </row>
    <row r="56" spans="1:14" ht="12.75" customHeight="1" x14ac:dyDescent="0.2">
      <c r="A56" s="1530" t="s">
        <v>393</v>
      </c>
      <c r="B56" s="629">
        <v>2490</v>
      </c>
      <c r="C56" s="466"/>
      <c r="D56" s="466"/>
      <c r="E56" s="466"/>
      <c r="F56" s="466">
        <v>1723</v>
      </c>
      <c r="G56" s="466"/>
      <c r="H56" s="466"/>
      <c r="I56" s="467"/>
      <c r="J56" s="467"/>
      <c r="K56" s="1694">
        <f>SUM(C56:J56)</f>
        <v>1723</v>
      </c>
      <c r="L56" s="466">
        <v>900</v>
      </c>
    </row>
    <row r="57" spans="1:14" s="343" customFormat="1" ht="12.75" customHeight="1" thickBot="1" x14ac:dyDescent="0.25">
      <c r="A57" s="1690" t="s">
        <v>281</v>
      </c>
      <c r="B57" s="1695" t="s">
        <v>34</v>
      </c>
      <c r="C57" s="1696">
        <f>SUM(C55:C56)</f>
        <v>1076200</v>
      </c>
      <c r="D57" s="1696">
        <f t="shared" ref="D57:K57" si="6">SUM(D55:D56)</f>
        <v>262320</v>
      </c>
      <c r="E57" s="1696">
        <f t="shared" si="6"/>
        <v>7338</v>
      </c>
      <c r="F57" s="1696">
        <f t="shared" si="6"/>
        <v>9046</v>
      </c>
      <c r="G57" s="1696">
        <f t="shared" si="6"/>
        <v>0</v>
      </c>
      <c r="H57" s="1696">
        <f t="shared" si="6"/>
        <v>0</v>
      </c>
      <c r="I57" s="1696">
        <f t="shared" si="6"/>
        <v>0</v>
      </c>
      <c r="J57" s="1696">
        <f t="shared" si="6"/>
        <v>0</v>
      </c>
      <c r="K57" s="1696">
        <f t="shared" si="6"/>
        <v>1354904</v>
      </c>
      <c r="L57" s="1692">
        <f>SUM(L55:L56)</f>
        <v>1364539</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482</v>
      </c>
      <c r="B60" s="615">
        <v>2520</v>
      </c>
      <c r="C60" s="466">
        <v>169505</v>
      </c>
      <c r="D60" s="466">
        <v>4668</v>
      </c>
      <c r="E60" s="466">
        <v>48513</v>
      </c>
      <c r="F60" s="466">
        <v>13491</v>
      </c>
      <c r="G60" s="466"/>
      <c r="H60" s="466"/>
      <c r="I60" s="467"/>
      <c r="J60" s="467"/>
      <c r="K60" s="1694">
        <f t="shared" si="7"/>
        <v>236177</v>
      </c>
      <c r="L60" s="466">
        <v>244046</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1009</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20868</v>
      </c>
      <c r="D63" s="466"/>
      <c r="E63" s="466">
        <v>1069054</v>
      </c>
      <c r="F63" s="466">
        <v>7247</v>
      </c>
      <c r="G63" s="466"/>
      <c r="H63" s="466">
        <v>13021</v>
      </c>
      <c r="I63" s="467"/>
      <c r="J63" s="467"/>
      <c r="K63" s="1694">
        <f t="shared" si="7"/>
        <v>1110190</v>
      </c>
      <c r="L63" s="466">
        <v>1122800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190373</v>
      </c>
      <c r="D65" s="1692">
        <f t="shared" ref="D65:L65" si="8">SUM(D59:D64)</f>
        <v>4668</v>
      </c>
      <c r="E65" s="1692">
        <f t="shared" si="8"/>
        <v>1117567</v>
      </c>
      <c r="F65" s="1692">
        <f t="shared" si="8"/>
        <v>20738</v>
      </c>
      <c r="G65" s="1692">
        <f t="shared" si="8"/>
        <v>0</v>
      </c>
      <c r="H65" s="1692">
        <f t="shared" si="8"/>
        <v>13021</v>
      </c>
      <c r="I65" s="1692">
        <f t="shared" si="8"/>
        <v>0</v>
      </c>
      <c r="J65" s="1692">
        <f t="shared" si="8"/>
        <v>0</v>
      </c>
      <c r="K65" s="1692">
        <f t="shared" si="8"/>
        <v>1346367</v>
      </c>
      <c r="L65" s="1692">
        <f t="shared" si="8"/>
        <v>1366846</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c r="D69" s="466"/>
      <c r="E69" s="466"/>
      <c r="F69" s="466"/>
      <c r="G69" s="466"/>
      <c r="H69" s="466"/>
      <c r="I69" s="467"/>
      <c r="J69" s="467"/>
      <c r="K69" s="1694">
        <f>SUM(C69:J69)</f>
        <v>0</v>
      </c>
      <c r="L69" s="466"/>
      <c r="M69" s="610"/>
      <c r="N69" s="610"/>
    </row>
    <row r="70" spans="1:14" s="343" customFormat="1" x14ac:dyDescent="0.2">
      <c r="A70" s="1526" t="s">
        <v>422</v>
      </c>
      <c r="B70" s="615">
        <v>2640</v>
      </c>
      <c r="C70" s="466"/>
      <c r="D70" s="466"/>
      <c r="E70" s="466"/>
      <c r="F70" s="466"/>
      <c r="G70" s="466"/>
      <c r="H70" s="466"/>
      <c r="I70" s="467"/>
      <c r="J70" s="467"/>
      <c r="K70" s="1694">
        <f>SUM(C70:J70)</f>
        <v>0</v>
      </c>
      <c r="L70" s="466"/>
      <c r="M70" s="610"/>
      <c r="N70" s="610"/>
    </row>
    <row r="71" spans="1:14" s="343" customFormat="1" x14ac:dyDescent="0.2">
      <c r="A71" s="1526" t="s">
        <v>423</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1036</v>
      </c>
      <c r="B73" s="633" t="s">
        <v>594</v>
      </c>
      <c r="C73" s="573"/>
      <c r="D73" s="573"/>
      <c r="E73" s="573"/>
      <c r="F73" s="573">
        <v>270</v>
      </c>
      <c r="G73" s="573"/>
      <c r="H73" s="573"/>
      <c r="I73" s="531"/>
      <c r="J73" s="531"/>
      <c r="K73" s="1692">
        <f>SUM(C73:J73)</f>
        <v>270</v>
      </c>
      <c r="L73" s="576">
        <v>300</v>
      </c>
      <c r="M73" s="610"/>
      <c r="N73" s="610"/>
    </row>
    <row r="74" spans="1:14" ht="12.75" customHeight="1" thickTop="1" thickBot="1" x14ac:dyDescent="0.25">
      <c r="A74" s="1690" t="s">
        <v>864</v>
      </c>
      <c r="B74" s="1698">
        <v>2000</v>
      </c>
      <c r="C74" s="1699">
        <f>SUM(C42,C47,C53,C57,C65,C72,C73)</f>
        <v>3130927</v>
      </c>
      <c r="D74" s="1699">
        <f t="shared" ref="D74:K74" si="10">SUM(D42,D47,D53,D57,D65,D72,D73)</f>
        <v>651870</v>
      </c>
      <c r="E74" s="1699">
        <f t="shared" si="10"/>
        <v>1385648</v>
      </c>
      <c r="F74" s="1699">
        <f t="shared" si="10"/>
        <v>132658</v>
      </c>
      <c r="G74" s="1699">
        <f t="shared" si="10"/>
        <v>37809</v>
      </c>
      <c r="H74" s="1699">
        <f t="shared" si="10"/>
        <v>91139</v>
      </c>
      <c r="I74" s="1699">
        <f t="shared" si="10"/>
        <v>12540</v>
      </c>
      <c r="J74" s="1699">
        <f t="shared" si="10"/>
        <v>0</v>
      </c>
      <c r="K74" s="1699">
        <f t="shared" si="10"/>
        <v>5442591</v>
      </c>
      <c r="L74" s="1699">
        <f>SUM(L42,L47,L53,L57,L65,L72,L73)</f>
        <v>5582748</v>
      </c>
    </row>
    <row r="75" spans="1:14" s="259" customFormat="1" ht="15.75" customHeight="1" thickTop="1" thickBot="1" x14ac:dyDescent="0.25">
      <c r="A75" s="1632" t="s">
        <v>49</v>
      </c>
      <c r="B75" s="1633" t="s">
        <v>595</v>
      </c>
      <c r="C75" s="573">
        <v>860734</v>
      </c>
      <c r="D75" s="573">
        <v>173848</v>
      </c>
      <c r="E75" s="573">
        <v>23230</v>
      </c>
      <c r="F75" s="573">
        <v>39899</v>
      </c>
      <c r="G75" s="573"/>
      <c r="H75" s="573">
        <v>8364</v>
      </c>
      <c r="I75" s="531"/>
      <c r="J75" s="531"/>
      <c r="K75" s="1692">
        <f>SUM(C75:J75)</f>
        <v>1106075</v>
      </c>
      <c r="L75" s="576">
        <v>1126467</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v>5394</v>
      </c>
      <c r="F79" s="617"/>
      <c r="G79" s="617"/>
      <c r="H79" s="466">
        <v>60412</v>
      </c>
      <c r="I79" s="477"/>
      <c r="J79" s="477"/>
      <c r="K79" s="1693">
        <f t="shared" si="11"/>
        <v>65806</v>
      </c>
      <c r="L79" s="466">
        <v>853394</v>
      </c>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5394</v>
      </c>
      <c r="F84" s="617"/>
      <c r="G84" s="617"/>
      <c r="H84" s="1692">
        <f>SUM(H78:H83)</f>
        <v>60412</v>
      </c>
      <c r="I84" s="477"/>
      <c r="J84" s="477"/>
      <c r="K84" s="1692">
        <f>SUM(K78:K83)</f>
        <v>65806</v>
      </c>
      <c r="L84" s="1692">
        <f>SUM(L78:L83)</f>
        <v>853394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v>724850</v>
      </c>
      <c r="I86" s="477"/>
      <c r="J86" s="477"/>
      <c r="K86" s="1699">
        <f t="shared" ref="K86:K98" si="12">H86</f>
        <v>724850</v>
      </c>
      <c r="L86" s="530">
        <v>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724850</v>
      </c>
      <c r="I92" s="477"/>
      <c r="J92" s="477"/>
      <c r="K92" s="1699">
        <f t="shared" si="12"/>
        <v>724850</v>
      </c>
      <c r="L92" s="1692">
        <f>SUM(L85:L91)</f>
        <v>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5394</v>
      </c>
      <c r="F102" s="617"/>
      <c r="G102" s="617"/>
      <c r="H102" s="1699">
        <f>SUM(H84,H92,H100,H101)</f>
        <v>785262</v>
      </c>
      <c r="I102" s="477"/>
      <c r="J102" s="477"/>
      <c r="K102" s="1699">
        <f>SUM(K84,K92,K100,K101)</f>
        <v>790656</v>
      </c>
      <c r="L102" s="1699">
        <f>SUM(L84,L92,L100,L101)</f>
        <v>853394</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15291288</v>
      </c>
      <c r="D114" s="1692">
        <f t="shared" ref="D114:K114" si="13">SUM(D33,D74,D75,D102,D112,D113)</f>
        <v>3895061</v>
      </c>
      <c r="E114" s="1692">
        <f t="shared" si="13"/>
        <v>1465664</v>
      </c>
      <c r="F114" s="1692">
        <f t="shared" si="13"/>
        <v>554585</v>
      </c>
      <c r="G114" s="1692">
        <f t="shared" si="13"/>
        <v>37809</v>
      </c>
      <c r="H114" s="1692">
        <f>SUM(H33,H74,H75,H102,H112,H113)</f>
        <v>891762</v>
      </c>
      <c r="I114" s="1692">
        <f t="shared" si="13"/>
        <v>12540</v>
      </c>
      <c r="J114" s="1692">
        <f t="shared" si="13"/>
        <v>0</v>
      </c>
      <c r="K114" s="1692">
        <f t="shared" si="13"/>
        <v>22148709</v>
      </c>
      <c r="L114" s="1692">
        <f>SUM(L33,L74,L75,L102,L112,L113)</f>
        <v>22247258</v>
      </c>
    </row>
    <row r="115" spans="1:14" ht="13.5" thickTop="1" x14ac:dyDescent="0.2">
      <c r="A115" s="2201" t="s">
        <v>1052</v>
      </c>
      <c r="B115" s="2202"/>
      <c r="C115" s="619"/>
      <c r="D115" s="619"/>
      <c r="E115" s="619"/>
      <c r="F115" s="619"/>
      <c r="G115" s="619"/>
      <c r="H115" s="619"/>
      <c r="I115" s="619"/>
      <c r="J115" s="619"/>
      <c r="K115" s="1706">
        <f>'Revenues 9-14'!C275-'Expenditures 15-22'!K114</f>
        <v>2410589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313</v>
      </c>
      <c r="B117" s="2180"/>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855870</v>
      </c>
      <c r="D124" s="466">
        <v>214789</v>
      </c>
      <c r="E124" s="466">
        <v>928074</v>
      </c>
      <c r="F124" s="466">
        <v>881013</v>
      </c>
      <c r="G124" s="466">
        <v>23577</v>
      </c>
      <c r="H124" s="466"/>
      <c r="I124" s="467"/>
      <c r="J124" s="467"/>
      <c r="K124" s="1692">
        <f>SUM(C124:J124)</f>
        <v>2903323</v>
      </c>
      <c r="L124" s="466">
        <v>3006883</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855870</v>
      </c>
      <c r="D127" s="1692">
        <f t="shared" ref="D127:L127" si="14">SUM(D122:D126)</f>
        <v>214789</v>
      </c>
      <c r="E127" s="1692">
        <f t="shared" si="14"/>
        <v>928074</v>
      </c>
      <c r="F127" s="1692">
        <f t="shared" si="14"/>
        <v>881013</v>
      </c>
      <c r="G127" s="1692">
        <f t="shared" si="14"/>
        <v>23577</v>
      </c>
      <c r="H127" s="1692">
        <f t="shared" si="14"/>
        <v>0</v>
      </c>
      <c r="I127" s="1692">
        <f t="shared" si="14"/>
        <v>0</v>
      </c>
      <c r="J127" s="1692">
        <f t="shared" si="14"/>
        <v>0</v>
      </c>
      <c r="K127" s="1692">
        <f t="shared" si="14"/>
        <v>2903323</v>
      </c>
      <c r="L127" s="1692">
        <f t="shared" si="14"/>
        <v>3006883</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855870</v>
      </c>
      <c r="D129" s="1699">
        <f t="shared" ref="D129:L129" si="15">SUM(D120,D127,D128)</f>
        <v>214789</v>
      </c>
      <c r="E129" s="1699">
        <f t="shared" si="15"/>
        <v>928074</v>
      </c>
      <c r="F129" s="1699">
        <f t="shared" si="15"/>
        <v>881013</v>
      </c>
      <c r="G129" s="1699">
        <f t="shared" si="15"/>
        <v>23577</v>
      </c>
      <c r="H129" s="1699">
        <f t="shared" si="15"/>
        <v>0</v>
      </c>
      <c r="I129" s="1699">
        <f t="shared" si="15"/>
        <v>0</v>
      </c>
      <c r="J129" s="1699">
        <f t="shared" si="15"/>
        <v>0</v>
      </c>
      <c r="K129" s="1699">
        <f t="shared" si="15"/>
        <v>2903323</v>
      </c>
      <c r="L129" s="1699">
        <f t="shared" si="15"/>
        <v>3006883</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1" t="s">
        <v>640</v>
      </c>
      <c r="B151" s="2173"/>
      <c r="C151" s="1692">
        <f>SUM(C129,C130,C139,C149,C150)</f>
        <v>855870</v>
      </c>
      <c r="D151" s="1692">
        <f t="shared" ref="D151:K151" si="16">SUM(D129,D130,D139,D149,D150)</f>
        <v>214789</v>
      </c>
      <c r="E151" s="1692">
        <f t="shared" si="16"/>
        <v>928074</v>
      </c>
      <c r="F151" s="1692">
        <f t="shared" si="16"/>
        <v>881013</v>
      </c>
      <c r="G151" s="1692">
        <f t="shared" si="16"/>
        <v>23577</v>
      </c>
      <c r="H151" s="1692">
        <f t="shared" si="16"/>
        <v>0</v>
      </c>
      <c r="I151" s="1692">
        <f t="shared" si="16"/>
        <v>0</v>
      </c>
      <c r="J151" s="1692">
        <f t="shared" si="16"/>
        <v>0</v>
      </c>
      <c r="K151" s="1692">
        <f t="shared" si="16"/>
        <v>2903323</v>
      </c>
      <c r="L151" s="1692">
        <f>SUM(L129,L130,L139,L149,L150)</f>
        <v>3006883</v>
      </c>
    </row>
    <row r="152" spans="1:14" ht="12.75" customHeight="1" thickTop="1" x14ac:dyDescent="0.2">
      <c r="A152" s="2194" t="s">
        <v>1239</v>
      </c>
      <c r="B152" s="2195"/>
      <c r="C152" s="619"/>
      <c r="D152" s="619"/>
      <c r="E152" s="619"/>
      <c r="F152" s="619"/>
      <c r="G152" s="619"/>
      <c r="H152" s="619"/>
      <c r="I152" s="619"/>
      <c r="J152" s="617"/>
      <c r="K152" s="1706">
        <f>'Revenues 9-14'!D275-'Expenditures 15-22'!K151</f>
        <v>506038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641</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866393</v>
      </c>
      <c r="I169" s="617"/>
      <c r="J169" s="617"/>
      <c r="K169" s="1693">
        <f>SUM(C169:H169)</f>
        <v>866393</v>
      </c>
      <c r="L169" s="657">
        <v>3490838</v>
      </c>
    </row>
    <row r="170" spans="1:14" ht="33.75" customHeight="1" x14ac:dyDescent="0.2">
      <c r="A170" s="670" t="s">
        <v>1768</v>
      </c>
      <c r="B170" s="672" t="s">
        <v>31</v>
      </c>
      <c r="C170" s="617"/>
      <c r="D170" s="617"/>
      <c r="E170" s="617"/>
      <c r="F170" s="617"/>
      <c r="G170" s="617"/>
      <c r="H170" s="569">
        <v>2624445</v>
      </c>
      <c r="I170" s="617"/>
      <c r="J170" s="617"/>
      <c r="K170" s="1693">
        <f>SUM(C170:J170)</f>
        <v>2624445</v>
      </c>
      <c r="L170" s="569"/>
    </row>
    <row r="171" spans="1:14" ht="15.75" customHeight="1" x14ac:dyDescent="0.2">
      <c r="A171" s="622" t="s">
        <v>789</v>
      </c>
      <c r="B171" s="673" t="s">
        <v>86</v>
      </c>
      <c r="C171" s="617"/>
      <c r="D171" s="617"/>
      <c r="E171" s="466">
        <v>5603</v>
      </c>
      <c r="F171" s="617"/>
      <c r="G171" s="617"/>
      <c r="H171" s="569"/>
      <c r="I171" s="477"/>
      <c r="J171" s="617"/>
      <c r="K171" s="1693">
        <f>SUM(C171:J171)</f>
        <v>5603</v>
      </c>
      <c r="L171" s="569">
        <v>6300</v>
      </c>
    </row>
    <row r="172" spans="1:14" ht="12.75" customHeight="1" thickBot="1" x14ac:dyDescent="0.25">
      <c r="A172" s="1690" t="s">
        <v>658</v>
      </c>
      <c r="B172" s="1691" t="s">
        <v>512</v>
      </c>
      <c r="C172" s="617"/>
      <c r="D172" s="617"/>
      <c r="E172" s="1699">
        <f>SUM(E168,E169,E170,E171)</f>
        <v>5603</v>
      </c>
      <c r="F172" s="617"/>
      <c r="G172" s="617"/>
      <c r="H172" s="1699">
        <f>SUM(H168,H169,H170,H171)</f>
        <v>3490838</v>
      </c>
      <c r="I172" s="639"/>
      <c r="J172" s="617"/>
      <c r="K172" s="1699">
        <f>SUM(K168,K169,K170,K171)</f>
        <v>3496441</v>
      </c>
      <c r="L172" s="1699">
        <f>SUM(L168,L169,L170,L171)</f>
        <v>3497138</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5603</v>
      </c>
      <c r="F174" s="617"/>
      <c r="G174" s="617"/>
      <c r="H174" s="1699">
        <f>SUM(H160,H172,H173)</f>
        <v>3490838</v>
      </c>
      <c r="I174" s="639"/>
      <c r="J174" s="617"/>
      <c r="K174" s="1699">
        <f>SUM(K160,K172,K173)</f>
        <v>3496441</v>
      </c>
      <c r="L174" s="1699">
        <f>SUM(L160,L172,L173)</f>
        <v>3497138</v>
      </c>
    </row>
    <row r="175" spans="1:14" ht="13.5" thickTop="1" x14ac:dyDescent="0.2">
      <c r="A175" s="2201" t="s">
        <v>1052</v>
      </c>
      <c r="B175" s="2202"/>
      <c r="C175" s="617"/>
      <c r="D175" s="617"/>
      <c r="E175" s="617"/>
      <c r="F175" s="617"/>
      <c r="G175" s="617"/>
      <c r="H175" s="619"/>
      <c r="I175" s="617"/>
      <c r="J175" s="617"/>
      <c r="K175" s="1706">
        <f>'Revenues 9-14'!E275-'Expenditures 15-22'!K174</f>
        <v>506209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41050</v>
      </c>
      <c r="D182" s="466">
        <v>3818</v>
      </c>
      <c r="E182" s="466">
        <v>1723247</v>
      </c>
      <c r="F182" s="466">
        <v>79858</v>
      </c>
      <c r="G182" s="466"/>
      <c r="H182" s="466"/>
      <c r="I182" s="467"/>
      <c r="J182" s="467"/>
      <c r="K182" s="1693">
        <f>SUM(C182:J182)</f>
        <v>1847973</v>
      </c>
      <c r="L182" s="466">
        <v>1747947</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41050</v>
      </c>
      <c r="D184" s="1699">
        <f t="shared" ref="D184:J184" si="17">SUM(D180,D182,D183)</f>
        <v>3818</v>
      </c>
      <c r="E184" s="1699">
        <f t="shared" si="17"/>
        <v>1723247</v>
      </c>
      <c r="F184" s="1699">
        <f t="shared" si="17"/>
        <v>79858</v>
      </c>
      <c r="G184" s="1699">
        <f t="shared" si="17"/>
        <v>0</v>
      </c>
      <c r="H184" s="1699">
        <f t="shared" si="17"/>
        <v>0</v>
      </c>
      <c r="I184" s="1699">
        <f t="shared" si="17"/>
        <v>0</v>
      </c>
      <c r="J184" s="1699">
        <f t="shared" si="17"/>
        <v>0</v>
      </c>
      <c r="K184" s="1699">
        <f>SUM(K180,K182,K183)</f>
        <v>1847973</v>
      </c>
      <c r="L184" s="1699">
        <f>SUM(L180, L182:L183)</f>
        <v>1747947</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41050</v>
      </c>
      <c r="D210" s="1692">
        <f>SUM(D184,D185)</f>
        <v>3818</v>
      </c>
      <c r="E210" s="1692">
        <f>SUM(E184,E185,E196)</f>
        <v>1723247</v>
      </c>
      <c r="F210" s="1692">
        <f>SUM(F184,F185)</f>
        <v>79858</v>
      </c>
      <c r="G210" s="1692">
        <f>SUM(G184,G185)</f>
        <v>0</v>
      </c>
      <c r="H210" s="1692">
        <f>SUM(H184,H185,H196,H208,H209)</f>
        <v>0</v>
      </c>
      <c r="I210" s="1692">
        <f>SUM(I184,I185)</f>
        <v>0</v>
      </c>
      <c r="J210" s="1692">
        <f>SUM(J184,J185)</f>
        <v>0</v>
      </c>
      <c r="K210" s="1693">
        <f>SUM(K184,K185,K196,K208,K209)</f>
        <v>1847973</v>
      </c>
      <c r="L210" s="1692">
        <f>SUM(L184,L185,L196,L208,L209)</f>
        <v>1747947</v>
      </c>
    </row>
    <row r="211" spans="1:14" ht="13.5" thickTop="1" x14ac:dyDescent="0.2">
      <c r="A211" s="2201" t="s">
        <v>1052</v>
      </c>
      <c r="B211" s="2202"/>
      <c r="C211" s="619"/>
      <c r="D211" s="619"/>
      <c r="E211" s="619"/>
      <c r="F211" s="619"/>
      <c r="G211" s="619"/>
      <c r="H211" s="619"/>
      <c r="I211" s="617"/>
      <c r="J211" s="617"/>
      <c r="K211" s="1706">
        <f>'Revenues 9-14'!F275-'Expenditures 15-22'!K210</f>
        <v>78062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1021</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155931</v>
      </c>
      <c r="E215" s="617"/>
      <c r="F215" s="617"/>
      <c r="G215" s="617"/>
      <c r="H215" s="617"/>
      <c r="I215" s="617"/>
      <c r="J215" s="617"/>
      <c r="K215" s="1693">
        <f>D215</f>
        <v>155931</v>
      </c>
      <c r="L215" s="466">
        <v>144754</v>
      </c>
    </row>
    <row r="216" spans="1:14" x14ac:dyDescent="0.2">
      <c r="A216" s="1526" t="s">
        <v>165</v>
      </c>
      <c r="B216" s="615" t="s">
        <v>1023</v>
      </c>
      <c r="C216" s="617"/>
      <c r="D216" s="467">
        <v>5923</v>
      </c>
      <c r="E216" s="617"/>
      <c r="F216" s="617"/>
      <c r="G216" s="617"/>
      <c r="H216" s="617"/>
      <c r="I216" s="617"/>
      <c r="J216" s="617"/>
      <c r="K216" s="1693">
        <f t="shared" ref="K216:K228" si="19">D216</f>
        <v>5923</v>
      </c>
      <c r="L216" s="466">
        <v>5634</v>
      </c>
    </row>
    <row r="217" spans="1:14" x14ac:dyDescent="0.2">
      <c r="A217" s="1526" t="s">
        <v>166</v>
      </c>
      <c r="B217" s="615">
        <v>1200</v>
      </c>
      <c r="C217" s="617"/>
      <c r="D217" s="466">
        <v>164457</v>
      </c>
      <c r="E217" s="617"/>
      <c r="F217" s="617"/>
      <c r="G217" s="617"/>
      <c r="H217" s="617"/>
      <c r="I217" s="617"/>
      <c r="J217" s="617"/>
      <c r="K217" s="1693">
        <f t="shared" si="19"/>
        <v>164457</v>
      </c>
      <c r="L217" s="466">
        <v>156926</v>
      </c>
    </row>
    <row r="218" spans="1:14" x14ac:dyDescent="0.2">
      <c r="A218" s="1526" t="s">
        <v>295</v>
      </c>
      <c r="B218" s="615" t="s">
        <v>1024</v>
      </c>
      <c r="C218" s="617"/>
      <c r="D218" s="467">
        <v>8285</v>
      </c>
      <c r="E218" s="617"/>
      <c r="F218" s="617"/>
      <c r="G218" s="617"/>
      <c r="H218" s="617"/>
      <c r="I218" s="617"/>
      <c r="J218" s="617"/>
      <c r="K218" s="1693">
        <f t="shared" si="19"/>
        <v>8285</v>
      </c>
      <c r="L218" s="466">
        <v>7963</v>
      </c>
    </row>
    <row r="219" spans="1:14" x14ac:dyDescent="0.2">
      <c r="A219" s="1526" t="s">
        <v>296</v>
      </c>
      <c r="B219" s="615">
        <v>1250</v>
      </c>
      <c r="C219" s="617"/>
      <c r="D219" s="466">
        <v>26313</v>
      </c>
      <c r="E219" s="617"/>
      <c r="F219" s="617"/>
      <c r="G219" s="617"/>
      <c r="H219" s="617"/>
      <c r="I219" s="617"/>
      <c r="J219" s="617"/>
      <c r="K219" s="1693">
        <f t="shared" si="19"/>
        <v>26313</v>
      </c>
      <c r="L219" s="466">
        <v>38613</v>
      </c>
    </row>
    <row r="220" spans="1:14" x14ac:dyDescent="0.2">
      <c r="A220" s="1526" t="s">
        <v>297</v>
      </c>
      <c r="B220" s="615" t="s">
        <v>163</v>
      </c>
      <c r="C220" s="617"/>
      <c r="D220" s="467">
        <v>5504</v>
      </c>
      <c r="E220" s="617"/>
      <c r="F220" s="617"/>
      <c r="G220" s="617"/>
      <c r="H220" s="617"/>
      <c r="I220" s="617"/>
      <c r="J220" s="617"/>
      <c r="K220" s="1693">
        <f t="shared" si="19"/>
        <v>5504</v>
      </c>
      <c r="L220" s="466">
        <v>3476</v>
      </c>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c r="E222" s="617"/>
      <c r="F222" s="617"/>
      <c r="G222" s="617"/>
      <c r="H222" s="617"/>
      <c r="I222" s="617"/>
      <c r="J222" s="617"/>
      <c r="K222" s="1693">
        <f t="shared" si="19"/>
        <v>0</v>
      </c>
      <c r="L222" s="466"/>
    </row>
    <row r="223" spans="1:14" x14ac:dyDescent="0.2">
      <c r="A223" s="1526" t="s">
        <v>1019</v>
      </c>
      <c r="B223" s="615">
        <v>1500</v>
      </c>
      <c r="C223" s="617"/>
      <c r="D223" s="466">
        <v>6921</v>
      </c>
      <c r="E223" s="617"/>
      <c r="F223" s="617"/>
      <c r="G223" s="617"/>
      <c r="H223" s="617"/>
      <c r="I223" s="617"/>
      <c r="J223" s="617"/>
      <c r="K223" s="1693">
        <f t="shared" si="19"/>
        <v>6921</v>
      </c>
      <c r="L223" s="466">
        <v>6976</v>
      </c>
    </row>
    <row r="224" spans="1:14" x14ac:dyDescent="0.2">
      <c r="A224" s="1526" t="s">
        <v>1020</v>
      </c>
      <c r="B224" s="615">
        <v>1600</v>
      </c>
      <c r="C224" s="617"/>
      <c r="D224" s="466"/>
      <c r="E224" s="617"/>
      <c r="F224" s="617"/>
      <c r="G224" s="617"/>
      <c r="H224" s="617"/>
      <c r="I224" s="617"/>
      <c r="J224" s="617"/>
      <c r="K224" s="1693">
        <f t="shared" si="19"/>
        <v>0</v>
      </c>
      <c r="L224" s="466"/>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c r="E226" s="617"/>
      <c r="F226" s="617"/>
      <c r="G226" s="617"/>
      <c r="H226" s="617"/>
      <c r="I226" s="617"/>
      <c r="J226" s="617"/>
      <c r="K226" s="1693">
        <f t="shared" si="19"/>
        <v>0</v>
      </c>
      <c r="L226" s="466"/>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v>761</v>
      </c>
      <c r="E228" s="617"/>
      <c r="F228" s="617"/>
      <c r="G228" s="617"/>
      <c r="H228" s="617"/>
      <c r="I228" s="617"/>
      <c r="J228" s="617"/>
      <c r="K228" s="1693">
        <f t="shared" si="19"/>
        <v>761</v>
      </c>
      <c r="L228" s="466">
        <v>608</v>
      </c>
    </row>
    <row r="229" spans="1:12" ht="12.75" customHeight="1" thickBot="1" x14ac:dyDescent="0.25">
      <c r="A229" s="1690" t="s">
        <v>738</v>
      </c>
      <c r="B229" s="1697" t="s">
        <v>590</v>
      </c>
      <c r="C229" s="617"/>
      <c r="D229" s="1692">
        <f>SUM(D215:D228)</f>
        <v>374095</v>
      </c>
      <c r="E229" s="617"/>
      <c r="F229" s="617"/>
      <c r="G229" s="617"/>
      <c r="H229" s="617"/>
      <c r="I229" s="617"/>
      <c r="J229" s="617"/>
      <c r="K229" s="1692">
        <f>SUM(K215:K228)</f>
        <v>374095</v>
      </c>
      <c r="L229" s="1692">
        <f>SUM(L215:L228)</f>
        <v>364950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3425</v>
      </c>
      <c r="E232" s="617"/>
      <c r="F232" s="617"/>
      <c r="G232" s="617"/>
      <c r="H232" s="617"/>
      <c r="I232" s="617"/>
      <c r="J232" s="617"/>
      <c r="K232" s="1693">
        <f t="shared" ref="K232:K237" si="20">D232</f>
        <v>3425</v>
      </c>
      <c r="L232" s="466">
        <v>3459</v>
      </c>
    </row>
    <row r="233" spans="1:12" x14ac:dyDescent="0.2">
      <c r="A233" s="1526" t="s">
        <v>1150</v>
      </c>
      <c r="B233" s="615">
        <v>2120</v>
      </c>
      <c r="C233" s="617"/>
      <c r="D233" s="466">
        <v>154</v>
      </c>
      <c r="E233" s="617"/>
      <c r="F233" s="617"/>
      <c r="G233" s="617"/>
      <c r="H233" s="617"/>
      <c r="I233" s="617"/>
      <c r="J233" s="617"/>
      <c r="K233" s="1693">
        <f t="shared" si="20"/>
        <v>154</v>
      </c>
      <c r="L233" s="466">
        <v>168</v>
      </c>
    </row>
    <row r="234" spans="1:12" x14ac:dyDescent="0.2">
      <c r="A234" s="1526" t="s">
        <v>207</v>
      </c>
      <c r="B234" s="615">
        <v>2130</v>
      </c>
      <c r="C234" s="617"/>
      <c r="D234" s="466">
        <v>95463</v>
      </c>
      <c r="E234" s="617"/>
      <c r="F234" s="617"/>
      <c r="G234" s="617"/>
      <c r="H234" s="617"/>
      <c r="I234" s="617"/>
      <c r="J234" s="617"/>
      <c r="K234" s="1693">
        <f t="shared" si="20"/>
        <v>95463</v>
      </c>
      <c r="L234" s="466">
        <v>96100</v>
      </c>
    </row>
    <row r="235" spans="1:12" x14ac:dyDescent="0.2">
      <c r="A235" s="1526" t="s">
        <v>208</v>
      </c>
      <c r="B235" s="615">
        <v>2140</v>
      </c>
      <c r="C235" s="617"/>
      <c r="D235" s="466">
        <v>843</v>
      </c>
      <c r="E235" s="617"/>
      <c r="F235" s="617"/>
      <c r="G235" s="617"/>
      <c r="H235" s="617"/>
      <c r="I235" s="617"/>
      <c r="J235" s="617"/>
      <c r="K235" s="1693">
        <f t="shared" si="20"/>
        <v>843</v>
      </c>
      <c r="L235" s="466">
        <v>997</v>
      </c>
    </row>
    <row r="236" spans="1:12" x14ac:dyDescent="0.2">
      <c r="A236" s="1526" t="s">
        <v>209</v>
      </c>
      <c r="B236" s="615">
        <v>2150</v>
      </c>
      <c r="C236" s="617"/>
      <c r="D236" s="466">
        <v>6501</v>
      </c>
      <c r="E236" s="617"/>
      <c r="F236" s="617"/>
      <c r="G236" s="617"/>
      <c r="H236" s="617"/>
      <c r="I236" s="617"/>
      <c r="J236" s="617"/>
      <c r="K236" s="1693">
        <f t="shared" si="20"/>
        <v>6501</v>
      </c>
      <c r="L236" s="466">
        <v>5914</v>
      </c>
    </row>
    <row r="237" spans="1:12" x14ac:dyDescent="0.2">
      <c r="A237" s="1526" t="s">
        <v>167</v>
      </c>
      <c r="B237" s="615">
        <v>2190</v>
      </c>
      <c r="C237" s="617"/>
      <c r="D237" s="466">
        <v>384</v>
      </c>
      <c r="E237" s="617"/>
      <c r="F237" s="617"/>
      <c r="G237" s="617"/>
      <c r="H237" s="617"/>
      <c r="I237" s="617"/>
      <c r="J237" s="617"/>
      <c r="K237" s="1693">
        <f t="shared" si="20"/>
        <v>384</v>
      </c>
      <c r="L237" s="466">
        <v>572</v>
      </c>
    </row>
    <row r="238" spans="1:12" ht="12.75" customHeight="1" thickBot="1" x14ac:dyDescent="0.25">
      <c r="A238" s="1690" t="s">
        <v>580</v>
      </c>
      <c r="B238" s="1697" t="s">
        <v>739</v>
      </c>
      <c r="C238" s="617"/>
      <c r="D238" s="1692">
        <f>SUM(D232:D237)</f>
        <v>106770</v>
      </c>
      <c r="E238" s="617"/>
      <c r="F238" s="617"/>
      <c r="G238" s="617"/>
      <c r="H238" s="617"/>
      <c r="I238" s="617"/>
      <c r="J238" s="617"/>
      <c r="K238" s="1692">
        <f>SUM(K232:K237)</f>
        <v>106770</v>
      </c>
      <c r="L238" s="1692">
        <f>SUM(L232:L237)</f>
        <v>107210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264</v>
      </c>
      <c r="E240" s="617"/>
      <c r="F240" s="617"/>
      <c r="G240" s="617"/>
      <c r="H240" s="617"/>
      <c r="I240" s="617"/>
      <c r="J240" s="617"/>
      <c r="K240" s="1694">
        <f>D240</f>
        <v>264</v>
      </c>
      <c r="L240" s="481">
        <v>260</v>
      </c>
    </row>
    <row r="241" spans="1:12" x14ac:dyDescent="0.2">
      <c r="A241" s="1526" t="s">
        <v>868</v>
      </c>
      <c r="B241" s="615">
        <v>2220</v>
      </c>
      <c r="C241" s="617"/>
      <c r="D241" s="466">
        <v>45935</v>
      </c>
      <c r="E241" s="617"/>
      <c r="F241" s="617"/>
      <c r="G241" s="617"/>
      <c r="H241" s="617"/>
      <c r="I241" s="617"/>
      <c r="J241" s="617"/>
      <c r="K241" s="1694">
        <f>D241</f>
        <v>45935</v>
      </c>
      <c r="L241" s="466">
        <v>46836</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46199</v>
      </c>
      <c r="E243" s="617"/>
      <c r="F243" s="617"/>
      <c r="G243" s="617"/>
      <c r="H243" s="617"/>
      <c r="I243" s="617"/>
      <c r="J243" s="617"/>
      <c r="K243" s="1692">
        <f>SUM(K240:K242)</f>
        <v>46199</v>
      </c>
      <c r="L243" s="1692">
        <f>SUM(L240:L242)</f>
        <v>47096</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9412</v>
      </c>
      <c r="E246" s="617"/>
      <c r="F246" s="617"/>
      <c r="G246" s="617"/>
      <c r="H246" s="617"/>
      <c r="I246" s="617"/>
      <c r="J246" s="617"/>
      <c r="K246" s="1694">
        <f t="shared" ref="K246:K256" si="21">D246</f>
        <v>9412</v>
      </c>
      <c r="L246" s="466">
        <v>3981</v>
      </c>
    </row>
    <row r="247" spans="1:12" x14ac:dyDescent="0.2">
      <c r="A247" s="1526" t="s">
        <v>872</v>
      </c>
      <c r="B247" s="615">
        <v>2330</v>
      </c>
      <c r="C247" s="617"/>
      <c r="D247" s="466"/>
      <c r="E247" s="617"/>
      <c r="F247" s="617"/>
      <c r="G247" s="617"/>
      <c r="H247" s="617"/>
      <c r="I247" s="617"/>
      <c r="J247" s="617"/>
      <c r="K247" s="1694">
        <f t="shared" si="21"/>
        <v>0</v>
      </c>
      <c r="L247" s="466">
        <v>9450</v>
      </c>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1904</v>
      </c>
      <c r="B249" s="684" t="s">
        <v>299</v>
      </c>
      <c r="C249" s="617"/>
      <c r="D249" s="474"/>
      <c r="E249" s="617"/>
      <c r="F249" s="617"/>
      <c r="G249" s="617"/>
      <c r="H249" s="617"/>
      <c r="I249" s="617"/>
      <c r="J249" s="617"/>
      <c r="K249" s="1694">
        <f t="shared" si="21"/>
        <v>0</v>
      </c>
      <c r="L249" s="466"/>
    </row>
    <row r="250" spans="1:12" x14ac:dyDescent="0.2">
      <c r="A250" s="1527" t="s">
        <v>1905</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v>133946</v>
      </c>
      <c r="E254" s="617"/>
      <c r="F254" s="617"/>
      <c r="G254" s="617"/>
      <c r="H254" s="617"/>
      <c r="I254" s="617"/>
      <c r="J254" s="617"/>
      <c r="K254" s="1694">
        <f t="shared" si="21"/>
        <v>133946</v>
      </c>
      <c r="L254" s="466">
        <v>129717</v>
      </c>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143358</v>
      </c>
      <c r="E257" s="617"/>
      <c r="F257" s="617"/>
      <c r="G257" s="617"/>
      <c r="H257" s="617"/>
      <c r="I257" s="617"/>
      <c r="J257" s="617"/>
      <c r="K257" s="1692">
        <f>SUM(K245:K256)</f>
        <v>143358</v>
      </c>
      <c r="L257" s="1692">
        <f>SUM(L245:L256)</f>
        <v>143148</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54578</v>
      </c>
      <c r="E259" s="617"/>
      <c r="F259" s="617"/>
      <c r="G259" s="617"/>
      <c r="H259" s="617"/>
      <c r="I259" s="617"/>
      <c r="J259" s="617"/>
      <c r="K259" s="1694">
        <f>D259</f>
        <v>54578</v>
      </c>
      <c r="L259" s="481">
        <v>56360</v>
      </c>
    </row>
    <row r="260" spans="1:14" s="598" customFormat="1" x14ac:dyDescent="0.2">
      <c r="A260" s="1544" t="s">
        <v>1903</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54578</v>
      </c>
      <c r="E261" s="617"/>
      <c r="F261" s="617"/>
      <c r="G261" s="617"/>
      <c r="H261" s="617"/>
      <c r="I261" s="617"/>
      <c r="J261" s="617"/>
      <c r="K261" s="1692">
        <f>SUM(K259:K260)</f>
        <v>54578</v>
      </c>
      <c r="L261" s="1692">
        <f>SUM(L259:L260)</f>
        <v>56360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row>
    <row r="264" spans="1:14" x14ac:dyDescent="0.2">
      <c r="A264" s="1526" t="s">
        <v>482</v>
      </c>
      <c r="B264" s="686">
        <v>2520</v>
      </c>
      <c r="C264" s="617"/>
      <c r="D264" s="466">
        <v>28545</v>
      </c>
      <c r="E264" s="617"/>
      <c r="F264" s="617"/>
      <c r="G264" s="617"/>
      <c r="H264" s="617"/>
      <c r="I264" s="617"/>
      <c r="J264" s="617"/>
      <c r="K264" s="1694">
        <f t="shared" ref="K264:K269" si="22">D264</f>
        <v>28545</v>
      </c>
      <c r="L264" s="466">
        <v>28673</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137632</v>
      </c>
      <c r="E266" s="617"/>
      <c r="F266" s="617"/>
      <c r="G266" s="617"/>
      <c r="H266" s="617"/>
      <c r="I266" s="617"/>
      <c r="J266" s="617"/>
      <c r="K266" s="1694">
        <f t="shared" si="22"/>
        <v>137632</v>
      </c>
      <c r="L266" s="466">
        <v>138176</v>
      </c>
    </row>
    <row r="267" spans="1:14" x14ac:dyDescent="0.2">
      <c r="A267" s="1526" t="s">
        <v>1009</v>
      </c>
      <c r="B267" s="615">
        <v>2550</v>
      </c>
      <c r="C267" s="617"/>
      <c r="D267" s="466">
        <v>2336</v>
      </c>
      <c r="E267" s="617"/>
      <c r="F267" s="617"/>
      <c r="G267" s="617"/>
      <c r="H267" s="617"/>
      <c r="I267" s="617"/>
      <c r="J267" s="617"/>
      <c r="K267" s="1694">
        <f t="shared" si="22"/>
        <v>2336</v>
      </c>
      <c r="L267" s="466">
        <v>1985</v>
      </c>
    </row>
    <row r="268" spans="1:14" x14ac:dyDescent="0.2">
      <c r="A268" s="1526" t="s">
        <v>102</v>
      </c>
      <c r="B268" s="615">
        <v>2560</v>
      </c>
      <c r="C268" s="617"/>
      <c r="D268" s="466">
        <v>3354</v>
      </c>
      <c r="E268" s="617"/>
      <c r="F268" s="617"/>
      <c r="G268" s="617"/>
      <c r="H268" s="617"/>
      <c r="I268" s="617"/>
      <c r="J268" s="617"/>
      <c r="K268" s="1694">
        <f t="shared" si="22"/>
        <v>3354</v>
      </c>
      <c r="L268" s="466">
        <v>2918</v>
      </c>
    </row>
    <row r="269" spans="1:14" x14ac:dyDescent="0.2">
      <c r="A269" s="1526" t="s">
        <v>103</v>
      </c>
      <c r="B269" s="615">
        <v>2570</v>
      </c>
      <c r="C269" s="617"/>
      <c r="D269" s="466">
        <v>1043</v>
      </c>
      <c r="E269" s="617"/>
      <c r="F269" s="617"/>
      <c r="G269" s="617"/>
      <c r="H269" s="617"/>
      <c r="I269" s="617"/>
      <c r="J269" s="617"/>
      <c r="K269" s="1694">
        <f t="shared" si="22"/>
        <v>1043</v>
      </c>
      <c r="L269" s="466"/>
    </row>
    <row r="270" spans="1:14" ht="12.75" customHeight="1" thickBot="1" x14ac:dyDescent="0.25">
      <c r="A270" s="1690" t="s">
        <v>742</v>
      </c>
      <c r="B270" s="1697" t="s">
        <v>35</v>
      </c>
      <c r="C270" s="617"/>
      <c r="D270" s="1692">
        <f>SUM(D263:D269)</f>
        <v>172910</v>
      </c>
      <c r="E270" s="617"/>
      <c r="F270" s="617"/>
      <c r="G270" s="617"/>
      <c r="H270" s="617"/>
      <c r="I270" s="617"/>
      <c r="J270" s="617"/>
      <c r="K270" s="1692">
        <f>SUM(K263:K269)</f>
        <v>172910</v>
      </c>
      <c r="L270" s="1692">
        <f>SUM(L263:L269)</f>
        <v>171752</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row>
    <row r="276" spans="1:12" x14ac:dyDescent="0.2">
      <c r="A276" s="1526" t="s">
        <v>423</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523815</v>
      </c>
      <c r="E279" s="617"/>
      <c r="F279" s="617"/>
      <c r="G279" s="617"/>
      <c r="H279" s="617"/>
      <c r="I279" s="617"/>
      <c r="J279" s="617"/>
      <c r="K279" s="1699">
        <f>SUM(K238,K243,K257,K261,K270,K277,K278)</f>
        <v>523815</v>
      </c>
      <c r="L279" s="1699">
        <f>SUM(L238,L243,L257,L261,L270,L277,L278)</f>
        <v>525566</v>
      </c>
    </row>
    <row r="280" spans="1:12" ht="15.75" customHeight="1" thickTop="1" thickBot="1" x14ac:dyDescent="0.25">
      <c r="A280" s="1646" t="s">
        <v>929</v>
      </c>
      <c r="B280" s="1635">
        <v>3000</v>
      </c>
      <c r="C280" s="617"/>
      <c r="D280" s="576">
        <v>131656</v>
      </c>
      <c r="E280" s="617"/>
      <c r="F280" s="617"/>
      <c r="G280" s="617"/>
      <c r="H280" s="617"/>
      <c r="I280" s="617"/>
      <c r="J280" s="617"/>
      <c r="K280" s="1701">
        <f>D280</f>
        <v>131656</v>
      </c>
      <c r="L280" s="576">
        <v>125899</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v>6192</v>
      </c>
      <c r="E283" s="617"/>
      <c r="F283" s="617"/>
      <c r="G283" s="617"/>
      <c r="H283" s="617"/>
      <c r="I283" s="617"/>
      <c r="J283" s="617"/>
      <c r="K283" s="1693">
        <f>D283</f>
        <v>6192</v>
      </c>
      <c r="L283" s="466">
        <v>6194</v>
      </c>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6192</v>
      </c>
      <c r="E285" s="617"/>
      <c r="F285" s="617"/>
      <c r="G285" s="617"/>
      <c r="H285" s="617"/>
      <c r="I285" s="617"/>
      <c r="J285" s="617"/>
      <c r="K285" s="1692">
        <f>SUM(K282:K284)</f>
        <v>6192</v>
      </c>
      <c r="L285" s="1692">
        <f>SUM(L282:L284)</f>
        <v>6194</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2" t="s">
        <v>525</v>
      </c>
      <c r="B295" s="2193"/>
      <c r="C295" s="617"/>
      <c r="D295" s="1692">
        <f>SUM(D229,D279,D280,D285)</f>
        <v>1035758</v>
      </c>
      <c r="E295" s="617"/>
      <c r="F295" s="617"/>
      <c r="G295" s="617"/>
      <c r="H295" s="1692">
        <f>H293</f>
        <v>0</v>
      </c>
      <c r="I295" s="617"/>
      <c r="J295" s="617"/>
      <c r="K295" s="1692">
        <f>SUM(K229,K279,K280,K285,K293,K294)</f>
        <v>1035758</v>
      </c>
      <c r="L295" s="1692">
        <f>SUM(L229,L279,L280,L285,L293,L294)</f>
        <v>1022609</v>
      </c>
    </row>
    <row r="296" spans="1:14" ht="13.5" thickTop="1" x14ac:dyDescent="0.2">
      <c r="A296" s="2201" t="s">
        <v>1052</v>
      </c>
      <c r="B296" s="2202"/>
      <c r="C296" s="617"/>
      <c r="D296" s="619"/>
      <c r="E296" s="617"/>
      <c r="F296" s="617"/>
      <c r="G296" s="617"/>
      <c r="H296" s="688"/>
      <c r="I296" s="617"/>
      <c r="J296" s="617"/>
      <c r="K296" s="1706">
        <f>'Revenues 9-14'!G275-'Expenditures 15-22'!K295</f>
        <v>159412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c r="H301" s="466"/>
      <c r="I301" s="467"/>
      <c r="J301" s="467"/>
      <c r="K301" s="1693">
        <f>SUM(C301:J301)</f>
        <v>0</v>
      </c>
      <c r="L301" s="467"/>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9" t="s">
        <v>294</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1052</v>
      </c>
      <c r="B313" s="2186"/>
      <c r="C313" s="627"/>
      <c r="D313" s="627"/>
      <c r="E313" s="627"/>
      <c r="F313" s="627"/>
      <c r="G313" s="627"/>
      <c r="H313" s="627"/>
      <c r="I313" s="627"/>
      <c r="J313" s="627"/>
      <c r="K313" s="1707">
        <f>'Revenues 9-14'!H275-'Expenditures 15-22'!K312</f>
        <v>14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953</v>
      </c>
      <c r="B317" s="2199"/>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1904</v>
      </c>
      <c r="B320" s="699" t="s">
        <v>299</v>
      </c>
      <c r="C320" s="467"/>
      <c r="D320" s="467"/>
      <c r="E320" s="467">
        <v>166333</v>
      </c>
      <c r="F320" s="467"/>
      <c r="G320" s="467"/>
      <c r="H320" s="467"/>
      <c r="I320" s="467"/>
      <c r="J320" s="467"/>
      <c r="K320" s="1693">
        <f t="shared" ref="K320:K327" si="24">SUM(C320:J320)</f>
        <v>166333</v>
      </c>
      <c r="L320" s="467">
        <v>154544</v>
      </c>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v>30000</v>
      </c>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v>1457999</v>
      </c>
      <c r="D325" s="467">
        <v>82310</v>
      </c>
      <c r="E325" s="467">
        <v>77591</v>
      </c>
      <c r="F325" s="467">
        <v>12533</v>
      </c>
      <c r="G325" s="467"/>
      <c r="H325" s="467"/>
      <c r="I325" s="467"/>
      <c r="J325" s="467"/>
      <c r="K325" s="1693">
        <f t="shared" si="24"/>
        <v>1630433</v>
      </c>
      <c r="L325" s="467">
        <v>1792966</v>
      </c>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v>33437</v>
      </c>
      <c r="F327" s="467"/>
      <c r="G327" s="467"/>
      <c r="H327" s="467"/>
      <c r="I327" s="467"/>
      <c r="J327" s="467"/>
      <c r="K327" s="1693">
        <f t="shared" si="24"/>
        <v>33437</v>
      </c>
      <c r="L327" s="467">
        <v>60000</v>
      </c>
      <c r="M327" s="666"/>
      <c r="N327" s="666"/>
    </row>
    <row r="328" spans="1:14" s="675" customFormat="1" x14ac:dyDescent="0.2">
      <c r="A328" s="1542" t="s">
        <v>491</v>
      </c>
      <c r="B328" s="691" t="s">
        <v>1193</v>
      </c>
      <c r="C328" s="474"/>
      <c r="D328" s="474"/>
      <c r="E328" s="474">
        <v>202414</v>
      </c>
      <c r="F328" s="474"/>
      <c r="G328" s="474"/>
      <c r="H328" s="474"/>
      <c r="I328" s="474"/>
      <c r="J328" s="474"/>
      <c r="K328" s="1721">
        <f>SUM(C328:J328)</f>
        <v>202414</v>
      </c>
      <c r="L328" s="474">
        <v>202700</v>
      </c>
      <c r="M328" s="666"/>
      <c r="N328" s="666"/>
    </row>
    <row r="329" spans="1:14" s="675" customFormat="1" x14ac:dyDescent="0.2">
      <c r="A329" s="1542" t="s">
        <v>1194</v>
      </c>
      <c r="B329" s="691" t="s">
        <v>1195</v>
      </c>
      <c r="C329" s="474"/>
      <c r="D329" s="474"/>
      <c r="E329" s="474">
        <v>82743</v>
      </c>
      <c r="F329" s="474"/>
      <c r="G329" s="474"/>
      <c r="H329" s="474"/>
      <c r="I329" s="474"/>
      <c r="J329" s="474"/>
      <c r="K329" s="1721">
        <f>SUM(C329:J329)</f>
        <v>82743</v>
      </c>
      <c r="L329" s="474"/>
      <c r="M329" s="666"/>
      <c r="N329" s="666"/>
    </row>
    <row r="330" spans="1:14" s="675" customFormat="1" ht="12.75" customHeight="1" thickBot="1" x14ac:dyDescent="0.25">
      <c r="A330" s="1722" t="s">
        <v>740</v>
      </c>
      <c r="B330" s="1691" t="s">
        <v>589</v>
      </c>
      <c r="C330" s="1692">
        <f>SUM(C319:C329)</f>
        <v>1457999</v>
      </c>
      <c r="D330" s="1692">
        <f t="shared" ref="D330:J330" si="25">SUM(D319:D329)</f>
        <v>82310</v>
      </c>
      <c r="E330" s="1692">
        <f t="shared" si="25"/>
        <v>562518</v>
      </c>
      <c r="F330" s="1692">
        <f t="shared" si="25"/>
        <v>12533</v>
      </c>
      <c r="G330" s="1692">
        <f t="shared" si="25"/>
        <v>0</v>
      </c>
      <c r="H330" s="1692">
        <f t="shared" si="25"/>
        <v>0</v>
      </c>
      <c r="I330" s="1692">
        <f t="shared" si="25"/>
        <v>0</v>
      </c>
      <c r="J330" s="1692">
        <f t="shared" si="25"/>
        <v>0</v>
      </c>
      <c r="K330" s="1692">
        <f>SUM(K319:K329)</f>
        <v>2115360</v>
      </c>
      <c r="L330" s="1692">
        <f>SUM(L319:L329)</f>
        <v>2240210</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1955</v>
      </c>
      <c r="C333" s="1856"/>
      <c r="D333" s="1856"/>
      <c r="E333" s="1856"/>
      <c r="F333" s="1856"/>
      <c r="G333" s="1856"/>
      <c r="H333" s="467">
        <v>25032</v>
      </c>
      <c r="I333" s="1856"/>
      <c r="J333" s="1856"/>
      <c r="K333" s="1693">
        <f>H333</f>
        <v>25032</v>
      </c>
      <c r="L333" s="467">
        <v>25100</v>
      </c>
      <c r="M333" s="666"/>
      <c r="N333" s="666"/>
    </row>
    <row r="334" spans="1:14" s="675" customFormat="1" ht="12.75" customHeight="1" thickBot="1" x14ac:dyDescent="0.25">
      <c r="A334" s="1855" t="s">
        <v>1960</v>
      </c>
      <c r="B334" s="1850" t="s">
        <v>914</v>
      </c>
      <c r="C334" s="1856"/>
      <c r="D334" s="1856"/>
      <c r="E334" s="1856"/>
      <c r="F334" s="1856"/>
      <c r="G334" s="1856"/>
      <c r="H334" s="1692">
        <f>SUM(H332:H333)</f>
        <v>25032</v>
      </c>
      <c r="I334" s="1856"/>
      <c r="J334" s="1856"/>
      <c r="K334" s="1692">
        <f>SUM(K332:K333)</f>
        <v>25032</v>
      </c>
      <c r="L334" s="1692">
        <f>SUM(L332:L333)</f>
        <v>25100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1457999</v>
      </c>
      <c r="D342" s="1692">
        <f>SUM(D330)</f>
        <v>82310</v>
      </c>
      <c r="E342" s="1692">
        <f>SUM(E330)</f>
        <v>562518</v>
      </c>
      <c r="F342" s="1692">
        <f>SUM(F330)</f>
        <v>12533</v>
      </c>
      <c r="G342" s="1692">
        <f>SUM(G330)</f>
        <v>0</v>
      </c>
      <c r="H342" s="1692">
        <f>SUM(H330,H334,H340)</f>
        <v>25032</v>
      </c>
      <c r="I342" s="1692">
        <f>SUM(I330)</f>
        <v>0</v>
      </c>
      <c r="J342" s="1692">
        <f>SUM(J330)</f>
        <v>0</v>
      </c>
      <c r="K342" s="1692">
        <f>SUM(K330,K334,K340)</f>
        <v>2140392</v>
      </c>
      <c r="L342" s="1699">
        <f>SUM(L330,L340,L341)</f>
        <v>2240210</v>
      </c>
    </row>
    <row r="343" spans="1:14" ht="12.75" customHeight="1" thickTop="1" x14ac:dyDescent="0.2">
      <c r="A343" s="2187" t="s">
        <v>1052</v>
      </c>
      <c r="B343" s="2188"/>
      <c r="C343" s="617"/>
      <c r="D343" s="617"/>
      <c r="E343" s="617"/>
      <c r="F343" s="617"/>
      <c r="G343" s="617"/>
      <c r="H343" s="617"/>
      <c r="I343" s="617"/>
      <c r="J343" s="617"/>
      <c r="K343" s="1706">
        <f>'Revenues 9-14'!J275-'Expenditures 15-22'!K342</f>
        <v>444892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1022</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v>29634</v>
      </c>
      <c r="F348" s="466"/>
      <c r="G348" s="466">
        <v>124250</v>
      </c>
      <c r="H348" s="466"/>
      <c r="I348" s="467"/>
      <c r="J348" s="467"/>
      <c r="K348" s="1693">
        <f>SUM(C348:J348)</f>
        <v>153884</v>
      </c>
      <c r="L348" s="466">
        <v>979000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29634</v>
      </c>
      <c r="F350" s="1692">
        <f t="shared" si="26"/>
        <v>0</v>
      </c>
      <c r="G350" s="1692">
        <f t="shared" si="26"/>
        <v>124250</v>
      </c>
      <c r="H350" s="1692">
        <f t="shared" si="26"/>
        <v>0</v>
      </c>
      <c r="I350" s="1692">
        <f t="shared" si="26"/>
        <v>0</v>
      </c>
      <c r="J350" s="1692">
        <f t="shared" si="26"/>
        <v>0</v>
      </c>
      <c r="K350" s="1692">
        <f t="shared" si="26"/>
        <v>153884</v>
      </c>
      <c r="L350" s="1692">
        <f t="shared" si="26"/>
        <v>979000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29634</v>
      </c>
      <c r="F352" s="1692">
        <f t="shared" si="27"/>
        <v>0</v>
      </c>
      <c r="G352" s="1692">
        <f t="shared" si="27"/>
        <v>124250</v>
      </c>
      <c r="H352" s="1692">
        <f t="shared" si="27"/>
        <v>0</v>
      </c>
      <c r="I352" s="1692">
        <f t="shared" si="27"/>
        <v>0</v>
      </c>
      <c r="J352" s="1692">
        <f t="shared" si="27"/>
        <v>0</v>
      </c>
      <c r="K352" s="1692">
        <f t="shared" si="27"/>
        <v>153884</v>
      </c>
      <c r="L352" s="1692">
        <f t="shared" si="27"/>
        <v>979000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29634</v>
      </c>
      <c r="F367" s="1692">
        <f t="shared" si="28"/>
        <v>0</v>
      </c>
      <c r="G367" s="1692">
        <f t="shared" si="28"/>
        <v>124250</v>
      </c>
      <c r="H367" s="1692">
        <f t="shared" si="28"/>
        <v>0</v>
      </c>
      <c r="I367" s="1692">
        <f t="shared" si="28"/>
        <v>0</v>
      </c>
      <c r="J367" s="1692">
        <f t="shared" si="28"/>
        <v>0</v>
      </c>
      <c r="K367" s="1692">
        <f t="shared" si="28"/>
        <v>153884</v>
      </c>
      <c r="L367" s="1692">
        <f t="shared" si="28"/>
        <v>979000</v>
      </c>
    </row>
    <row r="368" spans="1:14" ht="13.5" thickTop="1" x14ac:dyDescent="0.2">
      <c r="A368" s="2201" t="s">
        <v>1052</v>
      </c>
      <c r="B368" s="2202"/>
      <c r="C368" s="655"/>
      <c r="D368" s="655"/>
      <c r="E368" s="627"/>
      <c r="F368" s="627"/>
      <c r="G368" s="627"/>
      <c r="H368" s="627"/>
      <c r="I368" s="627"/>
      <c r="J368" s="624"/>
      <c r="K368" s="1693">
        <f>'Revenues 9-14'!K275-'Expenditures 15-22'!K367</f>
        <v>217552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9" sqref="F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3" t="s">
        <v>1901</v>
      </c>
      <c r="B2" s="1550" t="s">
        <v>2033</v>
      </c>
      <c r="C2" s="715" t="s">
        <v>1906</v>
      </c>
      <c r="D2" s="715" t="s">
        <v>1907</v>
      </c>
      <c r="E2" s="715" t="s">
        <v>1908</v>
      </c>
      <c r="F2" s="715" t="s">
        <v>1909</v>
      </c>
    </row>
    <row r="3" spans="1:6" ht="12" customHeight="1" x14ac:dyDescent="0.2">
      <c r="A3" s="2204"/>
      <c r="B3" s="1547"/>
      <c r="C3" s="1548"/>
      <c r="D3" s="1549" t="s">
        <v>274</v>
      </c>
      <c r="E3" s="1548"/>
      <c r="F3" s="1549" t="s">
        <v>275</v>
      </c>
    </row>
    <row r="4" spans="1:6" ht="13.7" customHeight="1" x14ac:dyDescent="0.2">
      <c r="A4" s="716" t="s">
        <v>1216</v>
      </c>
      <c r="B4" s="1771">
        <f>'Revenues 9-14'!C5</f>
        <v>10084997</v>
      </c>
      <c r="C4" s="1546"/>
      <c r="D4" s="1774">
        <f>B4-C4</f>
        <v>10084997</v>
      </c>
      <c r="E4" s="1546">
        <v>9041868</v>
      </c>
      <c r="F4" s="1774">
        <f>E4-C4</f>
        <v>9041868</v>
      </c>
    </row>
    <row r="5" spans="1:6" ht="13.7" customHeight="1" x14ac:dyDescent="0.2">
      <c r="A5" s="716" t="s">
        <v>924</v>
      </c>
      <c r="B5" s="1772">
        <f>'Revenues 9-14'!D5</f>
        <v>2881418</v>
      </c>
      <c r="C5" s="585"/>
      <c r="D5" s="1775">
        <f t="shared" ref="D5:D18" si="0">B5-C5</f>
        <v>2881418</v>
      </c>
      <c r="E5" s="585">
        <v>2583391</v>
      </c>
      <c r="F5" s="1775">
        <f>E5-C5</f>
        <v>2583391</v>
      </c>
    </row>
    <row r="6" spans="1:6" ht="13.7" customHeight="1" x14ac:dyDescent="0.2">
      <c r="A6" s="716" t="s">
        <v>430</v>
      </c>
      <c r="B6" s="1772">
        <f>'Revenues 9-14'!E5</f>
        <v>3988946</v>
      </c>
      <c r="C6" s="585"/>
      <c r="D6" s="1775">
        <f t="shared" si="0"/>
        <v>3988946</v>
      </c>
      <c r="E6" s="585">
        <v>3518578</v>
      </c>
      <c r="F6" s="1775">
        <f t="shared" ref="F6:F18" si="1">E6-C6</f>
        <v>3518578</v>
      </c>
    </row>
    <row r="7" spans="1:6" ht="13.7" customHeight="1" x14ac:dyDescent="0.2">
      <c r="A7" s="716" t="s">
        <v>157</v>
      </c>
      <c r="B7" s="1772">
        <f>'Revenues 9-14'!F5</f>
        <v>864426</v>
      </c>
      <c r="C7" s="585"/>
      <c r="D7" s="1775">
        <f t="shared" si="0"/>
        <v>864426</v>
      </c>
      <c r="E7" s="585">
        <v>775017</v>
      </c>
      <c r="F7" s="1775">
        <f t="shared" si="1"/>
        <v>775017</v>
      </c>
    </row>
    <row r="8" spans="1:6" ht="13.7" customHeight="1" x14ac:dyDescent="0.2">
      <c r="A8" s="716" t="s">
        <v>1240</v>
      </c>
      <c r="B8" s="1772">
        <f>'Revenues 9-14'!G5</f>
        <v>500988</v>
      </c>
      <c r="C8" s="585"/>
      <c r="D8" s="1775">
        <f t="shared" si="0"/>
        <v>500988</v>
      </c>
      <c r="E8" s="585">
        <v>481157</v>
      </c>
      <c r="F8" s="1775">
        <f t="shared" si="1"/>
        <v>481157</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360181</v>
      </c>
      <c r="C10" s="585"/>
      <c r="D10" s="1775">
        <f t="shared" si="0"/>
        <v>360181</v>
      </c>
      <c r="E10" s="585">
        <v>322924</v>
      </c>
      <c r="F10" s="1775">
        <f t="shared" si="1"/>
        <v>322924</v>
      </c>
    </row>
    <row r="11" spans="1:6" x14ac:dyDescent="0.2">
      <c r="A11" s="716" t="s">
        <v>428</v>
      </c>
      <c r="B11" s="1772">
        <f>'Revenues 9-14'!J5</f>
        <v>2575567</v>
      </c>
      <c r="C11" s="585"/>
      <c r="D11" s="1775">
        <f t="shared" si="0"/>
        <v>2575567</v>
      </c>
      <c r="E11" s="585">
        <v>2372199</v>
      </c>
      <c r="F11" s="1775">
        <f t="shared" si="1"/>
        <v>2372199</v>
      </c>
    </row>
    <row r="12" spans="1:6" ht="13.7" customHeight="1" x14ac:dyDescent="0.2">
      <c r="A12" s="716" t="s">
        <v>159</v>
      </c>
      <c r="B12" s="1772">
        <f>'Revenues 9-14'!K5</f>
        <v>360179</v>
      </c>
      <c r="C12" s="585"/>
      <c r="D12" s="1775">
        <f t="shared" si="0"/>
        <v>360179</v>
      </c>
      <c r="E12" s="585">
        <v>322924</v>
      </c>
      <c r="F12" s="1775">
        <f t="shared" si="1"/>
        <v>322924</v>
      </c>
    </row>
    <row r="13" spans="1:6" ht="13.7" customHeight="1" x14ac:dyDescent="0.2">
      <c r="A13" s="716" t="s">
        <v>992</v>
      </c>
      <c r="B13" s="1772">
        <f>SUM('Revenues 9-14'!C6:D6)</f>
        <v>360180</v>
      </c>
      <c r="C13" s="585"/>
      <c r="D13" s="1775">
        <f t="shared" si="0"/>
        <v>360180</v>
      </c>
      <c r="E13" s="585">
        <v>322924</v>
      </c>
      <c r="F13" s="1775">
        <f t="shared" si="1"/>
        <v>322924</v>
      </c>
    </row>
    <row r="14" spans="1:6" ht="13.7" customHeight="1" x14ac:dyDescent="0.2">
      <c r="A14" s="716" t="s">
        <v>429</v>
      </c>
      <c r="B14" s="1772">
        <f>SUM('Revenues 9-14'!C7:D7,'Revenues 9-14'!F7:H7)</f>
        <v>144078</v>
      </c>
      <c r="C14" s="585"/>
      <c r="D14" s="1775">
        <f t="shared" si="0"/>
        <v>144078</v>
      </c>
      <c r="E14" s="585">
        <v>129170</v>
      </c>
      <c r="F14" s="1775">
        <f t="shared" si="1"/>
        <v>129170</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687733</v>
      </c>
      <c r="C16" s="585"/>
      <c r="D16" s="1775">
        <f t="shared" si="0"/>
        <v>687733</v>
      </c>
      <c r="E16" s="585">
        <v>570284</v>
      </c>
      <c r="F16" s="1775">
        <f t="shared" si="1"/>
        <v>570284</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22808693</v>
      </c>
      <c r="C19" s="1773">
        <f>SUM(C4:C18)</f>
        <v>0</v>
      </c>
      <c r="D19" s="1773">
        <f>SUM(D4:D18)</f>
        <v>22808693</v>
      </c>
      <c r="E19" s="1773">
        <f>SUM(E4:E18)</f>
        <v>20440436</v>
      </c>
      <c r="F19" s="1773">
        <f>SUM(F4:F18)</f>
        <v>20440436</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H39" sqref="H3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649</v>
      </c>
      <c r="B1" s="2210"/>
      <c r="C1" s="722"/>
    </row>
    <row r="2" spans="1:7" ht="33.75" x14ac:dyDescent="0.2">
      <c r="A2" s="2218" t="s">
        <v>1901</v>
      </c>
      <c r="B2" s="2219"/>
      <c r="C2" s="1908" t="s">
        <v>2034</v>
      </c>
      <c r="D2" s="724" t="s">
        <v>2041</v>
      </c>
      <c r="E2" s="724" t="s">
        <v>2042</v>
      </c>
      <c r="F2" s="1908" t="s">
        <v>2035</v>
      </c>
    </row>
    <row r="3" spans="1:7" ht="15.75" customHeight="1" x14ac:dyDescent="0.2">
      <c r="A3" s="2222" t="s">
        <v>1175</v>
      </c>
      <c r="B3" s="2223"/>
      <c r="C3" s="2211"/>
      <c r="D3" s="2212"/>
      <c r="E3" s="2212"/>
      <c r="F3" s="2213"/>
    </row>
    <row r="4" spans="1:7" ht="12.75" customHeight="1" thickBot="1" x14ac:dyDescent="0.25">
      <c r="A4" s="2220" t="s">
        <v>650</v>
      </c>
      <c r="B4" s="2221"/>
      <c r="C4" s="581"/>
      <c r="D4" s="581"/>
      <c r="E4" s="581"/>
      <c r="F4" s="1777">
        <f>SUM(C4+D4)-E4</f>
        <v>0</v>
      </c>
    </row>
    <row r="5" spans="1:7" ht="15.75" customHeight="1" thickTop="1" x14ac:dyDescent="0.2">
      <c r="A5" s="2205" t="s">
        <v>1171</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7" t="s">
        <v>651</v>
      </c>
      <c r="B15" s="2208"/>
      <c r="C15" s="1777">
        <f>SUM(C6:C14)</f>
        <v>0</v>
      </c>
      <c r="D15" s="1777">
        <f>SUM(D6:D14)</f>
        <v>0</v>
      </c>
      <c r="E15" s="1777">
        <f>SUM(E6:E14)</f>
        <v>0</v>
      </c>
      <c r="F15" s="1777">
        <f>SUM(F6:F14)</f>
        <v>0</v>
      </c>
      <c r="G15" s="552"/>
    </row>
    <row r="16" spans="1:7" s="202" customFormat="1" ht="15.75" customHeight="1" thickTop="1" x14ac:dyDescent="0.2">
      <c r="A16" s="2217" t="s">
        <v>1172</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405</v>
      </c>
      <c r="B19" s="2231"/>
      <c r="C19" s="727"/>
      <c r="D19" s="585"/>
      <c r="E19" s="727"/>
      <c r="F19" s="1777">
        <f>SUM(C19+D19)-E19</f>
        <v>0</v>
      </c>
    </row>
    <row r="20" spans="1:11" ht="12.75" customHeight="1" thickTop="1" thickBot="1" x14ac:dyDescent="0.25">
      <c r="A20" s="2230" t="s">
        <v>467</v>
      </c>
      <c r="B20" s="2231"/>
      <c r="C20" s="727"/>
      <c r="D20" s="585"/>
      <c r="E20" s="727"/>
      <c r="F20" s="1777">
        <f>SUM(C20+D20)-E20</f>
        <v>0</v>
      </c>
    </row>
    <row r="21" spans="1:11" ht="14.25" thickTop="1" thickBot="1" x14ac:dyDescent="0.25">
      <c r="A21" s="2207" t="s">
        <v>652</v>
      </c>
      <c r="B21" s="2208"/>
      <c r="C21" s="1777">
        <f>SUM(C17:C20)</f>
        <v>0</v>
      </c>
      <c r="D21" s="1777">
        <f>SUM(D17:D20)</f>
        <v>0</v>
      </c>
      <c r="E21" s="1777">
        <f>SUM(E17:E20)</f>
        <v>0</v>
      </c>
      <c r="F21" s="1777">
        <f>SUM(F17:F20)</f>
        <v>0</v>
      </c>
      <c r="G21" s="552"/>
    </row>
    <row r="22" spans="1:11" ht="15.75" customHeight="1" thickTop="1" x14ac:dyDescent="0.2">
      <c r="A22" s="2232" t="s">
        <v>1173</v>
      </c>
      <c r="B22" s="2206"/>
      <c r="C22" s="2214"/>
      <c r="D22" s="2215"/>
      <c r="E22" s="2215"/>
      <c r="F22" s="2216"/>
    </row>
    <row r="23" spans="1:11" ht="13.5" thickBot="1" x14ac:dyDescent="0.25">
      <c r="A23" s="2220" t="s">
        <v>653</v>
      </c>
      <c r="B23" s="2221"/>
      <c r="C23" s="581"/>
      <c r="D23" s="581"/>
      <c r="E23" s="581"/>
      <c r="F23" s="1777">
        <f>SUM(C23+D23)-E23</f>
        <v>0</v>
      </c>
      <c r="G23" s="552"/>
    </row>
    <row r="24" spans="1:11" ht="15.75" customHeight="1" thickTop="1" x14ac:dyDescent="0.2">
      <c r="A24" s="2232" t="s">
        <v>1174</v>
      </c>
      <c r="B24" s="2206"/>
      <c r="C24" s="2214"/>
      <c r="D24" s="2215"/>
      <c r="E24" s="2215"/>
      <c r="F24" s="2216"/>
    </row>
    <row r="25" spans="1:11" ht="13.5" thickBot="1" x14ac:dyDescent="0.25">
      <c r="A25" s="2220" t="s">
        <v>654</v>
      </c>
      <c r="B25" s="2221"/>
      <c r="C25" s="581"/>
      <c r="D25" s="581"/>
      <c r="E25" s="581"/>
      <c r="F25" s="1777">
        <f>SUM(C25+D25)-E25</f>
        <v>0</v>
      </c>
      <c r="G25" s="552"/>
    </row>
    <row r="26" spans="1:11" ht="15.75" customHeight="1" thickTop="1" x14ac:dyDescent="0.2">
      <c r="A26" s="2205" t="s">
        <v>677</v>
      </c>
      <c r="B26" s="2206"/>
      <c r="C26" s="728"/>
      <c r="D26" s="728"/>
      <c r="E26" s="728"/>
      <c r="F26" s="729"/>
    </row>
    <row r="27" spans="1:11" ht="13.5" thickBot="1" x14ac:dyDescent="0.25">
      <c r="A27" s="2207" t="s">
        <v>1129</v>
      </c>
      <c r="B27" s="2208"/>
      <c r="C27" s="585"/>
      <c r="D27" s="585"/>
      <c r="E27" s="585"/>
      <c r="F27" s="1777">
        <f>SUM(C27+D27)-E27</f>
        <v>0</v>
      </c>
      <c r="G27" s="552"/>
    </row>
    <row r="28" spans="1:11" ht="7.5" customHeight="1" thickTop="1" x14ac:dyDescent="0.2">
      <c r="A28" s="594"/>
    </row>
    <row r="29" spans="1:11" ht="23.25" customHeight="1" x14ac:dyDescent="0.2">
      <c r="A29" s="2233" t="s">
        <v>602</v>
      </c>
      <c r="B29" s="2210"/>
      <c r="C29" s="730"/>
      <c r="D29" s="730"/>
      <c r="E29" s="730"/>
      <c r="F29" s="730"/>
      <c r="G29" s="730"/>
      <c r="H29" s="730"/>
      <c r="I29" s="730"/>
      <c r="J29" s="730"/>
    </row>
    <row r="30" spans="1:11" ht="33.75" x14ac:dyDescent="0.2">
      <c r="A30" s="1551" t="s">
        <v>1130</v>
      </c>
      <c r="B30" s="731" t="s">
        <v>1185</v>
      </c>
      <c r="C30" s="1909" t="s">
        <v>603</v>
      </c>
      <c r="D30" s="1909" t="s">
        <v>1771</v>
      </c>
      <c r="E30" s="1909" t="s">
        <v>2036</v>
      </c>
      <c r="F30" s="1909" t="s">
        <v>2037</v>
      </c>
      <c r="G30" s="1909" t="s">
        <v>2040</v>
      </c>
      <c r="H30" s="1909" t="s">
        <v>2038</v>
      </c>
      <c r="I30" s="1909" t="s">
        <v>2039</v>
      </c>
      <c r="J30" s="1910" t="s">
        <v>2</v>
      </c>
      <c r="K30" s="732"/>
    </row>
    <row r="31" spans="1:11" ht="12" customHeight="1" x14ac:dyDescent="0.2">
      <c r="A31" s="733" t="s">
        <v>2094</v>
      </c>
      <c r="B31" s="734">
        <v>39264</v>
      </c>
      <c r="C31" s="735">
        <v>9991195</v>
      </c>
      <c r="D31" s="736">
        <v>6</v>
      </c>
      <c r="E31" s="735">
        <v>7801379</v>
      </c>
      <c r="F31" s="735"/>
      <c r="G31" s="735"/>
      <c r="H31" s="735">
        <v>289445</v>
      </c>
      <c r="I31" s="1778">
        <f>((E31+F31)-H31)+G31</f>
        <v>7511934</v>
      </c>
      <c r="J31" s="735">
        <v>7214967</v>
      </c>
      <c r="K31" s="737"/>
    </row>
    <row r="32" spans="1:11" ht="12" customHeight="1" x14ac:dyDescent="0.2">
      <c r="A32" s="733" t="s">
        <v>2095</v>
      </c>
      <c r="B32" s="734">
        <v>39493</v>
      </c>
      <c r="C32" s="735">
        <v>4765000</v>
      </c>
      <c r="D32" s="736">
        <v>6</v>
      </c>
      <c r="E32" s="735">
        <v>965000</v>
      </c>
      <c r="F32" s="735"/>
      <c r="G32" s="735"/>
      <c r="H32" s="735">
        <v>560000</v>
      </c>
      <c r="I32" s="1778">
        <f>((E32+F32)-H32)+G32</f>
        <v>405000</v>
      </c>
      <c r="J32" s="735">
        <v>388989</v>
      </c>
      <c r="K32" s="737"/>
    </row>
    <row r="33" spans="1:11" ht="12" customHeight="1" x14ac:dyDescent="0.2">
      <c r="A33" s="733" t="s">
        <v>2096</v>
      </c>
      <c r="B33" s="734">
        <v>39644</v>
      </c>
      <c r="C33" s="735">
        <v>5420000</v>
      </c>
      <c r="D33" s="736">
        <v>6</v>
      </c>
      <c r="E33" s="735">
        <v>2395000</v>
      </c>
      <c r="F33" s="735"/>
      <c r="G33" s="735"/>
      <c r="H33" s="735">
        <v>280000</v>
      </c>
      <c r="I33" s="1778">
        <f t="shared" ref="I33:I48" si="1">((E33+F33)-H33)+G33</f>
        <v>2115000</v>
      </c>
      <c r="J33" s="735">
        <v>2031388</v>
      </c>
      <c r="K33" s="737"/>
    </row>
    <row r="34" spans="1:11" ht="12" customHeight="1" x14ac:dyDescent="0.2">
      <c r="A34" s="733" t="s">
        <v>2097</v>
      </c>
      <c r="B34" s="734">
        <v>39845</v>
      </c>
      <c r="C34" s="735">
        <v>3210000</v>
      </c>
      <c r="D34" s="736">
        <v>3</v>
      </c>
      <c r="E34" s="735">
        <v>1685000</v>
      </c>
      <c r="F34" s="735"/>
      <c r="G34" s="735"/>
      <c r="H34" s="735">
        <v>150000</v>
      </c>
      <c r="I34" s="1778">
        <f t="shared" si="1"/>
        <v>1535000</v>
      </c>
      <c r="J34" s="735">
        <v>1474317</v>
      </c>
      <c r="K34" s="738"/>
    </row>
    <row r="35" spans="1:11" ht="12" customHeight="1" x14ac:dyDescent="0.2">
      <c r="A35" s="733" t="s">
        <v>2098</v>
      </c>
      <c r="B35" s="734">
        <v>41638</v>
      </c>
      <c r="C35" s="739">
        <v>975000</v>
      </c>
      <c r="D35" s="736">
        <v>3</v>
      </c>
      <c r="E35" s="739">
        <v>250000</v>
      </c>
      <c r="F35" s="739"/>
      <c r="G35" s="739"/>
      <c r="H35" s="739">
        <v>250000</v>
      </c>
      <c r="I35" s="1778">
        <f t="shared" si="1"/>
        <v>0</v>
      </c>
      <c r="J35" s="739"/>
      <c r="K35" s="738"/>
    </row>
    <row r="36" spans="1:11" ht="12" customHeight="1" x14ac:dyDescent="0.2">
      <c r="A36" s="733" t="s">
        <v>2099</v>
      </c>
      <c r="B36" s="734">
        <v>41638</v>
      </c>
      <c r="C36" s="735">
        <v>2485000</v>
      </c>
      <c r="D36" s="736">
        <v>3</v>
      </c>
      <c r="E36" s="735">
        <v>605000</v>
      </c>
      <c r="F36" s="735"/>
      <c r="G36" s="735"/>
      <c r="H36" s="735">
        <v>605000</v>
      </c>
      <c r="I36" s="1778">
        <f t="shared" si="1"/>
        <v>0</v>
      </c>
      <c r="J36" s="735"/>
      <c r="K36" s="740"/>
    </row>
    <row r="37" spans="1:11" ht="12" customHeight="1" x14ac:dyDescent="0.2">
      <c r="A37" s="733" t="s">
        <v>2100</v>
      </c>
      <c r="B37" s="734">
        <v>42200</v>
      </c>
      <c r="C37" s="467">
        <v>2390000</v>
      </c>
      <c r="D37" s="741">
        <v>3</v>
      </c>
      <c r="E37" s="467">
        <v>2005000</v>
      </c>
      <c r="F37" s="467"/>
      <c r="G37" s="467"/>
      <c r="H37" s="467"/>
      <c r="I37" s="1778">
        <f t="shared" si="1"/>
        <v>2005000</v>
      </c>
      <c r="J37" s="467">
        <v>1925737</v>
      </c>
      <c r="K37" s="738"/>
    </row>
    <row r="38" spans="1:11" ht="12" customHeight="1" x14ac:dyDescent="0.2">
      <c r="A38" s="733" t="s">
        <v>2101</v>
      </c>
      <c r="B38" s="734">
        <v>42200</v>
      </c>
      <c r="C38" s="735">
        <v>3120000</v>
      </c>
      <c r="D38" s="742">
        <v>3</v>
      </c>
      <c r="E38" s="743">
        <v>3120000</v>
      </c>
      <c r="F38" s="743"/>
      <c r="G38" s="743"/>
      <c r="H38" s="743"/>
      <c r="I38" s="1778">
        <f t="shared" si="1"/>
        <v>3120000</v>
      </c>
      <c r="J38" s="744">
        <v>2996658</v>
      </c>
      <c r="K38" s="745"/>
    </row>
    <row r="39" spans="1:11" ht="12" customHeight="1" x14ac:dyDescent="0.2">
      <c r="A39" s="733" t="s">
        <v>2102</v>
      </c>
      <c r="B39" s="734">
        <v>42200</v>
      </c>
      <c r="C39" s="735">
        <v>1370000</v>
      </c>
      <c r="D39" s="742"/>
      <c r="E39" s="743">
        <v>1315000</v>
      </c>
      <c r="F39" s="743"/>
      <c r="G39" s="743"/>
      <c r="H39" s="743">
        <v>45000</v>
      </c>
      <c r="I39" s="1778">
        <f t="shared" si="1"/>
        <v>1270000</v>
      </c>
      <c r="J39" s="744">
        <v>1219794</v>
      </c>
      <c r="K39" s="745"/>
    </row>
    <row r="40" spans="1:11" ht="12" customHeight="1" x14ac:dyDescent="0.2">
      <c r="A40" s="733" t="s">
        <v>2159</v>
      </c>
      <c r="B40" s="734">
        <v>42494</v>
      </c>
      <c r="C40" s="735">
        <v>9405000</v>
      </c>
      <c r="D40" s="742">
        <v>3</v>
      </c>
      <c r="E40" s="743">
        <v>9185000</v>
      </c>
      <c r="F40" s="743"/>
      <c r="G40" s="743"/>
      <c r="H40" s="743">
        <v>445000</v>
      </c>
      <c r="I40" s="1778">
        <f t="shared" si="1"/>
        <v>8740000</v>
      </c>
      <c r="J40" s="744">
        <v>8394484</v>
      </c>
      <c r="K40" s="745"/>
    </row>
    <row r="41" spans="1:11" ht="12" customHeight="1" x14ac:dyDescent="0.2">
      <c r="A41" s="733" t="s">
        <v>2103</v>
      </c>
      <c r="B41" s="734">
        <v>42494</v>
      </c>
      <c r="C41" s="735">
        <v>5475000</v>
      </c>
      <c r="D41" s="742">
        <v>3</v>
      </c>
      <c r="E41" s="743">
        <v>5475000</v>
      </c>
      <c r="F41" s="743"/>
      <c r="G41" s="743"/>
      <c r="H41" s="743"/>
      <c r="I41" s="1778">
        <f t="shared" si="1"/>
        <v>5475000</v>
      </c>
      <c r="J41" s="744">
        <v>5258559</v>
      </c>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48606195</v>
      </c>
      <c r="D49" s="746"/>
      <c r="E49" s="1778">
        <f t="shared" ref="E49:J49" si="2">SUM(E31:E48)</f>
        <v>34801379</v>
      </c>
      <c r="F49" s="1778">
        <f t="shared" si="2"/>
        <v>0</v>
      </c>
      <c r="G49" s="1778">
        <f t="shared" si="2"/>
        <v>0</v>
      </c>
      <c r="H49" s="1778">
        <f t="shared" si="2"/>
        <v>2624445</v>
      </c>
      <c r="I49" s="1778">
        <f t="shared" si="2"/>
        <v>32176934</v>
      </c>
      <c r="J49" s="1778">
        <f t="shared" si="2"/>
        <v>30904893</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4" t="s">
        <v>604</v>
      </c>
      <c r="C52" s="2225"/>
      <c r="D52" s="2225"/>
      <c r="E52" s="750" t="s">
        <v>899</v>
      </c>
      <c r="F52" s="2226"/>
      <c r="G52" s="2227"/>
      <c r="H52" s="737"/>
      <c r="I52" s="737"/>
      <c r="J52" s="747"/>
    </row>
    <row r="53" spans="1:11" ht="11.25" customHeight="1" x14ac:dyDescent="0.2">
      <c r="A53" s="751" t="s">
        <v>968</v>
      </c>
      <c r="B53" s="752" t="s">
        <v>1007</v>
      </c>
      <c r="C53" s="747"/>
      <c r="D53" s="738"/>
      <c r="E53" s="750" t="s">
        <v>517</v>
      </c>
      <c r="F53" s="2228"/>
      <c r="G53" s="2229"/>
      <c r="H53" s="737"/>
      <c r="I53" s="737"/>
      <c r="J53" s="747"/>
    </row>
    <row r="54" spans="1:11" ht="11.25" customHeight="1" x14ac:dyDescent="0.2">
      <c r="A54" s="753" t="s">
        <v>969</v>
      </c>
      <c r="B54" s="748" t="s">
        <v>1008</v>
      </c>
      <c r="C54" s="747"/>
      <c r="D54" s="738"/>
      <c r="E54" s="750" t="s">
        <v>518</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3" sqref="K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910</v>
      </c>
      <c r="B1" s="2259"/>
      <c r="C1" s="2259"/>
      <c r="D1" s="2259"/>
      <c r="E1" s="2259"/>
      <c r="F1" s="2259"/>
      <c r="G1" s="2260"/>
      <c r="H1" s="1552"/>
      <c r="I1" s="761"/>
      <c r="J1" s="433"/>
    </row>
    <row r="2" spans="1:11" ht="26.25" x14ac:dyDescent="0.2">
      <c r="A2" s="2237" t="s">
        <v>1775</v>
      </c>
      <c r="B2" s="2238"/>
      <c r="C2" s="2238"/>
      <c r="D2" s="2238"/>
      <c r="E2" s="2239"/>
      <c r="F2" s="762" t="s">
        <v>959</v>
      </c>
      <c r="G2" s="763" t="s">
        <v>1772</v>
      </c>
      <c r="H2" s="763" t="s">
        <v>429</v>
      </c>
      <c r="I2" s="763" t="s">
        <v>1219</v>
      </c>
      <c r="J2" s="763" t="s">
        <v>1915</v>
      </c>
      <c r="K2" s="763" t="s">
        <v>140</v>
      </c>
    </row>
    <row r="3" spans="1:11" x14ac:dyDescent="0.2">
      <c r="A3" s="2240" t="s">
        <v>1697</v>
      </c>
      <c r="B3" s="2241"/>
      <c r="C3" s="2241"/>
      <c r="D3" s="2241"/>
      <c r="E3" s="2242"/>
      <c r="F3" s="764"/>
      <c r="G3" s="765"/>
      <c r="H3" s="765"/>
      <c r="I3" s="765"/>
      <c r="J3" s="766"/>
      <c r="K3" s="766"/>
    </row>
    <row r="4" spans="1:11" x14ac:dyDescent="0.2">
      <c r="A4" s="2243" t="s">
        <v>386</v>
      </c>
      <c r="B4" s="2244"/>
      <c r="C4" s="2244"/>
      <c r="D4" s="2244"/>
      <c r="E4" s="2225"/>
      <c r="F4" s="767"/>
      <c r="G4" s="768"/>
      <c r="H4" s="769"/>
      <c r="I4" s="768"/>
      <c r="J4" s="770"/>
      <c r="K4" s="770"/>
    </row>
    <row r="5" spans="1:11" x14ac:dyDescent="0.2">
      <c r="A5" s="2261" t="s">
        <v>1128</v>
      </c>
      <c r="B5" s="2234"/>
      <c r="C5" s="2234"/>
      <c r="D5" s="2234"/>
      <c r="E5" s="2262"/>
      <c r="F5" s="771" t="s">
        <v>902</v>
      </c>
      <c r="G5" s="772"/>
      <c r="H5" s="765">
        <v>144078</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61" t="s">
        <v>1916</v>
      </c>
      <c r="B10" s="2234"/>
      <c r="C10" s="2234"/>
      <c r="D10" s="2234"/>
      <c r="E10" s="2263"/>
      <c r="F10" s="784" t="s">
        <v>916</v>
      </c>
      <c r="G10" s="783"/>
      <c r="H10" s="785"/>
      <c r="I10" s="765"/>
      <c r="J10" s="766"/>
      <c r="K10" s="766"/>
    </row>
    <row r="11" spans="1:11" x14ac:dyDescent="0.2">
      <c r="A11" s="2261" t="s">
        <v>162</v>
      </c>
      <c r="B11" s="2234"/>
      <c r="C11" s="2234"/>
      <c r="D11" s="2234"/>
      <c r="E11" s="2262"/>
      <c r="F11" s="771" t="s">
        <v>906</v>
      </c>
      <c r="G11" s="772"/>
      <c r="H11" s="765"/>
      <c r="I11" s="765"/>
      <c r="J11" s="766"/>
      <c r="K11" s="774"/>
    </row>
    <row r="12" spans="1:11" ht="13.5" thickBot="1" x14ac:dyDescent="0.25">
      <c r="A12" s="2251" t="s">
        <v>960</v>
      </c>
      <c r="B12" s="2252"/>
      <c r="C12" s="2252"/>
      <c r="D12" s="2252"/>
      <c r="E12" s="2253"/>
      <c r="F12" s="1779"/>
      <c r="G12" s="1780">
        <f>SUM(G5:G11)</f>
        <v>0</v>
      </c>
      <c r="H12" s="1780">
        <f>SUM(H5:H11)</f>
        <v>144078</v>
      </c>
      <c r="I12" s="1780">
        <f>SUM(I5:I11)</f>
        <v>0</v>
      </c>
      <c r="J12" s="1780">
        <f>SUM(J5:J11)</f>
        <v>0</v>
      </c>
      <c r="K12" s="1780">
        <f>SUM(K5:K11)</f>
        <v>0</v>
      </c>
    </row>
    <row r="13" spans="1:11" ht="13.5" thickTop="1" x14ac:dyDescent="0.2">
      <c r="A13" s="2245" t="s">
        <v>387</v>
      </c>
      <c r="B13" s="2246"/>
      <c r="C13" s="2246"/>
      <c r="D13" s="2246"/>
      <c r="E13" s="2247"/>
      <c r="F13" s="786"/>
      <c r="G13" s="787"/>
      <c r="H13" s="788"/>
      <c r="I13" s="789"/>
      <c r="J13" s="789"/>
      <c r="K13" s="789"/>
    </row>
    <row r="14" spans="1:11" x14ac:dyDescent="0.2">
      <c r="A14" s="2267" t="s">
        <v>475</v>
      </c>
      <c r="B14" s="2267"/>
      <c r="C14" s="2267"/>
      <c r="D14" s="2267"/>
      <c r="E14" s="2268"/>
      <c r="F14" s="790" t="s">
        <v>908</v>
      </c>
      <c r="G14" s="783"/>
      <c r="H14" s="765">
        <v>144078</v>
      </c>
      <c r="I14" s="772"/>
      <c r="J14" s="774"/>
      <c r="K14" s="766"/>
    </row>
    <row r="15" spans="1:11" x14ac:dyDescent="0.2">
      <c r="A15" s="2234" t="s">
        <v>4</v>
      </c>
      <c r="B15" s="2234"/>
      <c r="C15" s="2234"/>
      <c r="D15" s="2234"/>
      <c r="E15" s="2262"/>
      <c r="F15" s="790" t="s">
        <v>909</v>
      </c>
      <c r="G15" s="772"/>
      <c r="H15" s="765"/>
      <c r="I15" s="765"/>
      <c r="J15" s="766"/>
      <c r="K15" s="766"/>
    </row>
    <row r="16" spans="1:11" x14ac:dyDescent="0.2">
      <c r="A16" s="2234" t="s">
        <v>315</v>
      </c>
      <c r="B16" s="2234"/>
      <c r="C16" s="2234"/>
      <c r="D16" s="2234"/>
      <c r="E16" s="2262"/>
      <c r="F16" s="790" t="s">
        <v>979</v>
      </c>
      <c r="G16" s="773"/>
      <c r="H16" s="768"/>
      <c r="I16" s="768"/>
      <c r="J16" s="770"/>
      <c r="K16" s="770"/>
    </row>
    <row r="17" spans="1:11" x14ac:dyDescent="0.2">
      <c r="A17" s="2256" t="s">
        <v>991</v>
      </c>
      <c r="B17" s="2256"/>
      <c r="C17" s="2256"/>
      <c r="D17" s="2256"/>
      <c r="E17" s="2257"/>
      <c r="F17" s="791"/>
      <c r="G17" s="792"/>
      <c r="H17" s="793"/>
      <c r="I17" s="793"/>
      <c r="J17" s="794"/>
      <c r="K17" s="795"/>
    </row>
    <row r="18" spans="1:11" x14ac:dyDescent="0.2">
      <c r="A18" s="2248" t="s">
        <v>385</v>
      </c>
      <c r="B18" s="2249"/>
      <c r="C18" s="2249"/>
      <c r="D18" s="2249"/>
      <c r="E18" s="2250"/>
      <c r="F18" s="790" t="s">
        <v>988</v>
      </c>
      <c r="G18" s="783"/>
      <c r="H18" s="783"/>
      <c r="I18" s="783"/>
      <c r="J18" s="766"/>
      <c r="K18" s="796"/>
    </row>
    <row r="19" spans="1:11" ht="21.75" customHeight="1" x14ac:dyDescent="0.2">
      <c r="A19" s="2269" t="s">
        <v>1912</v>
      </c>
      <c r="B19" s="2269"/>
      <c r="C19" s="2269"/>
      <c r="D19" s="2269"/>
      <c r="E19" s="2270"/>
      <c r="F19" s="790" t="s">
        <v>989</v>
      </c>
      <c r="G19" s="783"/>
      <c r="H19" s="783"/>
      <c r="I19" s="783"/>
      <c r="J19" s="766"/>
      <c r="K19" s="796"/>
    </row>
    <row r="20" spans="1:11" x14ac:dyDescent="0.2">
      <c r="A20" s="2248" t="s">
        <v>1917</v>
      </c>
      <c r="B20" s="2249"/>
      <c r="C20" s="2249"/>
      <c r="D20" s="2249"/>
      <c r="E20" s="2250"/>
      <c r="F20" s="790" t="s">
        <v>990</v>
      </c>
      <c r="G20" s="783"/>
      <c r="H20" s="783"/>
      <c r="I20" s="783"/>
      <c r="J20" s="766"/>
      <c r="K20" s="796"/>
    </row>
    <row r="21" spans="1:11" ht="13.5" thickBot="1" x14ac:dyDescent="0.25">
      <c r="A21" s="2254" t="s">
        <v>658</v>
      </c>
      <c r="B21" s="2254"/>
      <c r="C21" s="2254"/>
      <c r="D21" s="2254"/>
      <c r="E21" s="2254"/>
      <c r="F21" s="1781"/>
      <c r="G21" s="793"/>
      <c r="H21" s="797"/>
      <c r="I21" s="797"/>
      <c r="J21" s="1782">
        <f>SUM(J18:J20)</f>
        <v>0</v>
      </c>
      <c r="K21" s="794"/>
    </row>
    <row r="22" spans="1:11" ht="13.5" thickTop="1" x14ac:dyDescent="0.2">
      <c r="A22" s="2234" t="s">
        <v>1918</v>
      </c>
      <c r="B22" s="2234"/>
      <c r="C22" s="2234"/>
      <c r="D22" s="2234"/>
      <c r="E22" s="2262"/>
      <c r="F22" s="790" t="s">
        <v>916</v>
      </c>
      <c r="G22" s="783"/>
      <c r="H22" s="765"/>
      <c r="I22" s="765"/>
      <c r="J22" s="798"/>
      <c r="K22" s="766"/>
    </row>
    <row r="23" spans="1:11" ht="13.5" thickBot="1" x14ac:dyDescent="0.25">
      <c r="A23" s="2255" t="s">
        <v>961</v>
      </c>
      <c r="B23" s="2254"/>
      <c r="C23" s="2254"/>
      <c r="D23" s="2254"/>
      <c r="E23" s="2254"/>
      <c r="F23" s="1783"/>
      <c r="G23" s="1780">
        <f>SUM(G14:G16,G21,G22)</f>
        <v>0</v>
      </c>
      <c r="H23" s="1780">
        <f>SUM(H14:H16,H21,H22)</f>
        <v>144078</v>
      </c>
      <c r="I23" s="1780">
        <f>SUM(I14:I16,I21,I22)</f>
        <v>0</v>
      </c>
      <c r="J23" s="1780">
        <f>SUM(J14:J16,J21,J22)</f>
        <v>0</v>
      </c>
      <c r="K23" s="1780">
        <f>SUM(K14:K16,K21,K22)</f>
        <v>0</v>
      </c>
    </row>
    <row r="24" spans="1:11" ht="14.25" thickTop="1" thickBot="1" x14ac:dyDescent="0.25">
      <c r="A24" s="2255" t="s">
        <v>2022</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2032</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4"/>
      <c r="I31" s="2265"/>
      <c r="J31" s="2265"/>
      <c r="K31" s="2265"/>
    </row>
    <row r="32" spans="1:11" x14ac:dyDescent="0.2">
      <c r="A32" s="810"/>
      <c r="B32" s="237"/>
      <c r="C32" s="237"/>
      <c r="D32" s="237"/>
      <c r="E32" s="806"/>
      <c r="F32" s="812" t="s">
        <v>560</v>
      </c>
      <c r="G32" s="765"/>
      <c r="H32" s="2266"/>
      <c r="I32" s="2265"/>
      <c r="J32" s="2265"/>
      <c r="K32" s="2265"/>
    </row>
    <row r="33" spans="1:11" ht="1.5" customHeight="1" x14ac:dyDescent="0.2">
      <c r="A33" s="813" t="s">
        <v>1230</v>
      </c>
      <c r="B33" s="364"/>
      <c r="C33" s="364"/>
      <c r="D33" s="364"/>
      <c r="E33" s="364"/>
      <c r="F33" s="364"/>
      <c r="G33" s="814"/>
      <c r="H33" s="2266"/>
      <c r="I33" s="2265"/>
      <c r="J33" s="2265"/>
      <c r="K33" s="2265"/>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4" t="s">
        <v>561</v>
      </c>
      <c r="B41" s="2235"/>
      <c r="C41" s="2235"/>
      <c r="D41" s="2235"/>
      <c r="E41" s="2235"/>
      <c r="F41" s="2236"/>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2031</v>
      </c>
      <c r="B1" s="2274"/>
      <c r="C1" s="2275"/>
      <c r="D1" s="827"/>
      <c r="E1" s="828"/>
      <c r="F1" s="828"/>
      <c r="G1" s="829"/>
      <c r="H1" s="830"/>
      <c r="I1" s="831"/>
      <c r="J1" s="2271"/>
      <c r="K1" s="2272"/>
      <c r="L1" s="2272"/>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2935335</v>
      </c>
      <c r="D5" s="842"/>
      <c r="E5" s="842"/>
      <c r="F5" s="1782">
        <f>(C5+D5)-E5</f>
        <v>2935335</v>
      </c>
      <c r="G5" s="838"/>
      <c r="H5" s="843"/>
      <c r="I5" s="843"/>
      <c r="J5" s="843"/>
      <c r="K5" s="794"/>
      <c r="L5" s="1791">
        <f>F5-K5</f>
        <v>2935335</v>
      </c>
    </row>
    <row r="6" spans="1:14" ht="14.25" thickTop="1" thickBot="1" x14ac:dyDescent="0.25">
      <c r="A6" s="779" t="s">
        <v>1178</v>
      </c>
      <c r="B6" s="841">
        <v>222</v>
      </c>
      <c r="C6" s="766">
        <v>2377431</v>
      </c>
      <c r="D6" s="766"/>
      <c r="E6" s="766"/>
      <c r="F6" s="1782">
        <f>(C6+D6)-E6</f>
        <v>2377431</v>
      </c>
      <c r="G6" s="838">
        <v>50</v>
      </c>
      <c r="H6" s="766">
        <v>1769452</v>
      </c>
      <c r="I6" s="766">
        <v>76423</v>
      </c>
      <c r="J6" s="766"/>
      <c r="K6" s="1791">
        <f>(H6+I6)-J6</f>
        <v>1845875</v>
      </c>
      <c r="L6" s="1791">
        <f>F6-K6</f>
        <v>531556</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69228193</v>
      </c>
      <c r="D8" s="845">
        <v>122600</v>
      </c>
      <c r="E8" s="845"/>
      <c r="F8" s="1782">
        <f>(C8+D8)-E8</f>
        <v>69350793</v>
      </c>
      <c r="G8" s="844">
        <v>50</v>
      </c>
      <c r="H8" s="766">
        <v>21658320</v>
      </c>
      <c r="I8" s="766">
        <v>1750073</v>
      </c>
      <c r="J8" s="766"/>
      <c r="K8" s="1791">
        <f>(H8+I8)-J8</f>
        <v>23408393</v>
      </c>
      <c r="L8" s="1791">
        <f>F8-K8</f>
        <v>45942400</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c r="D10" s="847"/>
      <c r="E10" s="847"/>
      <c r="F10" s="1786">
        <f>(C10+D10)-E10</f>
        <v>0</v>
      </c>
      <c r="G10" s="844">
        <v>20</v>
      </c>
      <c r="H10" s="848"/>
      <c r="I10" s="848"/>
      <c r="J10" s="848"/>
      <c r="K10" s="1791">
        <f>(H10+I10)-J10</f>
        <v>0</v>
      </c>
      <c r="L10" s="1791">
        <f>F10-K10</f>
        <v>0</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4951699</v>
      </c>
      <c r="D12" s="845">
        <v>92165</v>
      </c>
      <c r="E12" s="845"/>
      <c r="F12" s="1782">
        <f>(C12+D12)-E12</f>
        <v>5043864</v>
      </c>
      <c r="G12" s="844">
        <v>10</v>
      </c>
      <c r="H12" s="766">
        <v>4511206</v>
      </c>
      <c r="I12" s="766">
        <v>143379</v>
      </c>
      <c r="J12" s="766"/>
      <c r="K12" s="1791">
        <f>(H12+I12)-J12</f>
        <v>4654585</v>
      </c>
      <c r="L12" s="1791">
        <f>F12-K12</f>
        <v>389279</v>
      </c>
    </row>
    <row r="13" spans="1:14" ht="14.25" thickTop="1" thickBot="1" x14ac:dyDescent="0.25">
      <c r="A13" s="849" t="s">
        <v>1183</v>
      </c>
      <c r="B13" s="841">
        <v>252</v>
      </c>
      <c r="C13" s="845">
        <v>810631</v>
      </c>
      <c r="D13" s="845"/>
      <c r="E13" s="845"/>
      <c r="F13" s="1782">
        <f>(C13+D13)-E13</f>
        <v>810631</v>
      </c>
      <c r="G13" s="844">
        <v>5</v>
      </c>
      <c r="H13" s="766">
        <v>649012</v>
      </c>
      <c r="I13" s="766">
        <v>142133</v>
      </c>
      <c r="J13" s="766"/>
      <c r="K13" s="1791">
        <f>(H13+I13)-J13</f>
        <v>791145</v>
      </c>
      <c r="L13" s="1791">
        <f>F13-K13</f>
        <v>19486</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80303289</v>
      </c>
      <c r="D16" s="1782">
        <f>SUM(D3,D5:D6,D8:D10,D12:D15)</f>
        <v>214765</v>
      </c>
      <c r="E16" s="1782">
        <f>SUM(E3,E5:E6,E8:E10,E12:E15)</f>
        <v>0</v>
      </c>
      <c r="F16" s="1782">
        <f>SUM(F3,F5:F6,F8:F10,F12:F15)</f>
        <v>80518054</v>
      </c>
      <c r="G16" s="844"/>
      <c r="H16" s="1782">
        <f>SUM(H3,H6,H8:H10,H12:H14,)</f>
        <v>28587990</v>
      </c>
      <c r="I16" s="1782">
        <f>SUM(I3,I6,I8:I10,I12:I14,)</f>
        <v>2112008</v>
      </c>
      <c r="J16" s="1782">
        <f>SUM(J3,J6,J8:J10,J12:J14,)</f>
        <v>0</v>
      </c>
      <c r="K16" s="1782">
        <f>(H16+I16)-J16</f>
        <v>30699998</v>
      </c>
      <c r="L16" s="1782">
        <f>F16-K16</f>
        <v>49818056</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12540</v>
      </c>
      <c r="G17" s="838">
        <v>10</v>
      </c>
      <c r="H17" s="770"/>
      <c r="I17" s="1791">
        <f>F17/G17</f>
        <v>1254</v>
      </c>
      <c r="J17" s="770"/>
      <c r="K17" s="796"/>
      <c r="L17" s="796"/>
    </row>
    <row r="18" spans="1:12" ht="14.25" thickTop="1" thickBot="1" x14ac:dyDescent="0.25">
      <c r="A18" s="1789" t="s">
        <v>705</v>
      </c>
      <c r="B18" s="1790"/>
      <c r="C18" s="772"/>
      <c r="D18" s="772"/>
      <c r="E18" s="772"/>
      <c r="F18" s="851"/>
      <c r="G18" s="852"/>
      <c r="H18" s="774"/>
      <c r="I18" s="1782">
        <f>SUM(I16,I17)</f>
        <v>2113262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9"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1698</v>
      </c>
      <c r="B1" s="2280"/>
      <c r="C1" s="2280"/>
      <c r="D1" s="2280"/>
      <c r="E1" s="2280"/>
      <c r="F1" s="2281"/>
      <c r="G1" s="856"/>
    </row>
    <row r="2" spans="1:7" ht="15" customHeight="1" thickBot="1" x14ac:dyDescent="0.25">
      <c r="A2" s="2282" t="s">
        <v>497</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22148709</v>
      </c>
      <c r="G8" s="866"/>
    </row>
    <row r="9" spans="1:7" x14ac:dyDescent="0.2">
      <c r="A9" s="870" t="s">
        <v>479</v>
      </c>
      <c r="B9" s="871" t="s">
        <v>1985</v>
      </c>
      <c r="C9" s="872"/>
      <c r="D9" s="870" t="s">
        <v>521</v>
      </c>
      <c r="E9" s="869"/>
      <c r="F9" s="1934">
        <f>'Expenditures 15-22'!K151</f>
        <v>2903323</v>
      </c>
      <c r="G9" s="873"/>
    </row>
    <row r="10" spans="1:7" x14ac:dyDescent="0.2">
      <c r="A10" s="870" t="s">
        <v>519</v>
      </c>
      <c r="B10" s="871" t="s">
        <v>1986</v>
      </c>
      <c r="C10" s="872"/>
      <c r="D10" s="870" t="s">
        <v>521</v>
      </c>
      <c r="E10" s="869"/>
      <c r="F10" s="1934">
        <f>'Expenditures 15-22'!K174</f>
        <v>3496441</v>
      </c>
      <c r="G10" s="873"/>
    </row>
    <row r="11" spans="1:7" x14ac:dyDescent="0.2">
      <c r="A11" s="870" t="s">
        <v>480</v>
      </c>
      <c r="B11" s="871" t="s">
        <v>1987</v>
      </c>
      <c r="C11" s="872"/>
      <c r="D11" s="870" t="s">
        <v>521</v>
      </c>
      <c r="E11" s="869"/>
      <c r="F11" s="1934">
        <f>'Expenditures 15-22'!K210</f>
        <v>1847973</v>
      </c>
      <c r="G11" s="873"/>
    </row>
    <row r="12" spans="1:7" x14ac:dyDescent="0.2">
      <c r="A12" s="870" t="s">
        <v>481</v>
      </c>
      <c r="B12" s="871" t="s">
        <v>1988</v>
      </c>
      <c r="C12" s="872"/>
      <c r="D12" s="870" t="s">
        <v>521</v>
      </c>
      <c r="E12" s="869"/>
      <c r="F12" s="1934">
        <f>'Expenditures 15-22'!K295</f>
        <v>1035758</v>
      </c>
      <c r="G12" s="873"/>
    </row>
    <row r="13" spans="1:7" x14ac:dyDescent="0.2">
      <c r="A13" s="870" t="s">
        <v>108</v>
      </c>
      <c r="B13" s="871" t="s">
        <v>1989</v>
      </c>
      <c r="C13" s="872"/>
      <c r="D13" s="870" t="s">
        <v>521</v>
      </c>
      <c r="E13" s="869"/>
      <c r="F13" s="1934">
        <f>'Expenditures 15-22'!K342</f>
        <v>2140392</v>
      </c>
      <c r="G13" s="874"/>
    </row>
    <row r="14" spans="1:7" ht="12" customHeight="1" thickBot="1" x14ac:dyDescent="0.25">
      <c r="A14" s="1792"/>
      <c r="B14" s="1793"/>
      <c r="C14" s="1794"/>
      <c r="D14" s="1795" t="s">
        <v>521</v>
      </c>
      <c r="E14" s="1796" t="s">
        <v>1014</v>
      </c>
      <c r="F14" s="1797">
        <f>SUM(F8:F13)</f>
        <v>33572596</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141281</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167402</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41170</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1106075</v>
      </c>
      <c r="G52" s="866"/>
    </row>
    <row r="53" spans="1:7" x14ac:dyDescent="0.2">
      <c r="A53" s="870" t="s">
        <v>478</v>
      </c>
      <c r="B53" s="870" t="s">
        <v>1550</v>
      </c>
      <c r="C53" s="890">
        <f>'Expenditures 15-22'!B102</f>
        <v>4000</v>
      </c>
      <c r="D53" s="889" t="str">
        <f>'Expenditures 15-22'!A102</f>
        <v>Total Payments to Other Govt Units</v>
      </c>
      <c r="E53" s="869"/>
      <c r="F53" s="1938">
        <f>'Expenditures 15-22'!K102</f>
        <v>790656</v>
      </c>
      <c r="G53" s="866"/>
    </row>
    <row r="54" spans="1:7" x14ac:dyDescent="0.2">
      <c r="A54" s="870" t="s">
        <v>478</v>
      </c>
      <c r="B54" s="870" t="s">
        <v>1551</v>
      </c>
      <c r="C54" s="890" t="s">
        <v>1038</v>
      </c>
      <c r="D54" s="886" t="s">
        <v>1156</v>
      </c>
      <c r="E54" s="869"/>
      <c r="F54" s="1938">
        <f>'Expenditures 15-22'!G114</f>
        <v>37809</v>
      </c>
      <c r="G54" s="866"/>
    </row>
    <row r="55" spans="1:7" x14ac:dyDescent="0.2">
      <c r="A55" s="870" t="s">
        <v>478</v>
      </c>
      <c r="B55" s="870" t="s">
        <v>1552</v>
      </c>
      <c r="C55" s="890" t="s">
        <v>1038</v>
      </c>
      <c r="D55" s="886" t="s">
        <v>308</v>
      </c>
      <c r="E55" s="869"/>
      <c r="F55" s="1938">
        <f>'Expenditures 15-22'!I114</f>
        <v>12540</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8">
        <f>'Expenditures 15-22'!K139</f>
        <v>0</v>
      </c>
      <c r="G57" s="866"/>
    </row>
    <row r="58" spans="1:7" x14ac:dyDescent="0.2">
      <c r="A58" s="870" t="s">
        <v>479</v>
      </c>
      <c r="B58" s="870" t="s">
        <v>1991</v>
      </c>
      <c r="C58" s="887" t="s">
        <v>1038</v>
      </c>
      <c r="D58" s="886" t="s">
        <v>1156</v>
      </c>
      <c r="E58" s="869"/>
      <c r="F58" s="1940">
        <f>'Expenditures 15-22'!G151</f>
        <v>23577</v>
      </c>
      <c r="G58" s="866"/>
    </row>
    <row r="59" spans="1:7" x14ac:dyDescent="0.2">
      <c r="A59" s="894" t="s">
        <v>479</v>
      </c>
      <c r="B59" s="857" t="s">
        <v>1992</v>
      </c>
      <c r="C59" s="895" t="s">
        <v>1038</v>
      </c>
      <c r="D59" s="857" t="s">
        <v>308</v>
      </c>
      <c r="F59" s="1941">
        <f>'Expenditures 15-22'!I151</f>
        <v>0</v>
      </c>
      <c r="G59" s="866"/>
    </row>
    <row r="60" spans="1:7" x14ac:dyDescent="0.2">
      <c r="A60" s="894" t="s">
        <v>519</v>
      </c>
      <c r="B60" s="857" t="s">
        <v>1993</v>
      </c>
      <c r="C60" s="895">
        <v>4000</v>
      </c>
      <c r="D60" s="857" t="s">
        <v>329</v>
      </c>
      <c r="F60" s="1939">
        <f>'Expenditures 15-22'!K160</f>
        <v>0</v>
      </c>
      <c r="G60" s="866"/>
    </row>
    <row r="61" spans="1:7" x14ac:dyDescent="0.2">
      <c r="A61" s="896" t="s">
        <v>519</v>
      </c>
      <c r="B61" s="896" t="s">
        <v>1994</v>
      </c>
      <c r="C61" s="897" t="str">
        <f>'Expenditures 15-22'!B170</f>
        <v>5300</v>
      </c>
      <c r="D61" s="898" t="s">
        <v>328</v>
      </c>
      <c r="E61" s="880"/>
      <c r="F61" s="1938">
        <f>'Expenditures 15-22'!K170</f>
        <v>2624445</v>
      </c>
      <c r="G61" s="866"/>
    </row>
    <row r="62" spans="1:7" x14ac:dyDescent="0.2">
      <c r="A62" s="870" t="s">
        <v>480</v>
      </c>
      <c r="B62" s="870" t="s">
        <v>1995</v>
      </c>
      <c r="C62" s="887">
        <f>'Expenditures 15-22'!B185</f>
        <v>3000</v>
      </c>
      <c r="D62" s="877" t="s">
        <v>468</v>
      </c>
      <c r="E62" s="869"/>
      <c r="F62" s="1938">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1997</v>
      </c>
      <c r="C64" s="897" t="str">
        <f>'Expenditures 15-22'!B206</f>
        <v>5300</v>
      </c>
      <c r="D64" s="893" t="s">
        <v>328</v>
      </c>
      <c r="E64" s="869"/>
      <c r="F64" s="1938">
        <f>'Expenditures 15-22'!K206</f>
        <v>0</v>
      </c>
      <c r="G64" s="866"/>
    </row>
    <row r="65" spans="1:8" x14ac:dyDescent="0.2">
      <c r="A65" s="870" t="s">
        <v>480</v>
      </c>
      <c r="B65" s="870" t="s">
        <v>1998</v>
      </c>
      <c r="C65" s="887" t="s">
        <v>1038</v>
      </c>
      <c r="D65" s="886" t="s">
        <v>1156</v>
      </c>
      <c r="E65" s="869"/>
      <c r="F65" s="1938">
        <f>'Expenditures 15-22'!G210</f>
        <v>0</v>
      </c>
      <c r="G65" s="866"/>
    </row>
    <row r="66" spans="1:8" x14ac:dyDescent="0.2">
      <c r="A66" s="870" t="s">
        <v>480</v>
      </c>
      <c r="B66" s="870" t="s">
        <v>1999</v>
      </c>
      <c r="C66" s="887" t="s">
        <v>1038</v>
      </c>
      <c r="D66" s="886" t="s">
        <v>308</v>
      </c>
      <c r="E66" s="869"/>
      <c r="F66" s="1938">
        <f>'Expenditures 15-22'!I210</f>
        <v>0</v>
      </c>
      <c r="G66" s="866"/>
    </row>
    <row r="67" spans="1:8" x14ac:dyDescent="0.2">
      <c r="A67" s="870" t="s">
        <v>481</v>
      </c>
      <c r="B67" s="870" t="s">
        <v>2000</v>
      </c>
      <c r="C67" s="887" t="str">
        <f>'Expenditures 15-22'!B216</f>
        <v>1125</v>
      </c>
      <c r="D67" s="893" t="str">
        <f>'Expenditures 15-22'!A216</f>
        <v>Pre-K Programs</v>
      </c>
      <c r="E67" s="869"/>
      <c r="F67" s="1938">
        <f>'Expenditures 15-22'!K216</f>
        <v>5923</v>
      </c>
      <c r="G67" s="866"/>
    </row>
    <row r="68" spans="1:8" x14ac:dyDescent="0.2">
      <c r="A68" s="870" t="s">
        <v>481</v>
      </c>
      <c r="B68" s="870" t="s">
        <v>1554</v>
      </c>
      <c r="C68" s="887" t="str">
        <f>'Expenditures 15-22'!B218</f>
        <v>1225</v>
      </c>
      <c r="D68" s="893" t="str">
        <f>'Expenditures 15-22'!A218</f>
        <v>Special Education Programs - Pre-K</v>
      </c>
      <c r="E68" s="869"/>
      <c r="F68" s="1938">
        <f>'Expenditures 15-22'!K218</f>
        <v>8285</v>
      </c>
      <c r="G68" s="866"/>
    </row>
    <row r="69" spans="1:8" x14ac:dyDescent="0.2">
      <c r="A69" s="870" t="s">
        <v>481</v>
      </c>
      <c r="B69" s="870" t="s">
        <v>2001</v>
      </c>
      <c r="C69" s="887" t="str">
        <f>'Expenditures 15-22'!B220</f>
        <v>1275</v>
      </c>
      <c r="D69" s="893" t="str">
        <f>'Expenditures 15-22'!A220</f>
        <v>Remedial and Supplemental Programs - Pre-K</v>
      </c>
      <c r="E69" s="869"/>
      <c r="F69" s="1938">
        <f>'Expenditures 15-22'!K220</f>
        <v>5504</v>
      </c>
      <c r="G69" s="866"/>
    </row>
    <row r="70" spans="1:8" x14ac:dyDescent="0.2">
      <c r="A70" s="870" t="s">
        <v>481</v>
      </c>
      <c r="B70" s="870" t="s">
        <v>2002</v>
      </c>
      <c r="C70" s="887">
        <f>'Expenditures 15-22'!B221</f>
        <v>1300</v>
      </c>
      <c r="D70" s="888" t="str">
        <f>'Expenditures 15-22'!A221</f>
        <v>Adult/Continuing Education Programs</v>
      </c>
      <c r="E70" s="869"/>
      <c r="F70" s="1938">
        <f>'Expenditures 15-22'!K221</f>
        <v>0</v>
      </c>
      <c r="G70" s="866"/>
    </row>
    <row r="71" spans="1:8" x14ac:dyDescent="0.2">
      <c r="A71" s="870" t="s">
        <v>481</v>
      </c>
      <c r="B71" s="870" t="s">
        <v>2003</v>
      </c>
      <c r="C71" s="887">
        <f>'Expenditures 15-22'!B224</f>
        <v>1600</v>
      </c>
      <c r="D71" s="888" t="str">
        <f>'Expenditures 15-22'!A224</f>
        <v>Summer School Programs</v>
      </c>
      <c r="E71" s="869"/>
      <c r="F71" s="1938">
        <f>'Expenditures 15-22'!K224</f>
        <v>0</v>
      </c>
      <c r="G71" s="866"/>
    </row>
    <row r="72" spans="1:8" x14ac:dyDescent="0.2">
      <c r="A72" s="870" t="s">
        <v>481</v>
      </c>
      <c r="B72" s="870" t="s">
        <v>2004</v>
      </c>
      <c r="C72" s="887">
        <f>'Expenditures 15-22'!B280</f>
        <v>3000</v>
      </c>
      <c r="D72" s="877" t="s">
        <v>468</v>
      </c>
      <c r="E72" s="869"/>
      <c r="F72" s="1938">
        <f>'Expenditures 15-22'!K280</f>
        <v>131656</v>
      </c>
      <c r="G72" s="866"/>
    </row>
    <row r="73" spans="1:8" x14ac:dyDescent="0.2">
      <c r="A73" s="870" t="s">
        <v>481</v>
      </c>
      <c r="B73" s="870" t="s">
        <v>2005</v>
      </c>
      <c r="C73" s="887" t="str">
        <f>'Expenditures 15-22'!B285</f>
        <v>4000</v>
      </c>
      <c r="D73" s="888" t="str">
        <f>'Expenditures 15-22'!A285</f>
        <v>Total Payments to Other Govt Units</v>
      </c>
      <c r="E73" s="869"/>
      <c r="F73" s="1938">
        <f>'Expenditures 15-22'!K285</f>
        <v>6192</v>
      </c>
      <c r="G73" s="866"/>
    </row>
    <row r="74" spans="1:8" x14ac:dyDescent="0.2">
      <c r="A74" s="870" t="s">
        <v>455</v>
      </c>
      <c r="B74" s="870" t="s">
        <v>2006</v>
      </c>
      <c r="C74" s="887" t="s">
        <v>914</v>
      </c>
      <c r="D74" s="888" t="s">
        <v>1566</v>
      </c>
      <c r="E74" s="869"/>
      <c r="F74" s="1942">
        <f>'Expenditures 15-22'!K334</f>
        <v>25032</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5127547</v>
      </c>
      <c r="G76" s="866"/>
    </row>
    <row r="77" spans="1:8" s="894" customFormat="1" ht="12" customHeight="1" thickTop="1" thickBot="1" x14ac:dyDescent="0.25">
      <c r="A77" s="1801"/>
      <c r="B77" s="1798"/>
      <c r="C77" s="1794"/>
      <c r="D77" s="1799" t="s">
        <v>2008</v>
      </c>
      <c r="E77" s="1796"/>
      <c r="F77" s="1802">
        <f>(F14-F76)</f>
        <v>28445049</v>
      </c>
      <c r="G77" s="870"/>
    </row>
    <row r="78" spans="1:8" s="894" customFormat="1" ht="12" customHeight="1" thickTop="1" x14ac:dyDescent="0.2">
      <c r="A78" s="1803"/>
      <c r="B78" s="1798"/>
      <c r="C78" s="1794"/>
      <c r="D78" s="1799" t="s">
        <v>2055</v>
      </c>
      <c r="E78" s="1796"/>
      <c r="F78" s="899">
        <v>3427.66</v>
      </c>
      <c r="G78" s="900"/>
      <c r="H78" s="870"/>
    </row>
    <row r="79" spans="1:8" s="894" customFormat="1" ht="12" customHeight="1" thickBot="1" x14ac:dyDescent="0.25">
      <c r="A79" s="1804"/>
      <c r="B79" s="1798"/>
      <c r="C79" s="1794"/>
      <c r="D79" s="1799" t="s">
        <v>2009</v>
      </c>
      <c r="E79" s="1796" t="s">
        <v>1014</v>
      </c>
      <c r="F79" s="1805">
        <f>IF(F78&gt;0,F77/F78," Complete Line 78")</f>
        <v>8298.6786904185374</v>
      </c>
      <c r="G79" s="870"/>
    </row>
    <row r="80" spans="1:8" s="894" customFormat="1" ht="8.25" customHeight="1" thickTop="1" x14ac:dyDescent="0.2">
      <c r="A80" s="901"/>
      <c r="B80" s="870"/>
      <c r="C80" s="872"/>
      <c r="D80" s="902"/>
      <c r="E80" s="869"/>
      <c r="F80" s="903"/>
      <c r="G80" s="870"/>
    </row>
    <row r="81" spans="1:7" s="894" customFormat="1" ht="12" thickBot="1" x14ac:dyDescent="0.25">
      <c r="A81" s="2276" t="s">
        <v>1166</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36121</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771608</v>
      </c>
      <c r="G94" s="913"/>
    </row>
    <row r="95" spans="1:7" x14ac:dyDescent="0.2">
      <c r="A95" s="909" t="s">
        <v>142</v>
      </c>
      <c r="B95" s="909" t="s">
        <v>177</v>
      </c>
      <c r="C95" s="911">
        <v>1700</v>
      </c>
      <c r="D95" s="919" t="str">
        <f>'Revenues 9-14'!A82</f>
        <v>Total District/School Activity Income</v>
      </c>
      <c r="E95" s="907"/>
      <c r="F95" s="1811">
        <f>SUM('Revenues 9-14'!C82,'Revenues 9-14'!D82)</f>
        <v>100222</v>
      </c>
      <c r="G95" s="913"/>
    </row>
    <row r="96" spans="1:7" x14ac:dyDescent="0.2">
      <c r="A96" s="909" t="s">
        <v>478</v>
      </c>
      <c r="B96" s="909" t="s">
        <v>178</v>
      </c>
      <c r="C96" s="911">
        <f>'Revenues 9-14'!B84</f>
        <v>1811</v>
      </c>
      <c r="D96" s="912" t="str">
        <f>'Revenues 9-14'!A84</f>
        <v>Rentals - Regular Textbooks</v>
      </c>
      <c r="E96" s="907"/>
      <c r="F96" s="1811">
        <f>'Revenues 9-14'!C84</f>
        <v>445841</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3605</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27812</v>
      </c>
      <c r="G104" s="913"/>
    </row>
    <row r="105" spans="1:7" x14ac:dyDescent="0.2">
      <c r="A105" s="909" t="s">
        <v>523</v>
      </c>
      <c r="B105" s="909" t="s">
        <v>841</v>
      </c>
      <c r="C105" s="914">
        <v>3100</v>
      </c>
      <c r="D105" s="920" t="str">
        <f>'Revenues 9-14'!A131</f>
        <v>Total Special Education</v>
      </c>
      <c r="E105" s="907"/>
      <c r="F105" s="1811">
        <f>SUM('Revenues 9-14'!C131:D131,'Revenues 9-14'!F131)</f>
        <v>753652</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0</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6026</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0</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1021781</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30063</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515160</v>
      </c>
      <c r="G129" s="931"/>
    </row>
    <row r="130" spans="1:7" x14ac:dyDescent="0.2">
      <c r="A130" s="928" t="s">
        <v>688</v>
      </c>
      <c r="B130" s="928" t="s">
        <v>803</v>
      </c>
      <c r="C130" s="933">
        <v>4300</v>
      </c>
      <c r="D130" s="934" t="str">
        <f>'Revenues 9-14'!A211</f>
        <v>Total Title I</v>
      </c>
      <c r="E130" s="907"/>
      <c r="F130" s="1811">
        <f>SUM('Revenues 9-14'!C211,'Revenues 9-14'!D211,'Revenues 9-14'!F211,'Revenues 9-14'!G211)</f>
        <v>290305</v>
      </c>
      <c r="G130" s="931"/>
    </row>
    <row r="131" spans="1:7" x14ac:dyDescent="0.2">
      <c r="A131" s="928" t="s">
        <v>688</v>
      </c>
      <c r="B131" s="928" t="s">
        <v>804</v>
      </c>
      <c r="C131" s="933">
        <v>4400</v>
      </c>
      <c r="D131" s="934" t="str">
        <f>'Revenues 9-14'!A216</f>
        <v>Total Title IV</v>
      </c>
      <c r="E131" s="907"/>
      <c r="F131" s="1811">
        <f>SUM('Revenues 9-14'!C216,'Revenues 9-14'!D216,'Revenues 9-14'!F216,'Revenues 9-14'!G216)</f>
        <v>1811</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579167</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66095</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268286</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2054</v>
      </c>
      <c r="C175" s="1945">
        <v>3100</v>
      </c>
      <c r="D175" s="1946" t="s">
        <v>2057</v>
      </c>
      <c r="E175" s="907"/>
      <c r="F175" s="1930"/>
      <c r="G175" s="928"/>
    </row>
    <row r="176" spans="1:7" x14ac:dyDescent="0.2">
      <c r="A176" s="1943" t="s">
        <v>684</v>
      </c>
      <c r="B176" s="1944" t="s">
        <v>2054</v>
      </c>
      <c r="C176" s="1945">
        <v>3300</v>
      </c>
      <c r="D176" s="1946" t="s">
        <v>2058</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4917555</v>
      </c>
    </row>
    <row r="179" spans="1:7" ht="12" customHeight="1" x14ac:dyDescent="0.2">
      <c r="A179" s="1792"/>
      <c r="B179" s="1806"/>
      <c r="C179" s="1807"/>
      <c r="D179" s="1808" t="s">
        <v>2011</v>
      </c>
      <c r="E179" s="1809"/>
      <c r="F179" s="1811">
        <f>'PCTC-OEPP 27-28'!F77-F178</f>
        <v>23527494</v>
      </c>
    </row>
    <row r="180" spans="1:7" ht="12" customHeight="1" x14ac:dyDescent="0.2">
      <c r="A180" s="1792"/>
      <c r="B180" s="1806"/>
      <c r="C180" s="1807"/>
      <c r="D180" s="1808" t="s">
        <v>1920</v>
      </c>
      <c r="E180" s="1809"/>
      <c r="F180" s="1811">
        <f>'Cap Outlay Deprec 26'!I18</f>
        <v>2113262</v>
      </c>
    </row>
    <row r="181" spans="1:7" ht="12" customHeight="1" x14ac:dyDescent="0.2">
      <c r="A181" s="1792"/>
      <c r="B181" s="1806"/>
      <c r="C181" s="1807"/>
      <c r="D181" s="1808" t="s">
        <v>2012</v>
      </c>
      <c r="E181" s="1809"/>
      <c r="F181" s="1811">
        <f>F179+F180</f>
        <v>25640756</v>
      </c>
    </row>
    <row r="182" spans="1:7" ht="12" customHeight="1" x14ac:dyDescent="0.2">
      <c r="A182" s="1792"/>
      <c r="B182" s="1812"/>
      <c r="C182" s="1807"/>
      <c r="D182" s="1808" t="str">
        <f>D78</f>
        <v>9 Month ADA from District Average Daily Attendance/Prior General State Aid Inquiry 2017-2018</v>
      </c>
      <c r="E182" s="1809"/>
      <c r="F182" s="1813">
        <f>'PCTC-OEPP 27-28'!F78</f>
        <v>3427.66</v>
      </c>
      <c r="G182" s="931"/>
    </row>
    <row r="183" spans="1:7" ht="12" customHeight="1" thickBot="1" x14ac:dyDescent="0.25">
      <c r="A183" s="1792"/>
      <c r="B183" s="1812"/>
      <c r="C183" s="1807"/>
      <c r="D183" s="1808" t="s">
        <v>2013</v>
      </c>
      <c r="E183" s="1809" t="s">
        <v>1625</v>
      </c>
      <c r="F183" s="1814">
        <f>F181/F182</f>
        <v>7480.5424108575535</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7" customFormat="1" ht="12.2" customHeight="1" x14ac:dyDescent="0.2">
      <c r="A186" s="1947" t="s">
        <v>2061</v>
      </c>
      <c r="B186" s="1948"/>
      <c r="C186" s="1949"/>
      <c r="D186" s="1948"/>
      <c r="E186" s="1949"/>
      <c r="F186" s="1948"/>
      <c r="G186" s="1948"/>
    </row>
    <row r="187" spans="1:7" s="1947" customFormat="1" ht="12.2" customHeight="1" x14ac:dyDescent="0.2">
      <c r="A187" s="1950" t="s">
        <v>2062</v>
      </c>
      <c r="C187" s="1949"/>
      <c r="D187" s="1948"/>
      <c r="E187" s="1949"/>
      <c r="F187" s="1948"/>
      <c r="G187" s="1948"/>
    </row>
    <row r="188" spans="1:7" ht="12" customHeight="1" x14ac:dyDescent="0.2">
      <c r="C188" s="950"/>
      <c r="D188" s="931"/>
      <c r="E188" s="950"/>
      <c r="F188" s="931"/>
      <c r="G188" s="931"/>
    </row>
    <row r="189" spans="1:7" x14ac:dyDescent="0.2">
      <c r="A189" s="1951" t="s">
        <v>2060</v>
      </c>
      <c r="B189" s="1952"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0" t="s">
        <v>1921</v>
      </c>
      <c r="B4" s="2291"/>
      <c r="C4" s="2291"/>
      <c r="D4" s="2291"/>
      <c r="E4" s="2291"/>
      <c r="F4" s="2291"/>
      <c r="G4" s="2292"/>
    </row>
    <row r="5" spans="1:7" x14ac:dyDescent="0.25">
      <c r="A5" s="2293"/>
      <c r="B5" s="2294"/>
      <c r="C5" s="2294"/>
      <c r="D5" s="2294"/>
      <c r="E5" s="2294"/>
      <c r="F5" s="2294"/>
      <c r="G5" s="2295"/>
    </row>
    <row r="6" spans="1:7" ht="18.75" x14ac:dyDescent="0.25">
      <c r="A6" s="1556" t="s">
        <v>1922</v>
      </c>
      <c r="B6" s="1557"/>
      <c r="C6" s="1557"/>
      <c r="D6" s="1557"/>
      <c r="E6" s="1557"/>
      <c r="F6" s="1557"/>
      <c r="G6" s="1558"/>
    </row>
    <row r="7" spans="1:7" ht="30.75" customHeight="1" x14ac:dyDescent="0.25">
      <c r="A7" s="2296" t="s">
        <v>2071</v>
      </c>
      <c r="B7" s="2297"/>
      <c r="C7" s="2297"/>
      <c r="D7" s="2297"/>
      <c r="E7" s="2297"/>
      <c r="F7" s="2297"/>
      <c r="G7" s="2298"/>
    </row>
    <row r="8" spans="1:7" ht="15.75" customHeight="1" x14ac:dyDescent="0.25">
      <c r="A8" s="2299" t="s">
        <v>2020</v>
      </c>
      <c r="B8" s="2300"/>
      <c r="C8" s="2300"/>
      <c r="D8" s="2300"/>
      <c r="E8" s="2300"/>
      <c r="F8" s="2300"/>
      <c r="G8" s="2301"/>
    </row>
    <row r="9" spans="1:7" ht="35.25" customHeight="1" x14ac:dyDescent="0.25">
      <c r="A9" s="2296" t="s">
        <v>2019</v>
      </c>
      <c r="B9" s="2297"/>
      <c r="C9" s="2297"/>
      <c r="D9" s="2297"/>
      <c r="E9" s="2297"/>
      <c r="F9" s="2297"/>
      <c r="G9" s="2298"/>
    </row>
    <row r="10" spans="1:7" ht="15" customHeight="1" x14ac:dyDescent="0.25">
      <c r="A10" s="1559" t="s">
        <v>1923</v>
      </c>
      <c r="B10" s="1560"/>
      <c r="C10" s="1560"/>
      <c r="D10" s="1560"/>
      <c r="E10" s="1560"/>
      <c r="F10" s="1560"/>
      <c r="G10" s="1561"/>
    </row>
    <row r="11" spans="1:7" ht="17.25" customHeight="1" x14ac:dyDescent="0.25">
      <c r="A11" s="2296" t="s">
        <v>1937</v>
      </c>
      <c r="B11" s="2297"/>
      <c r="C11" s="2297"/>
      <c r="D11" s="2297"/>
      <c r="E11" s="2297"/>
      <c r="F11" s="2297"/>
      <c r="G11" s="2298"/>
    </row>
    <row r="12" spans="1:7" ht="15" customHeight="1" x14ac:dyDescent="0.25">
      <c r="A12" s="1559" t="s">
        <v>1928</v>
      </c>
      <c r="B12" s="1560"/>
      <c r="C12" s="1560"/>
      <c r="D12" s="1560"/>
      <c r="E12" s="1560"/>
      <c r="F12" s="1560"/>
      <c r="G12" s="1561"/>
    </row>
    <row r="13" spans="1:7" ht="32.25" customHeight="1" x14ac:dyDescent="0.25">
      <c r="A13" s="2287" t="s">
        <v>1929</v>
      </c>
      <c r="B13" s="2288"/>
      <c r="C13" s="2288"/>
      <c r="D13" s="2288"/>
      <c r="E13" s="2288"/>
      <c r="F13" s="2288"/>
      <c r="G13" s="2289"/>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2178</v>
      </c>
      <c r="B17" s="1958" t="s">
        <v>2179</v>
      </c>
      <c r="C17" s="1959" t="s">
        <v>2180</v>
      </c>
      <c r="D17" s="1867">
        <v>6121</v>
      </c>
      <c r="E17" s="1562">
        <f t="shared" ref="E17:E141" si="1">IF(D17&lt;=25000,D17,IF(D17&gt;25000,25000,0))</f>
        <v>6121</v>
      </c>
      <c r="F17" s="1815">
        <f t="shared" si="0"/>
        <v>0</v>
      </c>
      <c r="G17" s="1816">
        <f>IF(F17=0,0,D17-F17)</f>
        <v>0</v>
      </c>
      <c r="H17" s="1669"/>
    </row>
    <row r="18" spans="1:8" x14ac:dyDescent="0.25">
      <c r="A18" s="1957" t="s">
        <v>2178</v>
      </c>
      <c r="B18" s="1958" t="s">
        <v>2179</v>
      </c>
      <c r="C18" s="1959" t="s">
        <v>2181</v>
      </c>
      <c r="D18" s="1867">
        <v>11495</v>
      </c>
      <c r="E18" s="1562">
        <f t="shared" ref="E18:E140" si="2">IF(D18&lt;=25000,D18,IF(D18&gt;25000,25000,0))</f>
        <v>11495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7" t="s">
        <v>2178</v>
      </c>
      <c r="B19" s="1958" t="s">
        <v>2179</v>
      </c>
      <c r="C19" s="1959" t="s">
        <v>2182</v>
      </c>
      <c r="D19" s="1867">
        <v>3070</v>
      </c>
      <c r="E19" s="1562">
        <f t="shared" si="2"/>
        <v>3070</v>
      </c>
      <c r="F19" s="1815">
        <f t="shared" si="3"/>
        <v>0</v>
      </c>
      <c r="G19" s="1816">
        <f t="shared" si="4"/>
        <v>0</v>
      </c>
    </row>
    <row r="20" spans="1:8" x14ac:dyDescent="0.25">
      <c r="A20" s="1957" t="s">
        <v>2178</v>
      </c>
      <c r="B20" s="1958" t="s">
        <v>2179</v>
      </c>
      <c r="C20" s="1959" t="s">
        <v>2183</v>
      </c>
      <c r="D20" s="1867">
        <v>3000</v>
      </c>
      <c r="E20" s="1562">
        <f t="shared" si="2"/>
        <v>3000</v>
      </c>
      <c r="F20" s="1815">
        <f t="shared" si="3"/>
        <v>0</v>
      </c>
      <c r="G20" s="1816">
        <f t="shared" si="4"/>
        <v>0</v>
      </c>
    </row>
    <row r="21" spans="1:8" x14ac:dyDescent="0.25">
      <c r="A21" s="1957" t="s">
        <v>2178</v>
      </c>
      <c r="B21" s="1958" t="s">
        <v>2179</v>
      </c>
      <c r="C21" s="1959" t="s">
        <v>2184</v>
      </c>
      <c r="D21" s="1960">
        <v>3500</v>
      </c>
      <c r="E21" s="1562">
        <f t="shared" si="2"/>
        <v>3500</v>
      </c>
      <c r="F21" s="1815">
        <f t="shared" si="3"/>
        <v>0</v>
      </c>
      <c r="G21" s="1816">
        <f t="shared" si="4"/>
        <v>0</v>
      </c>
    </row>
    <row r="22" spans="1:8" x14ac:dyDescent="0.25">
      <c r="A22" s="1957" t="s">
        <v>2178</v>
      </c>
      <c r="B22" s="1958" t="s">
        <v>2202</v>
      </c>
      <c r="C22" s="1959" t="s">
        <v>2169</v>
      </c>
      <c r="D22" s="1867">
        <v>1059676</v>
      </c>
      <c r="E22" s="1562">
        <f t="shared" si="2"/>
        <v>25000</v>
      </c>
      <c r="F22" s="1815">
        <f t="shared" si="3"/>
        <v>0</v>
      </c>
      <c r="G22" s="1816">
        <f t="shared" si="4"/>
        <v>0</v>
      </c>
    </row>
    <row r="23" spans="1:8" x14ac:dyDescent="0.25">
      <c r="A23" s="1957" t="s">
        <v>2178</v>
      </c>
      <c r="B23" s="1958" t="s">
        <v>2179</v>
      </c>
      <c r="C23" s="1959" t="s">
        <v>2185</v>
      </c>
      <c r="D23" s="1867">
        <v>6157</v>
      </c>
      <c r="E23" s="1562">
        <f t="shared" si="2"/>
        <v>6157</v>
      </c>
      <c r="F23" s="1815">
        <f t="shared" si="3"/>
        <v>0</v>
      </c>
      <c r="G23" s="1816">
        <f t="shared" si="4"/>
        <v>0</v>
      </c>
    </row>
    <row r="24" spans="1:8" x14ac:dyDescent="0.25">
      <c r="A24" s="1957" t="s">
        <v>2186</v>
      </c>
      <c r="B24" s="1958" t="s">
        <v>2203</v>
      </c>
      <c r="C24" s="1959" t="s">
        <v>2188</v>
      </c>
      <c r="D24" s="1867">
        <v>44533</v>
      </c>
      <c r="E24" s="1562">
        <f t="shared" si="2"/>
        <v>25000</v>
      </c>
      <c r="F24" s="1815">
        <f t="shared" si="3"/>
        <v>0</v>
      </c>
      <c r="G24" s="1816">
        <f t="shared" si="4"/>
        <v>0</v>
      </c>
    </row>
    <row r="25" spans="1:8" x14ac:dyDescent="0.25">
      <c r="A25" s="1957" t="s">
        <v>2186</v>
      </c>
      <c r="B25" s="1958" t="s">
        <v>2187</v>
      </c>
      <c r="C25" s="1959" t="s">
        <v>2189</v>
      </c>
      <c r="D25" s="1867">
        <v>2786</v>
      </c>
      <c r="E25" s="1562">
        <f t="shared" si="2"/>
        <v>2786</v>
      </c>
      <c r="F25" s="1815">
        <f t="shared" si="3"/>
        <v>0</v>
      </c>
      <c r="G25" s="1816">
        <f t="shared" si="4"/>
        <v>0</v>
      </c>
    </row>
    <row r="26" spans="1:8" x14ac:dyDescent="0.25">
      <c r="A26" s="1957" t="s">
        <v>2190</v>
      </c>
      <c r="B26" s="1958" t="s">
        <v>2203</v>
      </c>
      <c r="C26" s="1959" t="s">
        <v>2195</v>
      </c>
      <c r="D26" s="1867">
        <v>28889</v>
      </c>
      <c r="E26" s="1562">
        <f t="shared" si="2"/>
        <v>25000</v>
      </c>
      <c r="F26" s="1815">
        <f t="shared" si="3"/>
        <v>0</v>
      </c>
      <c r="G26" s="1816">
        <f t="shared" si="4"/>
        <v>0</v>
      </c>
    </row>
    <row r="27" spans="1:8" x14ac:dyDescent="0.25">
      <c r="A27" s="1957" t="s">
        <v>2191</v>
      </c>
      <c r="B27" s="1958" t="s">
        <v>2204</v>
      </c>
      <c r="C27" s="1959" t="s">
        <v>2196</v>
      </c>
      <c r="D27" s="1867">
        <v>264193</v>
      </c>
      <c r="E27" s="1562">
        <f t="shared" si="2"/>
        <v>25000</v>
      </c>
      <c r="F27" s="1815">
        <f t="shared" si="3"/>
        <v>25000</v>
      </c>
      <c r="G27" s="1816">
        <f t="shared" si="4"/>
        <v>239193</v>
      </c>
    </row>
    <row r="28" spans="1:8" x14ac:dyDescent="0.25">
      <c r="A28" s="1957" t="s">
        <v>2191</v>
      </c>
      <c r="B28" s="1958" t="s">
        <v>2204</v>
      </c>
      <c r="C28" s="1959" t="s">
        <v>2197</v>
      </c>
      <c r="D28" s="1867">
        <v>42565</v>
      </c>
      <c r="E28" s="1562">
        <f t="shared" si="2"/>
        <v>25000</v>
      </c>
      <c r="F28" s="1815">
        <f t="shared" si="3"/>
        <v>25000</v>
      </c>
      <c r="G28" s="1816">
        <f t="shared" si="4"/>
        <v>17565</v>
      </c>
    </row>
    <row r="29" spans="1:8" x14ac:dyDescent="0.25">
      <c r="A29" s="1957" t="s">
        <v>2191</v>
      </c>
      <c r="B29" s="1958" t="s">
        <v>2187</v>
      </c>
      <c r="C29" s="1959" t="s">
        <v>2198</v>
      </c>
      <c r="D29" s="1867">
        <v>17299</v>
      </c>
      <c r="E29" s="1562">
        <f t="shared" si="2"/>
        <v>17299</v>
      </c>
      <c r="F29" s="1815">
        <f t="shared" si="3"/>
        <v>0</v>
      </c>
      <c r="G29" s="1816">
        <f t="shared" si="4"/>
        <v>0</v>
      </c>
    </row>
    <row r="30" spans="1:8" x14ac:dyDescent="0.25">
      <c r="A30" s="1957" t="s">
        <v>2191</v>
      </c>
      <c r="B30" s="1958" t="s">
        <v>2204</v>
      </c>
      <c r="C30" s="1959" t="s">
        <v>2199</v>
      </c>
      <c r="D30" s="1867">
        <v>87546</v>
      </c>
      <c r="E30" s="1562">
        <f t="shared" si="2"/>
        <v>25000</v>
      </c>
      <c r="F30" s="1815">
        <f t="shared" si="3"/>
        <v>25000</v>
      </c>
      <c r="G30" s="1816">
        <f t="shared" si="4"/>
        <v>62546</v>
      </c>
    </row>
    <row r="31" spans="1:8" x14ac:dyDescent="0.25">
      <c r="A31" s="1957" t="s">
        <v>2191</v>
      </c>
      <c r="B31" s="1958" t="s">
        <v>2187</v>
      </c>
      <c r="C31" s="1959" t="s">
        <v>2200</v>
      </c>
      <c r="D31" s="1867">
        <v>5247</v>
      </c>
      <c r="E31" s="1562">
        <f t="shared" si="2"/>
        <v>5247</v>
      </c>
      <c r="F31" s="1815">
        <f t="shared" si="3"/>
        <v>0</v>
      </c>
      <c r="G31" s="1816">
        <f t="shared" si="4"/>
        <v>0</v>
      </c>
    </row>
    <row r="32" spans="1:8" x14ac:dyDescent="0.25">
      <c r="A32" s="1957" t="s">
        <v>2192</v>
      </c>
      <c r="B32" s="1958" t="s">
        <v>2205</v>
      </c>
      <c r="C32" s="1959" t="s">
        <v>2193</v>
      </c>
      <c r="D32" s="1867">
        <v>1583642</v>
      </c>
      <c r="E32" s="1562">
        <f t="shared" si="2"/>
        <v>25000</v>
      </c>
      <c r="F32" s="1815">
        <f t="shared" si="3"/>
        <v>25000</v>
      </c>
      <c r="G32" s="1816">
        <f t="shared" si="4"/>
        <v>1558642</v>
      </c>
    </row>
    <row r="33" spans="1:7" x14ac:dyDescent="0.25">
      <c r="A33" s="1957" t="s">
        <v>2192</v>
      </c>
      <c r="B33" s="1958" t="s">
        <v>2205</v>
      </c>
      <c r="C33" s="1959" t="s">
        <v>2194</v>
      </c>
      <c r="D33" s="1867">
        <v>139605</v>
      </c>
      <c r="E33" s="1562">
        <f t="shared" si="2"/>
        <v>25000</v>
      </c>
      <c r="F33" s="1815">
        <f t="shared" si="3"/>
        <v>25000</v>
      </c>
      <c r="G33" s="1816">
        <f t="shared" si="4"/>
        <v>114605</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3309324</v>
      </c>
      <c r="E141" s="1563">
        <f t="shared" si="1"/>
        <v>25000</v>
      </c>
      <c r="F141" s="1817">
        <f>SUM(F17:F140)</f>
        <v>125000</v>
      </c>
      <c r="G141" s="1818">
        <f>SUM(G17:G140)</f>
        <v>1992551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 colorId="8" zoomScale="110" zoomScaleNormal="110" workbookViewId="0">
      <selection activeCell="E8" sqref="E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2" t="s">
        <v>1777</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v>0</v>
      </c>
      <c r="F7" s="975"/>
      <c r="G7" s="976"/>
      <c r="H7" s="162"/>
      <c r="I7" s="162"/>
    </row>
    <row r="8" spans="1:9" s="669" customFormat="1" ht="12" customHeight="1" x14ac:dyDescent="0.2">
      <c r="A8" s="971" t="s">
        <v>131</v>
      </c>
      <c r="B8" s="972"/>
      <c r="C8" s="972"/>
      <c r="D8" s="973"/>
      <c r="E8" s="974">
        <f>'Expenditures 15-22'!D264+'Expenditures 15-22'!D60</f>
        <v>33213</v>
      </c>
      <c r="F8" s="975"/>
      <c r="G8" s="976"/>
      <c r="H8" s="162"/>
      <c r="I8" s="162"/>
    </row>
    <row r="9" spans="1:9" s="669" customFormat="1" ht="12" customHeight="1" x14ac:dyDescent="0.2">
      <c r="A9" s="971" t="s">
        <v>132</v>
      </c>
      <c r="B9" s="972"/>
      <c r="C9" s="972"/>
      <c r="D9" s="973"/>
      <c r="E9" s="974">
        <f>'Expenditures 15-22'!D266+'Expenditures 15-22'!D124</f>
        <v>352421</v>
      </c>
      <c r="F9" s="975"/>
      <c r="G9" s="976"/>
      <c r="H9" s="162"/>
      <c r="I9" s="162"/>
    </row>
    <row r="10" spans="1:9" s="669" customFormat="1" ht="12" customHeight="1" x14ac:dyDescent="0.2">
      <c r="A10" s="971" t="s">
        <v>2072</v>
      </c>
      <c r="B10" s="972"/>
      <c r="C10" s="977"/>
      <c r="D10" s="973"/>
      <c r="E10" s="974">
        <f>'Expenditures 15-22'!D63</f>
        <v>0</v>
      </c>
      <c r="F10" s="975"/>
      <c r="G10" s="976"/>
      <c r="H10" s="162"/>
      <c r="I10" s="162"/>
    </row>
    <row r="11" spans="1:9" s="669" customFormat="1" ht="22.5" customHeight="1" x14ac:dyDescent="0.2">
      <c r="A11" s="2307" t="s">
        <v>1941</v>
      </c>
      <c r="B11" s="2308"/>
      <c r="C11" s="2308"/>
      <c r="D11" s="2309"/>
      <c r="E11" s="978">
        <v>88806</v>
      </c>
      <c r="F11" s="975"/>
      <c r="G11" s="979"/>
      <c r="H11" s="162"/>
      <c r="I11" s="162"/>
    </row>
    <row r="12" spans="1:9" s="669" customFormat="1" ht="12" customHeight="1" x14ac:dyDescent="0.2">
      <c r="A12" s="971" t="s">
        <v>133</v>
      </c>
      <c r="B12" s="972"/>
      <c r="C12" s="972"/>
      <c r="D12" s="973"/>
      <c r="E12" s="974">
        <f>'Expenditures 15-22'!D269</f>
        <v>1043</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15183482</v>
      </c>
      <c r="F19" s="1822"/>
      <c r="G19" s="1824">
        <f>'Expenditures 15-22'!K33-SUM('Expenditures 15-22'!G33,'Expenditures 15-22'!I33)+'Expenditures 15-22'!D229</f>
        <v>15183482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1908641</v>
      </c>
      <c r="F21" s="1825"/>
      <c r="G21" s="1828">
        <f>'Expenditures 15-22'!K42-SUM('Expenditures 15-22'!G42,'Expenditures 15-22'!I42)+'Expenditures 15-22'!K120-SUM('Expenditures 15-22'!G120,'Expenditures 15-22'!I120)+'Expenditures 15-22'!K180-SUM('Expenditures 15-22'!G180,'Expenditures 15-22'!I180)+'Expenditures 15-22'!D238</f>
        <v>1908641</v>
      </c>
      <c r="H21" s="988"/>
      <c r="I21" s="162"/>
    </row>
    <row r="22" spans="1:9" s="669" customFormat="1" ht="12" customHeight="1" x14ac:dyDescent="0.2">
      <c r="A22" s="995" t="s">
        <v>584</v>
      </c>
      <c r="B22" s="996"/>
      <c r="C22" s="994">
        <v>2200</v>
      </c>
      <c r="D22" s="1825"/>
      <c r="E22" s="1827">
        <f>'Expenditures 15-22'!K47-SUM('Expenditures 15-22'!G47,'Expenditures 15-22'!I47)+'Expenditures 15-22'!D243</f>
        <v>671145</v>
      </c>
      <c r="F22" s="1825"/>
      <c r="G22" s="1828">
        <f>'Expenditures 15-22'!K47-SUM('Expenditures 15-22'!G47,'Expenditures 15-22'!I47)+'Expenditures 15-22'!D243</f>
        <v>671145</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2522602</v>
      </c>
      <c r="F23" s="1825"/>
      <c r="G23" s="1827">
        <f>'Expenditures 15-22'!K53-SUM('Expenditures 15-22'!G53,'Expenditures 15-22'!I53)+'Expenditures 15-22'!D257+'Expenditures 15-22'!K330-SUM('Expenditures 15-22'!G330,'Expenditures 15-22'!I330)</f>
        <v>2522602</v>
      </c>
      <c r="H23" s="988"/>
      <c r="I23" s="162"/>
    </row>
    <row r="24" spans="1:9" s="669" customFormat="1" ht="12" customHeight="1" x14ac:dyDescent="0.2">
      <c r="A24" s="995" t="s">
        <v>586</v>
      </c>
      <c r="B24" s="996"/>
      <c r="C24" s="994">
        <v>2400</v>
      </c>
      <c r="D24" s="1825"/>
      <c r="E24" s="1827">
        <f>'Expenditures 15-22'!K57-SUM('Expenditures 15-22'!G57,'Expenditures 15-22'!I57)+'Expenditures 15-22'!D261</f>
        <v>1409482</v>
      </c>
      <c r="F24" s="1825"/>
      <c r="G24" s="1828">
        <f>'Expenditures 15-22'!K57-SUM('Expenditures 15-22'!G57,'Expenditures 15-22'!I57)+'Expenditures 15-22'!D261</f>
        <v>1409482</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231509</v>
      </c>
      <c r="E27" s="1827">
        <f>E8</f>
        <v>33213</v>
      </c>
      <c r="F27" s="1827">
        <f>'Expenditures 15-22'!K60-SUM('Expenditures 15-22'!G60,'Expenditures 15-22'!I60)+'Expenditures 15-22'!D264-E8</f>
        <v>231509</v>
      </c>
      <c r="G27" s="1828">
        <f>E8</f>
        <v>33213</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3017378</v>
      </c>
      <c r="F28" s="1829">
        <f>'Expenditures 15-22'!K61-SUM('Expenditures 15-22'!G61,'Expenditures 15-22'!I61)+'Expenditures 15-22'!K124-SUM('Expenditures 15-22'!G124,'Expenditures 15-22'!I124)+'Expenditures 15-22'!D266-E9</f>
        <v>2664957</v>
      </c>
      <c r="G28" s="1828">
        <f>E9</f>
        <v>352421</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1850309</v>
      </c>
      <c r="F29" s="1825"/>
      <c r="G29" s="1828">
        <f>'Expenditures 15-22'!K62-SUM('Expenditures 15-22'!G62,'Expenditures 15-22'!I62)+'Expenditures 15-22'!K125-SUM('Expenditures 15-22'!G125,'Expenditures 15-22'!I125)+'Expenditures 15-22'!K182-SUM('Expenditures 15-22'!G182,'Expenditures 15-22'!I182)+'Expenditures 15-22'!D267</f>
        <v>1850309</v>
      </c>
      <c r="H29" s="986"/>
    </row>
    <row r="30" spans="1:9" ht="12" customHeight="1" x14ac:dyDescent="0.2">
      <c r="A30" s="995" t="s">
        <v>102</v>
      </c>
      <c r="B30" s="998"/>
      <c r="C30" s="994">
        <v>2560</v>
      </c>
      <c r="D30" s="1825"/>
      <c r="E30" s="1827">
        <f>'Expenditures 15-22'!K63-SUM('Expenditures 15-22'!G63,'Expenditures 15-22'!I63)+'Expenditures 15-22'!D268-E10</f>
        <v>1113544</v>
      </c>
      <c r="F30" s="1825"/>
      <c r="G30" s="1827">
        <f>'Expenditures 15-22'!K63-SUM('Expenditures 15-22'!G63,'Expenditures 15-22'!I63)+'Expenditures 15-22'!D268-E10</f>
        <v>1113544</v>
      </c>
    </row>
    <row r="31" spans="1:9" ht="12" customHeight="1" x14ac:dyDescent="0.2">
      <c r="A31" s="995" t="s">
        <v>103</v>
      </c>
      <c r="B31" s="998"/>
      <c r="C31" s="994">
        <v>2570</v>
      </c>
      <c r="D31" s="1827">
        <f>'Expenditures 15-22'!K64-SUM('Expenditures 15-22'!G64,'Expenditures 15-22'!I64)+'Expenditures 15-22'!D269-E12</f>
        <v>0</v>
      </c>
      <c r="E31" s="1827">
        <f>E12</f>
        <v>1043</v>
      </c>
      <c r="F31" s="1827">
        <f>'Expenditures 15-22'!K64-SUM('Expenditures 15-22'!G64,'Expenditures 15-22'!I64)+'Expenditures 15-22'!D269-E12</f>
        <v>0</v>
      </c>
      <c r="G31" s="1827">
        <f>E12</f>
        <v>1043</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270</v>
      </c>
      <c r="F38" s="1825"/>
      <c r="G38" s="1827">
        <f>'Expenditures 15-22'!K73-SUM('Expenditures 15-22'!G73,'Expenditures 15-22'!I73)+'Expenditures 15-22'!K128-SUM('Expenditures 15-22'!G128,'Expenditures 15-22'!I128)+'Expenditures 15-22'!K183-SUM('Expenditures 15-22'!G183,'Expenditures 15-22'!I183)+'Expenditures 15-22'!D278</f>
        <v>270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1237731</v>
      </c>
      <c r="F39" s="1825"/>
      <c r="G39" s="1827">
        <f>'Expenditures 15-22'!K75-SUM('Expenditures 15-22'!G75,'Expenditures 15-22'!I75)+'Expenditures 15-22'!K130-SUM('Expenditures 15-22'!G130,'Expenditures 15-22'!I130)+'Expenditures 15-22'!K185-SUM('Expenditures 15-22'!G185,'Expenditures 15-22'!I185)+'Expenditures 15-22'!D280</f>
        <v>1237731</v>
      </c>
    </row>
    <row r="40" spans="1:7" ht="12" customHeight="1" x14ac:dyDescent="0.2">
      <c r="A40" s="991" t="s">
        <v>1926</v>
      </c>
      <c r="B40" s="992"/>
      <c r="C40" s="994"/>
      <c r="D40" s="1825"/>
      <c r="E40" s="1829">
        <f>-'Contracts Paid in CY 29'!G141</f>
        <v>-1992551</v>
      </c>
      <c r="F40" s="1825"/>
      <c r="G40" s="1829">
        <f>-'Contracts Paid in CY 29'!G141</f>
        <v>-1992551</v>
      </c>
    </row>
    <row r="41" spans="1:7" ht="12" customHeight="1" x14ac:dyDescent="0.2">
      <c r="A41" s="999" t="s">
        <v>158</v>
      </c>
      <c r="B41" s="1000"/>
      <c r="C41" s="1001"/>
      <c r="D41" s="1829">
        <f>SUM(D19:D39)</f>
        <v>231509</v>
      </c>
      <c r="E41" s="1829">
        <f>SUM(E19:E40)</f>
        <v>26956289</v>
      </c>
      <c r="F41" s="1829">
        <f>SUM(F19:F39)</f>
        <v>2896466</v>
      </c>
      <c r="G41" s="1829">
        <f>SUM(G19:G40)</f>
        <v>24291332</v>
      </c>
    </row>
    <row r="42" spans="1:7" x14ac:dyDescent="0.2">
      <c r="A42" s="988"/>
      <c r="B42" s="162"/>
      <c r="C42" s="1002"/>
      <c r="D42" s="2305" t="s">
        <v>542</v>
      </c>
      <c r="E42" s="2306"/>
      <c r="F42" s="1003" t="s">
        <v>543</v>
      </c>
      <c r="G42" s="1004"/>
    </row>
    <row r="43" spans="1:7" ht="12" customHeight="1" x14ac:dyDescent="0.2">
      <c r="A43" s="988"/>
      <c r="B43" s="162"/>
      <c r="C43" s="1002"/>
      <c r="D43" s="1830" t="s">
        <v>492</v>
      </c>
      <c r="E43" s="1831">
        <f>D41</f>
        <v>231509</v>
      </c>
      <c r="F43" s="1830" t="s">
        <v>494</v>
      </c>
      <c r="G43" s="1831">
        <f>F41</f>
        <v>2896466</v>
      </c>
    </row>
    <row r="44" spans="1:7" ht="12" customHeight="1" x14ac:dyDescent="0.2">
      <c r="A44" s="988"/>
      <c r="B44" s="162"/>
      <c r="C44" s="1002"/>
      <c r="D44" s="1830" t="s">
        <v>493</v>
      </c>
      <c r="E44" s="1831">
        <f>E41</f>
        <v>26956289</v>
      </c>
      <c r="F44" s="1830" t="s">
        <v>493</v>
      </c>
      <c r="G44" s="1831">
        <f>G41</f>
        <v>24291332</v>
      </c>
    </row>
    <row r="45" spans="1:7" ht="12" customHeight="1" x14ac:dyDescent="0.2">
      <c r="A45" s="988"/>
      <c r="B45" s="162"/>
      <c r="C45" s="162"/>
      <c r="D45" s="1832" t="s">
        <v>1062</v>
      </c>
      <c r="E45" s="1833">
        <f>(E43/E44)</f>
        <v>8.5883112471453315E-3</v>
      </c>
      <c r="F45" s="1832" t="s">
        <v>1062</v>
      </c>
      <c r="G45" s="1833">
        <f>(G43/G44)</f>
        <v>0.1192386650513854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18" sqref="B18:D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15" t="str">
        <f>COVER!A17</f>
        <v>O'Fallon CCSD 90</v>
      </c>
      <c r="J6" s="2316"/>
      <c r="Q6" s="1686"/>
    </row>
    <row r="7" spans="1:17" x14ac:dyDescent="0.2">
      <c r="A7" s="2317" t="s">
        <v>923</v>
      </c>
      <c r="B7" s="2318"/>
      <c r="C7" s="2318"/>
      <c r="D7" s="2318"/>
      <c r="E7" s="2319"/>
      <c r="F7" s="1018"/>
      <c r="G7" s="1010"/>
      <c r="H7" s="1017" t="s">
        <v>389</v>
      </c>
      <c r="I7" s="2320">
        <f>COVER!A13</f>
        <v>50082090004</v>
      </c>
      <c r="J7" s="232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21" t="s">
        <v>501</v>
      </c>
      <c r="B11" s="2322"/>
      <c r="C11" s="2323"/>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225052</v>
      </c>
      <c r="F12" s="1040"/>
      <c r="G12" s="1834">
        <f t="shared" ref="G12:G18" si="0">SUM(E12:F12)</f>
        <v>225052</v>
      </c>
      <c r="H12" s="1041">
        <v>225553</v>
      </c>
      <c r="I12" s="1040"/>
      <c r="J12" s="1834">
        <f t="shared" ref="J12:J18" si="1">SUM(H12:I12)</f>
        <v>225553</v>
      </c>
    </row>
    <row r="13" spans="1:17" ht="15" customHeight="1" x14ac:dyDescent="0.2">
      <c r="A13" s="1036">
        <v>2</v>
      </c>
      <c r="B13" s="1037" t="s">
        <v>44</v>
      </c>
      <c r="C13" s="1038"/>
      <c r="D13" s="1039">
        <v>2330</v>
      </c>
      <c r="E13" s="1834">
        <f>'Expenditures 15-22'!K51</f>
        <v>16096</v>
      </c>
      <c r="F13" s="1040"/>
      <c r="G13" s="1834">
        <f t="shared" si="0"/>
        <v>16096</v>
      </c>
      <c r="H13" s="1041">
        <v>1164</v>
      </c>
      <c r="I13" s="1040"/>
      <c r="J13" s="1834">
        <f t="shared" si="1"/>
        <v>1164</v>
      </c>
    </row>
    <row r="14" spans="1:17" ht="15" customHeight="1" x14ac:dyDescent="0.2">
      <c r="A14" s="1036">
        <v>3</v>
      </c>
      <c r="B14" s="1037" t="s">
        <v>45</v>
      </c>
      <c r="C14" s="1038"/>
      <c r="D14" s="1042">
        <v>2490</v>
      </c>
      <c r="E14" s="1834">
        <f>'Expenditures 15-22'!K56</f>
        <v>1723</v>
      </c>
      <c r="F14" s="1040"/>
      <c r="G14" s="1834">
        <f t="shared" si="0"/>
        <v>1723</v>
      </c>
      <c r="H14" s="1041">
        <v>1800</v>
      </c>
      <c r="I14" s="1040"/>
      <c r="J14" s="1834">
        <f t="shared" si="1"/>
        <v>1800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24" t="s">
        <v>7</v>
      </c>
      <c r="C18" s="2325"/>
      <c r="D18" s="2326"/>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242871</v>
      </c>
      <c r="F19" s="1836">
        <f t="shared" si="2"/>
        <v>0</v>
      </c>
      <c r="G19" s="1836">
        <f t="shared" si="2"/>
        <v>242871</v>
      </c>
      <c r="H19" s="1836">
        <f t="shared" si="2"/>
        <v>228517</v>
      </c>
      <c r="I19" s="1836">
        <f t="shared" si="2"/>
        <v>0</v>
      </c>
      <c r="J19" s="1836">
        <f t="shared" si="2"/>
        <v>228517</v>
      </c>
    </row>
    <row r="20" spans="1:10" ht="13.5" thickTop="1" x14ac:dyDescent="0.2">
      <c r="A20" s="1036">
        <v>9</v>
      </c>
      <c r="B20" s="2327" t="s">
        <v>1702</v>
      </c>
      <c r="C20" s="2327"/>
      <c r="D20" s="2328"/>
      <c r="E20" s="1047"/>
      <c r="F20" s="1047"/>
      <c r="G20" s="1047"/>
      <c r="H20" s="1047"/>
      <c r="I20" s="1047"/>
      <c r="J20" s="1837">
        <f>IF(AND(G19&gt;0,J19&gt;0),(((J19-G19)/G19)),"Enter Budget Data")</f>
        <v>-5.9101333629787006E-2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33"/>
      <c r="D26" s="2333"/>
      <c r="E26" s="1051"/>
      <c r="F26" s="2332"/>
      <c r="G26" s="2332"/>
    </row>
    <row r="27" spans="1:10" x14ac:dyDescent="0.2">
      <c r="B27" s="1048"/>
      <c r="C27" s="1052" t="s">
        <v>1092</v>
      </c>
      <c r="D27" s="1053"/>
      <c r="E27" s="1054"/>
      <c r="F27" s="2329" t="s">
        <v>1588</v>
      </c>
      <c r="G27" s="2329"/>
    </row>
    <row r="28" spans="1:10" ht="28.5" customHeight="1" x14ac:dyDescent="0.2">
      <c r="B28" s="1048"/>
      <c r="C28" s="2331"/>
      <c r="D28" s="2331"/>
      <c r="E28" s="1055"/>
      <c r="F28" s="2331"/>
      <c r="G28" s="2331"/>
    </row>
    <row r="29" spans="1:10" x14ac:dyDescent="0.2">
      <c r="B29" s="1048"/>
      <c r="C29" s="1056" t="s">
        <v>1641</v>
      </c>
      <c r="E29" s="1057"/>
      <c r="F29" s="2330" t="s">
        <v>1589</v>
      </c>
      <c r="G29" s="2330"/>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12" t="s">
        <v>134</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3"/>
    </row>
    <row r="36" spans="1:10" ht="13.5" customHeight="1" x14ac:dyDescent="0.2">
      <c r="B36" s="1062"/>
      <c r="C36" s="2314" t="s">
        <v>1940</v>
      </c>
      <c r="D36" s="2313"/>
      <c r="E36" s="2313"/>
      <c r="F36" s="2313"/>
      <c r="G36" s="2313"/>
      <c r="H36" s="2313"/>
      <c r="I36" s="2313"/>
      <c r="J36" s="1064"/>
    </row>
    <row r="37" spans="1:10" ht="22.5" customHeight="1" x14ac:dyDescent="0.2">
      <c r="C37" s="2313"/>
      <c r="D37" s="2313"/>
      <c r="E37" s="2313"/>
      <c r="F37" s="2313"/>
      <c r="G37" s="2313"/>
      <c r="H37" s="2313"/>
      <c r="I37" s="2313"/>
      <c r="J37" s="1064"/>
    </row>
    <row r="38" spans="1:10" ht="7.5" customHeight="1" x14ac:dyDescent="0.2">
      <c r="C38" s="1063"/>
      <c r="D38" s="1065"/>
      <c r="E38" s="1066"/>
      <c r="F38" s="1067"/>
      <c r="G38" s="1066"/>
    </row>
    <row r="39" spans="1:10" ht="13.5" customHeight="1" x14ac:dyDescent="0.2">
      <c r="B39" s="1062"/>
      <c r="C39" s="2310" t="s">
        <v>936</v>
      </c>
      <c r="D39" s="2311"/>
      <c r="E39" s="2311"/>
      <c r="F39" s="2311"/>
      <c r="G39" s="2311"/>
      <c r="H39" s="2311"/>
      <c r="I39" s="231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E39" sqref="E3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2107</v>
      </c>
    </row>
    <row r="6" spans="1:2" x14ac:dyDescent="0.2">
      <c r="A6" s="1069">
        <v>2</v>
      </c>
      <c r="B6" s="329" t="s">
        <v>2108</v>
      </c>
    </row>
    <row r="7" spans="1:2" x14ac:dyDescent="0.2">
      <c r="A7" s="1069">
        <v>3</v>
      </c>
      <c r="B7" s="329" t="s">
        <v>2109</v>
      </c>
    </row>
    <row r="8" spans="1:2" x14ac:dyDescent="0.2">
      <c r="A8" s="1069"/>
      <c r="B8" s="1956" t="s">
        <v>2160</v>
      </c>
    </row>
    <row r="9" spans="1:2" x14ac:dyDescent="0.2">
      <c r="A9" s="1069">
        <v>4</v>
      </c>
      <c r="B9" s="675" t="s">
        <v>2162</v>
      </c>
    </row>
    <row r="10" spans="1:2" x14ac:dyDescent="0.2">
      <c r="A10" s="1069">
        <v>5</v>
      </c>
      <c r="B10" s="675" t="s">
        <v>2163</v>
      </c>
    </row>
    <row r="11" spans="1:2" x14ac:dyDescent="0.2">
      <c r="A11" s="1069">
        <v>6</v>
      </c>
      <c r="B11" s="675" t="s">
        <v>2161</v>
      </c>
    </row>
    <row r="12" spans="1:2" x14ac:dyDescent="0.2">
      <c r="A12" s="1069">
        <v>7</v>
      </c>
      <c r="B12" s="329" t="s">
        <v>2110</v>
      </c>
    </row>
    <row r="13" spans="1:2" x14ac:dyDescent="0.2">
      <c r="A13" s="1069">
        <v>8</v>
      </c>
      <c r="B13" s="675" t="s">
        <v>2111</v>
      </c>
    </row>
    <row r="14" spans="1:2" x14ac:dyDescent="0.2">
      <c r="A14" s="1069">
        <v>9</v>
      </c>
      <c r="B14" s="329" t="s">
        <v>2112</v>
      </c>
    </row>
    <row r="15" spans="1:2" x14ac:dyDescent="0.2">
      <c r="A15" s="1069">
        <v>10</v>
      </c>
      <c r="B15" s="329" t="s">
        <v>2113</v>
      </c>
    </row>
    <row r="16" spans="1:2" x14ac:dyDescent="0.2">
      <c r="A16" s="1069"/>
      <c r="B16" s="1956" t="s">
        <v>2165</v>
      </c>
    </row>
    <row r="17" spans="1:2" x14ac:dyDescent="0.2">
      <c r="A17" s="1069"/>
    </row>
    <row r="18" spans="1:2" x14ac:dyDescent="0.2">
      <c r="A18" s="1070"/>
      <c r="B18" s="329" t="s">
        <v>2164</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O'Fallon CCSD 90</v>
      </c>
    </row>
    <row r="66" spans="1:2" x14ac:dyDescent="0.2">
      <c r="B66" s="1071">
        <f>COVER!A13</f>
        <v>50082090004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37" t="s">
        <v>1445</v>
      </c>
      <c r="B1" s="2337"/>
      <c r="C1" s="2337"/>
      <c r="D1" s="2337"/>
      <c r="E1" s="2337"/>
      <c r="F1" s="2337"/>
    </row>
    <row r="2" spans="1:10" x14ac:dyDescent="0.2">
      <c r="A2" s="1911" t="s">
        <v>2044</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38" t="s">
        <v>1626</v>
      </c>
      <c r="B5" s="2339"/>
      <c r="C5" s="2340"/>
      <c r="D5" s="2340"/>
      <c r="E5" s="2340"/>
      <c r="F5" s="2340"/>
    </row>
    <row r="6" spans="1:10" ht="12" customHeight="1" x14ac:dyDescent="0.25">
      <c r="A6" s="1874"/>
      <c r="B6" s="1875"/>
      <c r="C6" s="2341" t="str">
        <f>COVER!A17</f>
        <v>O'Fallon CCSD 90</v>
      </c>
      <c r="D6" s="2341"/>
      <c r="E6" s="2341"/>
      <c r="F6" s="1876"/>
    </row>
    <row r="7" spans="1:10" ht="11.25" customHeight="1" thickBot="1" x14ac:dyDescent="0.3">
      <c r="A7" s="1874"/>
      <c r="B7" s="1875"/>
      <c r="C7" s="2342">
        <f>COVER!A13</f>
        <v>50082090004</v>
      </c>
      <c r="D7" s="2342"/>
      <c r="E7" s="2342"/>
      <c r="F7" s="1876"/>
    </row>
    <row r="8" spans="1:10" ht="25.5" customHeight="1" thickBot="1" x14ac:dyDescent="0.25">
      <c r="A8" s="1917" t="s">
        <v>2021</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t="s">
        <v>2073</v>
      </c>
      <c r="D11" s="1889" t="s">
        <v>2073</v>
      </c>
      <c r="E11" s="1890" t="s">
        <v>2073</v>
      </c>
      <c r="F11" s="1891" t="s">
        <v>2166</v>
      </c>
      <c r="H11" s="1902">
        <f>IF(C11="X",5,0)</f>
        <v>5</v>
      </c>
      <c r="I11" s="1902">
        <f>IF(D11="X",5,0)</f>
        <v>5</v>
      </c>
      <c r="J11" s="1902">
        <f>IF(E11="X",5,0)</f>
        <v>5</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t="s">
        <v>2073</v>
      </c>
      <c r="D14" s="1889" t="s">
        <v>2073</v>
      </c>
      <c r="E14" s="1892" t="s">
        <v>2073</v>
      </c>
      <c r="F14" s="1891" t="s">
        <v>2167</v>
      </c>
      <c r="H14" s="1902">
        <f t="shared" si="0"/>
        <v>5</v>
      </c>
      <c r="I14" s="1902">
        <f t="shared" si="1"/>
        <v>5</v>
      </c>
      <c r="J14" s="1902">
        <f t="shared" si="2"/>
        <v>5</v>
      </c>
    </row>
    <row r="15" spans="1:10" ht="12" customHeight="1" x14ac:dyDescent="0.2">
      <c r="A15" s="1887" t="s">
        <v>1453</v>
      </c>
      <c r="B15" s="1888"/>
      <c r="C15" s="1889" t="s">
        <v>2073</v>
      </c>
      <c r="D15" s="1889" t="s">
        <v>2073</v>
      </c>
      <c r="E15" s="1892" t="s">
        <v>2073</v>
      </c>
      <c r="F15" s="1891" t="s">
        <v>2168</v>
      </c>
      <c r="H15" s="1902">
        <f t="shared" si="0"/>
        <v>5</v>
      </c>
      <c r="I15" s="1902">
        <f t="shared" si="1"/>
        <v>5</v>
      </c>
      <c r="J15" s="1902">
        <f t="shared" si="2"/>
        <v>5</v>
      </c>
    </row>
    <row r="16" spans="1:10" ht="12" customHeight="1" x14ac:dyDescent="0.2">
      <c r="A16" s="1887" t="s">
        <v>1454</v>
      </c>
      <c r="B16" s="1888"/>
      <c r="C16" s="1889" t="s">
        <v>2073</v>
      </c>
      <c r="D16" s="1889" t="s">
        <v>2073</v>
      </c>
      <c r="E16" s="1892" t="s">
        <v>2073</v>
      </c>
      <c r="F16" s="1891" t="s">
        <v>2169</v>
      </c>
      <c r="H16" s="1902">
        <f t="shared" si="0"/>
        <v>5</v>
      </c>
      <c r="I16" s="1902">
        <f t="shared" si="1"/>
        <v>5</v>
      </c>
      <c r="J16" s="1902">
        <f t="shared" si="2"/>
        <v>5</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t="s">
        <v>2073</v>
      </c>
      <c r="D19" s="1889" t="s">
        <v>2073</v>
      </c>
      <c r="E19" s="1892" t="s">
        <v>2073</v>
      </c>
      <c r="F19" s="1891" t="s">
        <v>2170</v>
      </c>
      <c r="H19" s="1902">
        <f t="shared" si="0"/>
        <v>5</v>
      </c>
      <c r="I19" s="1902">
        <f t="shared" si="1"/>
        <v>5</v>
      </c>
      <c r="J19" s="1902">
        <f t="shared" si="2"/>
        <v>5</v>
      </c>
    </row>
    <row r="20" spans="1:12" ht="12" customHeight="1" x14ac:dyDescent="0.2">
      <c r="A20" s="1887" t="s">
        <v>1608</v>
      </c>
      <c r="B20" s="1888"/>
      <c r="C20" s="1889" t="s">
        <v>2073</v>
      </c>
      <c r="D20" s="1889" t="s">
        <v>2073</v>
      </c>
      <c r="E20" s="1892" t="s">
        <v>2073</v>
      </c>
      <c r="F20" s="1891" t="s">
        <v>2171</v>
      </c>
      <c r="H20" s="1902">
        <f t="shared" si="0"/>
        <v>5</v>
      </c>
      <c r="I20" s="1902">
        <f t="shared" si="1"/>
        <v>5</v>
      </c>
      <c r="J20" s="1902">
        <f t="shared" si="2"/>
        <v>5</v>
      </c>
    </row>
    <row r="21" spans="1:12" ht="12" customHeight="1" x14ac:dyDescent="0.2">
      <c r="A21" s="1887" t="s">
        <v>1609</v>
      </c>
      <c r="B21" s="1888"/>
      <c r="C21" s="1889" t="s">
        <v>2073</v>
      </c>
      <c r="D21" s="1889" t="s">
        <v>2073</v>
      </c>
      <c r="E21" s="1892" t="s">
        <v>2073</v>
      </c>
      <c r="F21" s="1891" t="s">
        <v>2172</v>
      </c>
      <c r="H21" s="1902">
        <f t="shared" si="0"/>
        <v>5</v>
      </c>
      <c r="I21" s="1902">
        <f t="shared" si="1"/>
        <v>5</v>
      </c>
      <c r="J21" s="1902">
        <f t="shared" si="2"/>
        <v>5</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t="s">
        <v>2073</v>
      </c>
      <c r="D24" s="1889" t="s">
        <v>2073</v>
      </c>
      <c r="E24" s="1892" t="s">
        <v>2073</v>
      </c>
      <c r="F24" s="1891" t="s">
        <v>2173</v>
      </c>
      <c r="H24" s="1902">
        <f t="shared" si="0"/>
        <v>5</v>
      </c>
      <c r="I24" s="1902">
        <f t="shared" si="1"/>
        <v>5</v>
      </c>
      <c r="J24" s="1902">
        <f t="shared" si="2"/>
        <v>5</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2073</v>
      </c>
      <c r="D26" s="1889" t="s">
        <v>2073</v>
      </c>
      <c r="E26" s="1892" t="s">
        <v>2073</v>
      </c>
      <c r="F26" s="1891" t="s">
        <v>2174</v>
      </c>
      <c r="H26" s="1902">
        <f t="shared" si="0"/>
        <v>5</v>
      </c>
      <c r="I26" s="1902">
        <f t="shared" si="1"/>
        <v>5</v>
      </c>
      <c r="J26" s="1902">
        <f t="shared" si="2"/>
        <v>5</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t="s">
        <v>2073</v>
      </c>
      <c r="D29" s="1889" t="s">
        <v>2073</v>
      </c>
      <c r="E29" s="1892" t="s">
        <v>2073</v>
      </c>
      <c r="F29" s="1891" t="s">
        <v>2175</v>
      </c>
      <c r="H29" s="1902">
        <f t="shared" si="0"/>
        <v>5</v>
      </c>
      <c r="I29" s="1902">
        <f t="shared" si="1"/>
        <v>5</v>
      </c>
      <c r="J29" s="1902">
        <f t="shared" si="2"/>
        <v>5</v>
      </c>
    </row>
    <row r="30" spans="1:12" ht="12" customHeight="1" x14ac:dyDescent="0.2">
      <c r="A30" s="1887" t="s">
        <v>1618</v>
      </c>
      <c r="B30" s="1888"/>
      <c r="C30" s="1889" t="s">
        <v>2073</v>
      </c>
      <c r="D30" s="1889" t="s">
        <v>2073</v>
      </c>
      <c r="E30" s="1892" t="s">
        <v>2073</v>
      </c>
      <c r="F30" s="1891" t="s">
        <v>2176</v>
      </c>
      <c r="H30" s="1902">
        <f t="shared" si="0"/>
        <v>5</v>
      </c>
      <c r="I30" s="1902">
        <f t="shared" si="1"/>
        <v>5</v>
      </c>
      <c r="J30" s="1902">
        <f t="shared" si="2"/>
        <v>5</v>
      </c>
    </row>
    <row r="31" spans="1:12" ht="12" customHeight="1" x14ac:dyDescent="0.2">
      <c r="A31" s="1887" t="s">
        <v>1619</v>
      </c>
      <c r="B31" s="1888"/>
      <c r="C31" s="1889"/>
      <c r="D31" s="1889"/>
      <c r="E31" s="1892"/>
      <c r="F31" s="1891"/>
      <c r="H31" s="1902">
        <f t="shared" si="0"/>
        <v>0</v>
      </c>
      <c r="I31" s="1902">
        <f t="shared" si="1"/>
        <v>0</v>
      </c>
      <c r="J31" s="1902">
        <f t="shared" si="2"/>
        <v>0</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55</v>
      </c>
      <c r="I34" s="1902">
        <f>SUM(I11:I32)</f>
        <v>55</v>
      </c>
      <c r="J34" s="1902">
        <f>SUM(J11:J32)</f>
        <v>55</v>
      </c>
      <c r="K34" s="1902">
        <f>SUM(H34:J34)</f>
        <v>165</v>
      </c>
    </row>
    <row r="35" spans="1:11" ht="12" customHeight="1" x14ac:dyDescent="0.2">
      <c r="A35" s="1895" t="s">
        <v>1458</v>
      </c>
      <c r="B35" s="1896"/>
      <c r="C35" s="2343"/>
      <c r="D35" s="2343"/>
      <c r="E35" s="2343"/>
      <c r="F35" s="2344"/>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48"/>
      <c r="B38" s="2349"/>
      <c r="C38" s="2349"/>
      <c r="D38" s="2349"/>
      <c r="E38" s="2349"/>
      <c r="F38" s="2350"/>
    </row>
    <row r="39" spans="1:11" ht="4.5" hidden="1" customHeight="1" x14ac:dyDescent="0.2">
      <c r="A39" s="1897"/>
      <c r="B39" s="1897"/>
      <c r="C39" s="1897"/>
      <c r="D39" s="1897"/>
      <c r="E39" s="1897"/>
      <c r="F39" s="1897"/>
    </row>
    <row r="40" spans="1:11" s="1894" customFormat="1" ht="12" customHeight="1" x14ac:dyDescent="0.25">
      <c r="A40" s="1898" t="s">
        <v>1457</v>
      </c>
      <c r="B40" s="1899"/>
      <c r="C40" s="2351"/>
      <c r="D40" s="2351"/>
      <c r="E40" s="2351"/>
      <c r="F40" s="2352"/>
      <c r="H40" s="1903"/>
      <c r="I40" s="1903"/>
      <c r="J40" s="1903"/>
      <c r="K40" s="1903"/>
    </row>
    <row r="41" spans="1:11" s="1894" customFormat="1" ht="12" customHeight="1" x14ac:dyDescent="0.25">
      <c r="A41" s="2353"/>
      <c r="B41" s="2354"/>
      <c r="C41" s="2354"/>
      <c r="D41" s="2354"/>
      <c r="E41" s="2354"/>
      <c r="F41" s="2355"/>
      <c r="H41" s="1903"/>
      <c r="I41" s="1903"/>
      <c r="J41" s="1903"/>
      <c r="K41" s="1903"/>
    </row>
    <row r="42" spans="1:11" s="1894" customFormat="1" ht="12" customHeight="1" x14ac:dyDescent="0.25">
      <c r="A42" s="2353"/>
      <c r="B42" s="2354"/>
      <c r="C42" s="2354"/>
      <c r="D42" s="2354"/>
      <c r="E42" s="2354"/>
      <c r="F42" s="2355"/>
      <c r="H42" s="1903"/>
      <c r="I42" s="1903"/>
      <c r="J42" s="1903"/>
      <c r="K42" s="1903"/>
    </row>
    <row r="43" spans="1:11" s="1894" customFormat="1" ht="15" x14ac:dyDescent="0.25">
      <c r="A43" s="2345"/>
      <c r="B43" s="2346"/>
      <c r="C43" s="2346"/>
      <c r="D43" s="2346"/>
      <c r="E43" s="2346"/>
      <c r="F43" s="2347"/>
      <c r="H43" s="1903"/>
      <c r="I43" s="1903"/>
      <c r="J43" s="1903"/>
      <c r="K43" s="1903"/>
    </row>
    <row r="44" spans="1:11" s="1894" customFormat="1" ht="12" hidden="1" customHeight="1" x14ac:dyDescent="0.25">
      <c r="A44" s="2345"/>
      <c r="B44" s="2346"/>
      <c r="C44" s="2346"/>
      <c r="D44" s="2346"/>
      <c r="E44" s="2346"/>
      <c r="F44" s="2347"/>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6" t="s">
        <v>1783</v>
      </c>
      <c r="B18" s="2356"/>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1819275</xdr:colOff>
                <xdr:row>2</xdr:row>
                <xdr:rowOff>95250</xdr:rowOff>
              </from>
              <to>
                <xdr:col>1</xdr:col>
                <xdr:colOff>2733675</xdr:colOff>
                <xdr:row>6</xdr:row>
                <xdr:rowOff>133350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5"/>
      <c r="H2" s="1075"/>
    </row>
    <row r="3" spans="1:8" ht="57" customHeight="1" x14ac:dyDescent="0.2">
      <c r="A3" s="2370" t="s">
        <v>1785</v>
      </c>
      <c r="B3" s="2371"/>
      <c r="C3" s="2371"/>
      <c r="D3" s="2371"/>
      <c r="E3" s="2371"/>
      <c r="F3" s="2372"/>
      <c r="G3" s="1075"/>
      <c r="H3" s="1075"/>
    </row>
    <row r="4" spans="1:8" ht="14.25" customHeight="1" x14ac:dyDescent="0.2">
      <c r="A4" s="2376" t="s">
        <v>2052</v>
      </c>
      <c r="B4" s="2377"/>
      <c r="C4" s="2377"/>
      <c r="D4" s="2377"/>
      <c r="E4" s="2377"/>
      <c r="F4" s="2378"/>
      <c r="G4" s="1075"/>
      <c r="H4" s="1075"/>
    </row>
    <row r="5" spans="1:8" ht="14.25" customHeight="1" x14ac:dyDescent="0.2">
      <c r="A5" s="2379" t="s">
        <v>2053</v>
      </c>
      <c r="B5" s="2380"/>
      <c r="C5" s="2380"/>
      <c r="D5" s="2380"/>
      <c r="E5" s="2380"/>
      <c r="F5" s="2381"/>
      <c r="G5" s="1075"/>
      <c r="H5" s="1075"/>
    </row>
    <row r="6" spans="1:8" s="1076" customFormat="1" ht="41.25" customHeight="1" x14ac:dyDescent="0.2">
      <c r="A6" s="2373" t="s">
        <v>1791</v>
      </c>
      <c r="B6" s="2374"/>
      <c r="C6" s="2374"/>
      <c r="D6" s="2374"/>
      <c r="E6" s="2374"/>
      <c r="F6" s="2375"/>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24559298</v>
      </c>
      <c r="C8" s="1838">
        <f>'Acct Summary 7-8'!D8</f>
        <v>3409361</v>
      </c>
      <c r="D8" s="1838">
        <f>'Acct Summary 7-8'!F8</f>
        <v>1926035</v>
      </c>
      <c r="E8" s="1838">
        <f>'Acct Summary 7-8'!I8</f>
        <v>377027</v>
      </c>
      <c r="F8" s="1838">
        <f>SUM(B8:E8)</f>
        <v>30271721</v>
      </c>
    </row>
    <row r="9" spans="1:8" s="1080" customFormat="1" ht="14.25" customHeight="1" thickBot="1" x14ac:dyDescent="0.25">
      <c r="A9" s="1079" t="s">
        <v>1435</v>
      </c>
      <c r="B9" s="1839">
        <f>'Acct Summary 7-8'!C17</f>
        <v>22148709</v>
      </c>
      <c r="C9" s="1839">
        <f>'Acct Summary 7-8'!D17</f>
        <v>2903323</v>
      </c>
      <c r="D9" s="1839">
        <f>'Acct Summary 7-8'!F17</f>
        <v>1847973</v>
      </c>
      <c r="E9" s="1838"/>
      <c r="F9" s="1838">
        <f>SUM(B9:E9)</f>
        <v>26900005</v>
      </c>
    </row>
    <row r="10" spans="1:8" s="1080" customFormat="1" ht="14.25" thickTop="1" thickBot="1" x14ac:dyDescent="0.25">
      <c r="A10" s="1081" t="s">
        <v>1436</v>
      </c>
      <c r="B10" s="1840">
        <f>(B8-B9)</f>
        <v>2410589</v>
      </c>
      <c r="C10" s="1840">
        <f>(C8-C9)</f>
        <v>506038</v>
      </c>
      <c r="D10" s="1840">
        <f>(D8-D9)</f>
        <v>78062</v>
      </c>
      <c r="E10" s="1839">
        <f>(E8-E9)</f>
        <v>377027</v>
      </c>
      <c r="F10" s="1841">
        <f>SUM(F8-F9)</f>
        <v>3371716</v>
      </c>
    </row>
    <row r="11" spans="1:8" s="1080" customFormat="1" ht="14.25" thickTop="1" thickBot="1" x14ac:dyDescent="0.25">
      <c r="A11" s="1082" t="s">
        <v>1784</v>
      </c>
      <c r="B11" s="1842">
        <f>'Acct Summary 7-8'!C81</f>
        <v>4525252</v>
      </c>
      <c r="C11" s="1842">
        <f>'Acct Summary 7-8'!D81</f>
        <v>1026075</v>
      </c>
      <c r="D11" s="1842">
        <f>'Acct Summary 7-8'!F81</f>
        <v>451837</v>
      </c>
      <c r="E11" s="1842">
        <f>'Acct Summary 7-8'!I81</f>
        <v>736939</v>
      </c>
      <c r="F11" s="1843">
        <f>SUM(B11:E11)</f>
        <v>6740103</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1786</v>
      </c>
      <c r="B16" s="2360"/>
      <c r="C16" s="2360"/>
      <c r="D16" s="2360"/>
      <c r="E16" s="2360"/>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2" t="s">
        <v>685</v>
      </c>
      <c r="B3" s="2383"/>
      <c r="C3" s="2383"/>
      <c r="D3" s="2384"/>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3" t="s">
        <v>1583</v>
      </c>
      <c r="D7" s="2394"/>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5" t="s">
        <v>1064</v>
      </c>
      <c r="B15" s="2386"/>
      <c r="C15" s="2386"/>
      <c r="D15" s="2387"/>
    </row>
    <row r="16" spans="1:4" s="669" customFormat="1" ht="24" customHeight="1" x14ac:dyDescent="0.2">
      <c r="A16" s="2388" t="s">
        <v>683</v>
      </c>
      <c r="B16" s="2389"/>
      <c r="C16" s="2389"/>
      <c r="D16" s="239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7" t="s">
        <v>331</v>
      </c>
      <c r="D21" s="2398"/>
    </row>
    <row r="22" spans="1:10" ht="12.75" x14ac:dyDescent="0.2">
      <c r="A22" s="1140"/>
      <c r="B22" s="1141">
        <v>2</v>
      </c>
      <c r="C22" s="2395" t="s">
        <v>1604</v>
      </c>
      <c r="D22" s="2396"/>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9" t="s">
        <v>556</v>
      </c>
      <c r="D43" s="2400"/>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1" t="s">
        <v>816</v>
      </c>
      <c r="D56" s="2392"/>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91" t="s">
        <v>1796</v>
      </c>
      <c r="D70" s="2392"/>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50082090004</v>
      </c>
    </row>
    <row r="3" spans="1:2" x14ac:dyDescent="0.2">
      <c r="A3" t="s">
        <v>1012</v>
      </c>
      <c r="B3" s="138" t="str">
        <f>COVER!A15</f>
        <v>St. Clair</v>
      </c>
    </row>
    <row r="4" spans="1:2" x14ac:dyDescent="0.2">
      <c r="A4" t="s">
        <v>1063</v>
      </c>
      <c r="B4" s="138" t="str">
        <f>COVER!A17</f>
        <v>O'Fallon CCSD 90</v>
      </c>
    </row>
    <row r="5" spans="1:2" x14ac:dyDescent="0.2">
      <c r="A5" t="s">
        <v>727</v>
      </c>
      <c r="B5" s="138" t="str">
        <f>COVER!A38</f>
        <v>Carrie Hruby</v>
      </c>
    </row>
    <row r="6" spans="1:2" x14ac:dyDescent="0.2">
      <c r="A6" t="s">
        <v>732</v>
      </c>
      <c r="B6" s="138">
        <f>COVER!P35</f>
        <v>0</v>
      </c>
    </row>
    <row r="7" spans="1:2" x14ac:dyDescent="0.2">
      <c r="A7" t="s">
        <v>728</v>
      </c>
      <c r="B7" s="138">
        <f>COVER!I38</f>
        <v>0</v>
      </c>
    </row>
    <row r="8" spans="1:2" x14ac:dyDescent="0.2">
      <c r="A8" t="s">
        <v>729</v>
      </c>
      <c r="B8" s="138" t="str">
        <f>COVER!T38</f>
        <v>Susan Sarfaty</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066-003932</v>
      </c>
    </row>
    <row r="16" spans="1:2" x14ac:dyDescent="0.2">
      <c r="A16" t="s">
        <v>441</v>
      </c>
      <c r="B16" s="138" t="str">
        <f>COVER!T13</f>
        <v>Schorb &amp; Schmersahl, LLC</v>
      </c>
    </row>
    <row r="17" spans="1:2" x14ac:dyDescent="0.2">
      <c r="A17" t="s">
        <v>938</v>
      </c>
      <c r="B17" s="138" t="str">
        <f>COVER!T15</f>
        <v>James R. Schmersahl</v>
      </c>
    </row>
    <row r="18" spans="1:2" x14ac:dyDescent="0.2">
      <c r="A18" t="s">
        <v>1211</v>
      </c>
      <c r="B18" s="138" t="str">
        <f>COVER!T17</f>
        <v>518 North Main Street</v>
      </c>
    </row>
    <row r="19" spans="1:2" x14ac:dyDescent="0.2">
      <c r="A19" t="s">
        <v>940</v>
      </c>
      <c r="B19" s="138" t="str">
        <f>COVER!T25</f>
        <v>jim@stcpa.com</v>
      </c>
    </row>
    <row r="20" spans="1:2" x14ac:dyDescent="0.2">
      <c r="A20" t="s">
        <v>941</v>
      </c>
      <c r="B20" s="138" t="str">
        <f>COVER!T19</f>
        <v>Columbia</v>
      </c>
    </row>
    <row r="21" spans="1:2" x14ac:dyDescent="0.2">
      <c r="A21" t="s">
        <v>499</v>
      </c>
      <c r="B21" s="138" t="str">
        <f>COVER!X19</f>
        <v>IL</v>
      </c>
    </row>
    <row r="22" spans="1:2" x14ac:dyDescent="0.2">
      <c r="A22" t="s">
        <v>942</v>
      </c>
      <c r="B22" s="138">
        <f>COVER!Z19</f>
        <v>62236</v>
      </c>
    </row>
    <row r="23" spans="1:2" x14ac:dyDescent="0.2">
      <c r="A23" t="s">
        <v>1213</v>
      </c>
      <c r="B23" s="138" t="str">
        <f>COVER!T21</f>
        <v>618-281-5195</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t="str">
        <f>COVER!U34</f>
        <v>X</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2044424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4545481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20229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20229</v>
      </c>
      <c r="C91" s="2" t="s">
        <v>593</v>
      </c>
      <c r="D91" s="2" t="str">
        <f t="shared" si="0"/>
        <v>Error?</v>
      </c>
    </row>
    <row r="92" spans="1:4" x14ac:dyDescent="0.2">
      <c r="A92" s="5">
        <v>31</v>
      </c>
      <c r="B92" s="138">
        <f>'Assets-Liab 5-6'!C39</f>
        <v>4525252</v>
      </c>
      <c r="D92" s="2" t="str">
        <f t="shared" si="0"/>
        <v>Error?</v>
      </c>
    </row>
    <row r="93" spans="1:4" x14ac:dyDescent="0.2">
      <c r="A93" s="5">
        <v>32</v>
      </c>
      <c r="B93" s="138">
        <f>'Assets-Liab 5-6'!C41</f>
        <v>4545481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890220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1026075</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1026075</v>
      </c>
      <c r="D123" s="2" t="str">
        <f t="shared" si="0"/>
        <v>Error?</v>
      </c>
    </row>
    <row r="124" spans="1:4" x14ac:dyDescent="0.2">
      <c r="A124" s="5">
        <v>63</v>
      </c>
      <c r="B124" s="138">
        <f>'Assets-Liab 5-6'!D41</f>
        <v>1026075</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1271780</v>
      </c>
      <c r="D129" s="2" t="str">
        <f t="shared" si="1"/>
        <v>Error?</v>
      </c>
    </row>
    <row r="130" spans="1:4" x14ac:dyDescent="0.2">
      <c r="A130" s="5">
        <v>69</v>
      </c>
      <c r="B130" s="138">
        <f>'Assets-Liab 5-6'!E12</f>
        <v>0</v>
      </c>
      <c r="D130" s="2" t="str">
        <f t="shared" si="1"/>
        <v>Error?</v>
      </c>
    </row>
    <row r="131" spans="1:4" x14ac:dyDescent="0.2">
      <c r="A131" s="5">
        <v>70</v>
      </c>
      <c r="B131" s="138">
        <f>'Assets-Liab 5-6'!E13</f>
        <v>1272041</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1272041</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200827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451837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451837</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410023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516989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516989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1058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1753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1753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2935335</v>
      </c>
      <c r="D273" s="2" t="str">
        <f t="shared" si="3"/>
        <v>Error?</v>
      </c>
    </row>
    <row r="274" spans="1:4" x14ac:dyDescent="0.2">
      <c r="A274" s="5">
        <v>213</v>
      </c>
      <c r="B274" s="138">
        <f>'Assets-Liab 5-6'!M17</f>
        <v>45942400</v>
      </c>
      <c r="D274" s="2" t="str">
        <f t="shared" si="3"/>
        <v>Error?</v>
      </c>
    </row>
    <row r="275" spans="1:4" x14ac:dyDescent="0.2">
      <c r="A275" s="5">
        <v>214</v>
      </c>
      <c r="B275" s="138">
        <f>'Assets-Liab 5-6'!M18</f>
        <v>531556</v>
      </c>
      <c r="D275" s="2" t="str">
        <f t="shared" si="3"/>
        <v>Error?</v>
      </c>
    </row>
    <row r="276" spans="1:4" x14ac:dyDescent="0.2">
      <c r="A276" s="5">
        <v>215</v>
      </c>
      <c r="B276" s="138">
        <f>'Assets-Liab 5-6'!M19</f>
        <v>408765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49818056</v>
      </c>
      <c r="C279" s="2" t="s">
        <v>593</v>
      </c>
      <c r="D279" s="2" t="str">
        <f t="shared" si="3"/>
        <v>Error?</v>
      </c>
    </row>
    <row r="280" spans="1:4" x14ac:dyDescent="0.2">
      <c r="A280" s="5">
        <v>219</v>
      </c>
      <c r="B280" s="138">
        <f>'Assets-Liab 5-6'!M40</f>
        <v>49818056</v>
      </c>
      <c r="D280" s="2" t="str">
        <f t="shared" si="3"/>
        <v>Error?</v>
      </c>
    </row>
    <row r="281" spans="1:4" x14ac:dyDescent="0.2">
      <c r="A281" s="5">
        <v>220</v>
      </c>
      <c r="B281" s="138">
        <f>'Assets-Liab 5-6'!M41</f>
        <v>49818056</v>
      </c>
      <c r="C281" s="2" t="s">
        <v>593</v>
      </c>
      <c r="D281" s="2" t="str">
        <f t="shared" si="3"/>
        <v>Error?</v>
      </c>
    </row>
    <row r="282" spans="1:4" x14ac:dyDescent="0.2">
      <c r="A282" s="5">
        <v>221</v>
      </c>
      <c r="B282" s="138">
        <f>'Assets-Liab 5-6'!N21</f>
        <v>1272041</v>
      </c>
      <c r="D282" s="2" t="str">
        <f t="shared" si="3"/>
        <v>Error?</v>
      </c>
    </row>
    <row r="283" spans="1:4" x14ac:dyDescent="0.2">
      <c r="A283" s="5">
        <v>222</v>
      </c>
      <c r="B283" s="138">
        <f>'Assets-Liab 5-6'!N22</f>
        <v>30904893</v>
      </c>
      <c r="D283" s="2" t="str">
        <f t="shared" si="3"/>
        <v>Error?</v>
      </c>
    </row>
    <row r="284" spans="1:4" x14ac:dyDescent="0.2">
      <c r="A284" s="5">
        <v>223</v>
      </c>
      <c r="B284" s="138">
        <f>'Assets-Liab 5-6'!N23</f>
        <v>32176934</v>
      </c>
      <c r="C284" s="2" t="s">
        <v>593</v>
      </c>
      <c r="D284" s="2" t="str">
        <f t="shared" si="3"/>
        <v>Error?</v>
      </c>
    </row>
    <row r="285" spans="1:4" x14ac:dyDescent="0.2">
      <c r="A285" s="5">
        <v>224</v>
      </c>
      <c r="B285" s="138">
        <f>'Assets-Liab 5-6'!N36</f>
        <v>32176934</v>
      </c>
      <c r="D285" s="2" t="str">
        <f t="shared" si="3"/>
        <v>Error?</v>
      </c>
    </row>
    <row r="286" spans="1:4" x14ac:dyDescent="0.2">
      <c r="A286" s="10">
        <v>225</v>
      </c>
      <c r="D286" s="2" t="str">
        <f t="shared" si="3"/>
        <v>OK</v>
      </c>
    </row>
    <row r="287" spans="1:4" x14ac:dyDescent="0.2">
      <c r="A287" s="5">
        <v>226</v>
      </c>
      <c r="B287" s="138">
        <f>'Assets-Liab 5-6'!N37</f>
        <v>32176934</v>
      </c>
      <c r="C287" s="2" t="s">
        <v>593</v>
      </c>
      <c r="D287" s="2" t="str">
        <f t="shared" si="3"/>
        <v>Error?</v>
      </c>
    </row>
    <row r="288" spans="1:4" x14ac:dyDescent="0.2">
      <c r="A288" s="5">
        <v>227</v>
      </c>
      <c r="B288" s="138">
        <f>'Assets-Liab 5-6'!N41</f>
        <v>32176934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8014512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137749</v>
      </c>
      <c r="D718" s="2" t="str">
        <f t="shared" si="10"/>
        <v>Error?</v>
      </c>
    </row>
    <row r="719" spans="1:4" x14ac:dyDescent="0.2">
      <c r="A719" s="5">
        <v>658</v>
      </c>
      <c r="B719" s="138">
        <f>'Expenditures 15-22'!C15</f>
        <v>38702</v>
      </c>
      <c r="D719" s="2" t="str">
        <f t="shared" si="10"/>
        <v>Error?</v>
      </c>
    </row>
    <row r="720" spans="1:4" x14ac:dyDescent="0.2">
      <c r="A720" s="5">
        <v>659</v>
      </c>
      <c r="B720" s="138">
        <f>'Expenditures 15-22'!C33</f>
        <v>11299627</v>
      </c>
      <c r="C720" s="2" t="s">
        <v>593</v>
      </c>
      <c r="D720" s="2" t="str">
        <f t="shared" si="10"/>
        <v>Error?</v>
      </c>
    </row>
    <row r="721" spans="1:4" x14ac:dyDescent="0.2">
      <c r="A721" s="5">
        <v>660</v>
      </c>
      <c r="B721" s="138">
        <f>'Expenditures 15-22'!C36</f>
        <v>248365</v>
      </c>
      <c r="D721" s="2" t="str">
        <f t="shared" si="10"/>
        <v>Error?</v>
      </c>
    </row>
    <row r="722" spans="1:4" x14ac:dyDescent="0.2">
      <c r="A722" s="5">
        <v>661</v>
      </c>
      <c r="B722" s="138">
        <f>'Expenditures 15-22'!C37</f>
        <v>2780</v>
      </c>
      <c r="D722" s="2" t="str">
        <f t="shared" si="10"/>
        <v>Error?</v>
      </c>
    </row>
    <row r="723" spans="1:4" x14ac:dyDescent="0.2">
      <c r="A723" s="5">
        <v>662</v>
      </c>
      <c r="B723" s="138">
        <f>'Expenditures 15-22'!C38</f>
        <v>570131</v>
      </c>
      <c r="D723" s="2" t="str">
        <f t="shared" si="10"/>
        <v>Error?</v>
      </c>
    </row>
    <row r="724" spans="1:4" x14ac:dyDescent="0.2">
      <c r="A724" s="5">
        <v>663</v>
      </c>
      <c r="B724" s="138">
        <f>'Expenditures 15-22'!C39</f>
        <v>60099</v>
      </c>
      <c r="D724" s="2" t="str">
        <f t="shared" si="10"/>
        <v>Error?</v>
      </c>
    </row>
    <row r="725" spans="1:4" x14ac:dyDescent="0.2">
      <c r="A725" s="5">
        <v>664</v>
      </c>
      <c r="B725" s="138">
        <f>'Expenditures 15-22'!C40</f>
        <v>471283</v>
      </c>
      <c r="D725" s="2" t="str">
        <f t="shared" si="10"/>
        <v>Error?</v>
      </c>
    </row>
    <row r="726" spans="1:4" x14ac:dyDescent="0.2">
      <c r="A726" s="5">
        <v>665</v>
      </c>
      <c r="B726" s="138">
        <f>'Expenditures 15-22'!C41</f>
        <v>4658</v>
      </c>
      <c r="D726" s="2" t="str">
        <f t="shared" si="10"/>
        <v>Error?</v>
      </c>
    </row>
    <row r="727" spans="1:4" x14ac:dyDescent="0.2">
      <c r="A727" s="5">
        <v>666</v>
      </c>
      <c r="B727" s="138">
        <f>'Expenditures 15-22'!C42</f>
        <v>1357316</v>
      </c>
      <c r="C727" s="2" t="s">
        <v>593</v>
      </c>
      <c r="D727" s="2" t="str">
        <f t="shared" si="10"/>
        <v>Error?</v>
      </c>
    </row>
    <row r="728" spans="1:4" x14ac:dyDescent="0.2">
      <c r="A728" s="5">
        <v>667</v>
      </c>
      <c r="B728" s="138">
        <f>'Expenditures 15-22'!C44</f>
        <v>20480</v>
      </c>
      <c r="D728" s="2" t="str">
        <f t="shared" si="10"/>
        <v>Error?</v>
      </c>
    </row>
    <row r="729" spans="1:4" x14ac:dyDescent="0.2">
      <c r="A729" s="5">
        <v>668</v>
      </c>
      <c r="B729" s="138">
        <f>'Expenditures 15-22'!C45</f>
        <v>304061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324541</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168475</v>
      </c>
      <c r="D733" s="2" t="str">
        <f t="shared" si="10"/>
        <v>Error?</v>
      </c>
    </row>
    <row r="734" spans="1:4" x14ac:dyDescent="0.2">
      <c r="A734" s="5">
        <v>673</v>
      </c>
      <c r="B734" s="138">
        <f>'Expenditures 15-22'!C53</f>
        <v>182497</v>
      </c>
      <c r="C734" s="2" t="s">
        <v>593</v>
      </c>
      <c r="D734" s="2" t="str">
        <f t="shared" si="10"/>
        <v>Error?</v>
      </c>
    </row>
    <row r="735" spans="1:4" x14ac:dyDescent="0.2">
      <c r="A735" s="5">
        <v>674</v>
      </c>
      <c r="B735" s="138">
        <f>'Expenditures 15-22'!C55</f>
        <v>1076200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1076200</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169505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20868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190373</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3130927</v>
      </c>
      <c r="C755" s="2" t="s">
        <v>593</v>
      </c>
      <c r="D755" s="2" t="str">
        <f t="shared" si="10"/>
        <v>Error?</v>
      </c>
    </row>
    <row r="756" spans="1:4" x14ac:dyDescent="0.2">
      <c r="A756" s="5">
        <v>695</v>
      </c>
      <c r="B756" s="138">
        <f>'Expenditures 15-22'!C75</f>
        <v>860734</v>
      </c>
      <c r="D756" s="2" t="str">
        <f t="shared" si="10"/>
        <v>Error?</v>
      </c>
    </row>
    <row r="757" spans="1:4" x14ac:dyDescent="0.2">
      <c r="A757" s="5">
        <v>696</v>
      </c>
      <c r="B757" s="138">
        <f>'Expenditures 15-22'!C114</f>
        <v>15291288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2142811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9451</v>
      </c>
      <c r="D776" s="2" t="str">
        <f t="shared" si="11"/>
        <v>Error?</v>
      </c>
    </row>
    <row r="777" spans="1:4" x14ac:dyDescent="0.2">
      <c r="A777" s="5">
        <v>716</v>
      </c>
      <c r="B777" s="138">
        <f>'Expenditures 15-22'!D15</f>
        <v>640</v>
      </c>
      <c r="D777" s="2" t="str">
        <f t="shared" si="11"/>
        <v>Error?</v>
      </c>
    </row>
    <row r="778" spans="1:4" x14ac:dyDescent="0.2">
      <c r="A778" s="5">
        <v>717</v>
      </c>
      <c r="B778" s="138">
        <f>'Expenditures 15-22'!D33</f>
        <v>3069343</v>
      </c>
      <c r="C778" s="2" t="s">
        <v>593</v>
      </c>
      <c r="D778" s="2" t="str">
        <f t="shared" si="11"/>
        <v>Error?</v>
      </c>
    </row>
    <row r="779" spans="1:4" x14ac:dyDescent="0.2">
      <c r="A779" s="5">
        <v>718</v>
      </c>
      <c r="B779" s="138">
        <f>'Expenditures 15-22'!D36</f>
        <v>64371</v>
      </c>
      <c r="D779" s="2" t="str">
        <f t="shared" si="11"/>
        <v>Error?</v>
      </c>
    </row>
    <row r="780" spans="1:4" x14ac:dyDescent="0.2">
      <c r="A780" s="5">
        <v>719</v>
      </c>
      <c r="B780" s="138">
        <f>'Expenditures 15-22'!D37</f>
        <v>230</v>
      </c>
      <c r="D780" s="2" t="str">
        <f t="shared" si="11"/>
        <v>Error?</v>
      </c>
    </row>
    <row r="781" spans="1:4" x14ac:dyDescent="0.2">
      <c r="A781" s="5">
        <v>720</v>
      </c>
      <c r="B781" s="138">
        <f>'Expenditures 15-22'!D38</f>
        <v>99913</v>
      </c>
      <c r="D781" s="2" t="str">
        <f t="shared" si="11"/>
        <v>Error?</v>
      </c>
    </row>
    <row r="782" spans="1:4" x14ac:dyDescent="0.2">
      <c r="A782" s="5">
        <v>721</v>
      </c>
      <c r="B782" s="138">
        <f>'Expenditures 15-22'!D39</f>
        <v>5377</v>
      </c>
      <c r="D782" s="2" t="str">
        <f t="shared" si="11"/>
        <v>Error?</v>
      </c>
    </row>
    <row r="783" spans="1:4" x14ac:dyDescent="0.2">
      <c r="A783" s="5">
        <v>722</v>
      </c>
      <c r="B783" s="138">
        <f>'Expenditures 15-22'!D40</f>
        <v>126789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296680</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48803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48803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37325</v>
      </c>
      <c r="D791" s="2" t="str">
        <f t="shared" si="11"/>
        <v>Error?</v>
      </c>
    </row>
    <row r="792" spans="1:4" x14ac:dyDescent="0.2">
      <c r="A792" s="5">
        <v>731</v>
      </c>
      <c r="B792" s="138">
        <f>'Expenditures 15-22'!D53</f>
        <v>39399</v>
      </c>
      <c r="C792" s="2" t="s">
        <v>593</v>
      </c>
      <c r="D792" s="2" t="str">
        <f t="shared" si="11"/>
        <v>Error?</v>
      </c>
    </row>
    <row r="793" spans="1:4" x14ac:dyDescent="0.2">
      <c r="A793" s="5">
        <v>732</v>
      </c>
      <c r="B793" s="138">
        <f>'Expenditures 15-22'!D55</f>
        <v>262320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262320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4668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4668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651870</v>
      </c>
      <c r="C813" s="2" t="s">
        <v>593</v>
      </c>
      <c r="D813" s="2" t="str">
        <f t="shared" si="11"/>
        <v>Error?</v>
      </c>
    </row>
    <row r="814" spans="1:4" x14ac:dyDescent="0.2">
      <c r="A814" s="5">
        <v>753</v>
      </c>
      <c r="B814" s="138">
        <f>'Expenditures 15-22'!D75</f>
        <v>173848</v>
      </c>
      <c r="D814" s="2" t="str">
        <f t="shared" si="11"/>
        <v>Error?</v>
      </c>
    </row>
    <row r="815" spans="1:4" x14ac:dyDescent="0.2">
      <c r="A815" s="5">
        <v>754</v>
      </c>
      <c r="B815" s="138">
        <f>'Expenditures 15-22'!D114</f>
        <v>3895061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23275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20260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51392</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16204</v>
      </c>
      <c r="D839" s="2" t="str">
        <f t="shared" si="12"/>
        <v>Error?</v>
      </c>
    </row>
    <row r="840" spans="1:4" x14ac:dyDescent="0.2">
      <c r="A840" s="5">
        <v>779</v>
      </c>
      <c r="B840" s="138">
        <f>'Expenditures 15-22'!E39</f>
        <v>103530</v>
      </c>
      <c r="D840" s="2" t="str">
        <f t="shared" si="12"/>
        <v>Error?</v>
      </c>
    </row>
    <row r="841" spans="1:4" x14ac:dyDescent="0.2">
      <c r="A841" s="5">
        <v>780</v>
      </c>
      <c r="B841" s="138">
        <f>'Expenditures 15-22'!E40</f>
        <v>13719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133453</v>
      </c>
      <c r="C843" s="2" t="s">
        <v>593</v>
      </c>
      <c r="D843" s="2" t="str">
        <f t="shared" si="12"/>
        <v>Error?</v>
      </c>
    </row>
    <row r="844" spans="1:4" x14ac:dyDescent="0.2">
      <c r="A844" s="5">
        <v>783</v>
      </c>
      <c r="B844" s="138">
        <f>'Expenditures 15-22'!E44</f>
        <v>41354</v>
      </c>
      <c r="D844" s="2" t="str">
        <f t="shared" si="12"/>
        <v>Error?</v>
      </c>
    </row>
    <row r="845" spans="1:4" x14ac:dyDescent="0.2">
      <c r="A845" s="5">
        <v>784</v>
      </c>
      <c r="B845" s="138">
        <f>'Expenditures 15-22'!E45</f>
        <v>53682</v>
      </c>
      <c r="D845" s="2" t="str">
        <f t="shared" si="12"/>
        <v>Error?</v>
      </c>
    </row>
    <row r="846" spans="1:4" x14ac:dyDescent="0.2">
      <c r="A846" s="5">
        <v>785</v>
      </c>
      <c r="B846" s="138">
        <f>'Expenditures 15-22'!E46</f>
        <v>23621</v>
      </c>
      <c r="D846" s="2" t="str">
        <f t="shared" si="12"/>
        <v>Error?</v>
      </c>
    </row>
    <row r="847" spans="1:4" x14ac:dyDescent="0.2">
      <c r="A847" s="5">
        <v>786</v>
      </c>
      <c r="B847" s="138">
        <f>'Expenditures 15-22'!E47</f>
        <v>118657</v>
      </c>
      <c r="C847" s="2" t="s">
        <v>593</v>
      </c>
      <c r="D847" s="2" t="str">
        <f t="shared" si="12"/>
        <v>Error?</v>
      </c>
    </row>
    <row r="848" spans="1:4" x14ac:dyDescent="0.2">
      <c r="A848" s="5">
        <v>787</v>
      </c>
      <c r="B848" s="138">
        <f>'Expenditures 15-22'!E49</f>
        <v>7488</v>
      </c>
      <c r="D848" s="2" t="str">
        <f t="shared" si="12"/>
        <v>Error?</v>
      </c>
    </row>
    <row r="849" spans="1:4" x14ac:dyDescent="0.2">
      <c r="A849" s="5">
        <v>788</v>
      </c>
      <c r="B849" s="138">
        <f>'Expenditures 15-22'!E50</f>
        <v>1145</v>
      </c>
      <c r="D849" s="2" t="str">
        <f t="shared" si="12"/>
        <v>Error?</v>
      </c>
    </row>
    <row r="850" spans="1:4" x14ac:dyDescent="0.2">
      <c r="A850" s="5">
        <v>789</v>
      </c>
      <c r="B850" s="138">
        <f>'Expenditures 15-22'!E53</f>
        <v>8633</v>
      </c>
      <c r="C850" s="2" t="s">
        <v>593</v>
      </c>
      <c r="D850" s="2" t="str">
        <f t="shared" si="12"/>
        <v>Error?</v>
      </c>
    </row>
    <row r="851" spans="1:4" x14ac:dyDescent="0.2">
      <c r="A851" s="5">
        <v>790</v>
      </c>
      <c r="B851" s="138">
        <f>'Expenditures 15-22'!E55</f>
        <v>7338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7338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48513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1069054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1117567</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1385648</v>
      </c>
      <c r="C871" s="2" t="s">
        <v>593</v>
      </c>
      <c r="D871" s="2" t="str">
        <f t="shared" si="12"/>
        <v>Error?</v>
      </c>
    </row>
    <row r="872" spans="1:4" x14ac:dyDescent="0.2">
      <c r="A872" s="5">
        <v>811</v>
      </c>
      <c r="B872" s="138">
        <f>'Expenditures 15-22'!E75</f>
        <v>23230</v>
      </c>
      <c r="D872" s="2" t="str">
        <f t="shared" si="12"/>
        <v>Error?</v>
      </c>
    </row>
    <row r="873" spans="1:4" x14ac:dyDescent="0.2">
      <c r="A873" s="5">
        <v>812</v>
      </c>
      <c r="B873" s="138">
        <f>'Expenditures 15-22'!E114</f>
        <v>1465664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340560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2836</v>
      </c>
      <c r="D891" s="2" t="str">
        <f t="shared" si="12"/>
        <v>Error?</v>
      </c>
    </row>
    <row r="892" spans="1:4" x14ac:dyDescent="0.2">
      <c r="A892" s="5">
        <v>831</v>
      </c>
      <c r="B892" s="138">
        <f>'Expenditures 15-22'!F14</f>
        <v>4487</v>
      </c>
      <c r="D892" s="2" t="str">
        <f t="shared" si="12"/>
        <v>Error?</v>
      </c>
    </row>
    <row r="893" spans="1:4" x14ac:dyDescent="0.2">
      <c r="A893" s="5">
        <v>832</v>
      </c>
      <c r="B893" s="138">
        <f>'Expenditures 15-22'!F15</f>
        <v>1828</v>
      </c>
      <c r="D893" s="2" t="str">
        <f t="shared" si="12"/>
        <v>Error?</v>
      </c>
    </row>
    <row r="894" spans="1:4" x14ac:dyDescent="0.2">
      <c r="A894" s="5">
        <v>833</v>
      </c>
      <c r="B894" s="138">
        <f>'Expenditures 15-22'!F33</f>
        <v>382028</v>
      </c>
      <c r="C894" s="2" t="s">
        <v>593</v>
      </c>
      <c r="D894" s="2" t="str">
        <f t="shared" si="12"/>
        <v>Error?</v>
      </c>
    </row>
    <row r="895" spans="1:4" x14ac:dyDescent="0.2">
      <c r="A895" s="5">
        <v>834</v>
      </c>
      <c r="B895" s="138">
        <f>'Expenditures 15-22'!F36</f>
        <v>149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11811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2462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14422</v>
      </c>
      <c r="C901" s="2" t="s">
        <v>593</v>
      </c>
      <c r="D901" s="2" t="str">
        <f t="shared" si="13"/>
        <v>Error?</v>
      </c>
    </row>
    <row r="902" spans="1:4" x14ac:dyDescent="0.2">
      <c r="A902" s="5">
        <v>841</v>
      </c>
      <c r="B902" s="138">
        <f>'Expenditures 15-22'!F44</f>
        <v>3768</v>
      </c>
      <c r="D902" s="2" t="str">
        <f t="shared" si="13"/>
        <v>Error?</v>
      </c>
    </row>
    <row r="903" spans="1:4" x14ac:dyDescent="0.2">
      <c r="A903" s="5">
        <v>842</v>
      </c>
      <c r="B903" s="138">
        <f>'Expenditures 15-22'!F45</f>
        <v>59612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63380</v>
      </c>
      <c r="C905" s="2" t="s">
        <v>593</v>
      </c>
      <c r="D905" s="2" t="str">
        <f t="shared" si="13"/>
        <v>Error?</v>
      </c>
    </row>
    <row r="906" spans="1:4" x14ac:dyDescent="0.2">
      <c r="A906" s="5">
        <v>845</v>
      </c>
      <c r="B906" s="138">
        <f>'Expenditures 15-22'!F49</f>
        <v>15248</v>
      </c>
      <c r="D906" s="2" t="str">
        <f t="shared" si="13"/>
        <v>Error?</v>
      </c>
    </row>
    <row r="907" spans="1:4" x14ac:dyDescent="0.2">
      <c r="A907" s="5">
        <v>846</v>
      </c>
      <c r="B907" s="138">
        <f>'Expenditures 15-22'!F50</f>
        <v>9554</v>
      </c>
      <c r="D907" s="2" t="str">
        <f t="shared" si="13"/>
        <v>Error?</v>
      </c>
    </row>
    <row r="908" spans="1:4" x14ac:dyDescent="0.2">
      <c r="A908" s="5">
        <v>847</v>
      </c>
      <c r="B908" s="138">
        <f>'Expenditures 15-22'!F53</f>
        <v>24802</v>
      </c>
      <c r="C908" s="2" t="s">
        <v>593</v>
      </c>
      <c r="D908" s="2" t="str">
        <f t="shared" si="13"/>
        <v>Error?</v>
      </c>
    </row>
    <row r="909" spans="1:4" x14ac:dyDescent="0.2">
      <c r="A909" s="5">
        <v>848</v>
      </c>
      <c r="B909" s="138">
        <f>'Expenditures 15-22'!F55</f>
        <v>7323</v>
      </c>
      <c r="D909" s="2" t="str">
        <f t="shared" si="13"/>
        <v>Error?</v>
      </c>
    </row>
    <row r="910" spans="1:4" x14ac:dyDescent="0.2">
      <c r="A910" s="5">
        <v>849</v>
      </c>
      <c r="B910" s="138">
        <f>'Expenditures 15-22'!F56</f>
        <v>1723</v>
      </c>
      <c r="D910" s="2" t="str">
        <f t="shared" si="13"/>
        <v>Error?</v>
      </c>
    </row>
    <row r="911" spans="1:4" x14ac:dyDescent="0.2">
      <c r="A911" s="5">
        <v>850</v>
      </c>
      <c r="B911" s="138">
        <f>'Expenditures 15-22'!F57</f>
        <v>9046</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13491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7247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20738</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270</v>
      </c>
      <c r="D928" s="2" t="str">
        <f t="shared" si="13"/>
        <v>Error?</v>
      </c>
    </row>
    <row r="929" spans="1:4" x14ac:dyDescent="0.2">
      <c r="A929" s="5">
        <v>868</v>
      </c>
      <c r="B929" s="138">
        <f>'Expenditures 15-22'!F74</f>
        <v>132658</v>
      </c>
      <c r="C929" s="2" t="s">
        <v>593</v>
      </c>
      <c r="D929" s="2" t="str">
        <f t="shared" si="13"/>
        <v>Error?</v>
      </c>
    </row>
    <row r="930" spans="1:4" x14ac:dyDescent="0.2">
      <c r="A930" s="5">
        <v>869</v>
      </c>
      <c r="B930" s="138">
        <f>'Expenditures 15-22'!F75</f>
        <v>39899</v>
      </c>
      <c r="D930" s="2" t="str">
        <f t="shared" si="13"/>
        <v>Error?</v>
      </c>
    </row>
    <row r="931" spans="1:4" x14ac:dyDescent="0.2">
      <c r="A931" s="5">
        <v>870</v>
      </c>
      <c r="B931" s="138">
        <f>'Expenditures 15-22'!F114</f>
        <v>554585</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37809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37809</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37809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37809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6997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6997</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3580</v>
      </c>
      <c r="D1018" s="2" t="str">
        <f t="shared" si="14"/>
        <v>Error?</v>
      </c>
    </row>
    <row r="1019" spans="1:4" x14ac:dyDescent="0.2">
      <c r="A1019" s="5">
        <v>958</v>
      </c>
      <c r="B1019" s="138">
        <f>'Expenditures 15-22'!H45</f>
        <v>65985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69565</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8553</v>
      </c>
      <c r="D1023" s="2" t="str">
        <f t="shared" ref="D1023:D1086" si="15">IF(ISBLANK(B1023),"OK",IF(A1023-B1023=0,"OK","Error?"))</f>
        <v>Error?</v>
      </c>
    </row>
    <row r="1024" spans="1:4" x14ac:dyDescent="0.2">
      <c r="A1024" s="5">
        <v>963</v>
      </c>
      <c r="B1024" s="138">
        <f>'Expenditures 15-22'!H53</f>
        <v>8553</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13021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13021</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91139</v>
      </c>
      <c r="C1045" s="2" t="s">
        <v>593</v>
      </c>
      <c r="D1045" s="2" t="str">
        <f t="shared" si="15"/>
        <v>Error?</v>
      </c>
    </row>
    <row r="1046" spans="1:4" x14ac:dyDescent="0.2">
      <c r="A1046" s="5">
        <v>985</v>
      </c>
      <c r="B1046" s="138">
        <f>'Expenditures 15-22'!H75</f>
        <v>8364</v>
      </c>
      <c r="D1046" s="2" t="str">
        <f t="shared" si="15"/>
        <v>Error?</v>
      </c>
    </row>
    <row r="1047" spans="1:4" x14ac:dyDescent="0.2">
      <c r="A1047" s="5">
        <v>986</v>
      </c>
      <c r="B1047" s="138">
        <f>'Expenditures 15-22'!H102</f>
        <v>785262</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891762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10521158</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2836</v>
      </c>
      <c r="C1105" s="2" t="s">
        <v>593</v>
      </c>
      <c r="D1105" s="2" t="str">
        <f t="shared" si="16"/>
        <v>Error?</v>
      </c>
    </row>
    <row r="1106" spans="1:4" x14ac:dyDescent="0.2">
      <c r="A1106" s="5">
        <v>1045</v>
      </c>
      <c r="B1106" s="138">
        <f>'Expenditures 15-22'!K14</f>
        <v>178944</v>
      </c>
      <c r="C1106" s="2" t="s">
        <v>593</v>
      </c>
      <c r="D1106" s="2" t="str">
        <f t="shared" si="16"/>
        <v>Error?</v>
      </c>
    </row>
    <row r="1107" spans="1:4" x14ac:dyDescent="0.2">
      <c r="A1107" s="5">
        <v>1046</v>
      </c>
      <c r="B1107" s="138">
        <f>'Expenditures 15-22'!K15</f>
        <v>41170</v>
      </c>
      <c r="C1107" s="2" t="s">
        <v>593</v>
      </c>
      <c r="D1107" s="2" t="str">
        <f t="shared" si="16"/>
        <v>Error?</v>
      </c>
    </row>
    <row r="1108" spans="1:4" x14ac:dyDescent="0.2">
      <c r="A1108" s="5">
        <v>1047</v>
      </c>
      <c r="B1108" s="138">
        <f>'Expenditures 15-22'!K33</f>
        <v>14809387</v>
      </c>
      <c r="C1108" s="2" t="s">
        <v>593</v>
      </c>
      <c r="D1108" s="2" t="str">
        <f t="shared" si="16"/>
        <v>Error?</v>
      </c>
    </row>
    <row r="1109" spans="1:4" x14ac:dyDescent="0.2">
      <c r="A1109" s="5">
        <v>1048</v>
      </c>
      <c r="B1109" s="138">
        <f>'Expenditures 15-22'!K36</f>
        <v>312885</v>
      </c>
      <c r="C1109" s="2" t="s">
        <v>593</v>
      </c>
      <c r="D1109" s="2" t="str">
        <f t="shared" si="16"/>
        <v>Error?</v>
      </c>
    </row>
    <row r="1110" spans="1:4" x14ac:dyDescent="0.2">
      <c r="A1110" s="5">
        <v>1049</v>
      </c>
      <c r="B1110" s="138">
        <f>'Expenditures 15-22'!K37</f>
        <v>3010</v>
      </c>
      <c r="C1110" s="2" t="s">
        <v>593</v>
      </c>
      <c r="D1110" s="2" t="str">
        <f t="shared" si="16"/>
        <v>Error?</v>
      </c>
    </row>
    <row r="1111" spans="1:4" x14ac:dyDescent="0.2">
      <c r="A1111" s="5">
        <v>1050</v>
      </c>
      <c r="B1111" s="138">
        <f>'Expenditures 15-22'!K38</f>
        <v>698059</v>
      </c>
      <c r="C1111" s="2" t="s">
        <v>593</v>
      </c>
      <c r="D1111" s="2" t="str">
        <f t="shared" si="16"/>
        <v>Error?</v>
      </c>
    </row>
    <row r="1112" spans="1:4" x14ac:dyDescent="0.2">
      <c r="A1112" s="5">
        <v>1051</v>
      </c>
      <c r="B1112" s="138">
        <f>'Expenditures 15-22'!K39</f>
        <v>169006</v>
      </c>
      <c r="C1112" s="2" t="s">
        <v>593</v>
      </c>
      <c r="D1112" s="2" t="str">
        <f t="shared" si="16"/>
        <v>Error?</v>
      </c>
    </row>
    <row r="1113" spans="1:4" x14ac:dyDescent="0.2">
      <c r="A1113" s="5">
        <v>1052</v>
      </c>
      <c r="B1113" s="138">
        <f>'Expenditures 15-22'!K40</f>
        <v>614253</v>
      </c>
      <c r="C1113" s="2" t="s">
        <v>593</v>
      </c>
      <c r="D1113" s="2" t="str">
        <f t="shared" si="16"/>
        <v>Error?</v>
      </c>
    </row>
    <row r="1114" spans="1:4" x14ac:dyDescent="0.2">
      <c r="A1114" s="5">
        <v>1053</v>
      </c>
      <c r="B1114" s="138">
        <f>'Expenditures 15-22'!K41</f>
        <v>4658</v>
      </c>
      <c r="C1114" s="2" t="s">
        <v>593</v>
      </c>
      <c r="D1114" s="2" t="str">
        <f t="shared" si="16"/>
        <v>Error?</v>
      </c>
    </row>
    <row r="1115" spans="1:4" x14ac:dyDescent="0.2">
      <c r="A1115" s="5">
        <v>1054</v>
      </c>
      <c r="B1115" s="138">
        <f>'Expenditures 15-22'!K42</f>
        <v>1801871</v>
      </c>
      <c r="C1115" s="2" t="s">
        <v>593</v>
      </c>
      <c r="D1115" s="2" t="str">
        <f t="shared" si="16"/>
        <v>Error?</v>
      </c>
    </row>
    <row r="1116" spans="1:4" x14ac:dyDescent="0.2">
      <c r="A1116" s="5">
        <v>1055</v>
      </c>
      <c r="B1116" s="138">
        <f>'Expenditures 15-22'!K44</f>
        <v>69182</v>
      </c>
      <c r="C1116" s="2" t="s">
        <v>593</v>
      </c>
      <c r="D1116" s="2" t="str">
        <f t="shared" si="16"/>
        <v>Error?</v>
      </c>
    </row>
    <row r="1117" spans="1:4" x14ac:dyDescent="0.2">
      <c r="A1117" s="5">
        <v>1056</v>
      </c>
      <c r="B1117" s="138">
        <f>'Expenditures 15-22'!K45</f>
        <v>582492</v>
      </c>
      <c r="C1117" s="2" t="s">
        <v>593</v>
      </c>
      <c r="D1117" s="2" t="str">
        <f t="shared" si="16"/>
        <v>Error?</v>
      </c>
    </row>
    <row r="1118" spans="1:4" x14ac:dyDescent="0.2">
      <c r="A1118" s="5">
        <v>1057</v>
      </c>
      <c r="B1118" s="138">
        <f>'Expenditures 15-22'!K46</f>
        <v>23621</v>
      </c>
      <c r="C1118" s="2" t="s">
        <v>593</v>
      </c>
      <c r="D1118" s="2" t="str">
        <f t="shared" si="16"/>
        <v>Error?</v>
      </c>
    </row>
    <row r="1119" spans="1:4" x14ac:dyDescent="0.2">
      <c r="A1119" s="5">
        <v>1058</v>
      </c>
      <c r="B1119" s="138">
        <f>'Expenditures 15-22'!K47</f>
        <v>675295</v>
      </c>
      <c r="C1119" s="2" t="s">
        <v>593</v>
      </c>
      <c r="D1119" s="2" t="str">
        <f t="shared" si="16"/>
        <v>Error?</v>
      </c>
    </row>
    <row r="1120" spans="1:4" x14ac:dyDescent="0.2">
      <c r="A1120" s="5">
        <v>1059</v>
      </c>
      <c r="B1120" s="138">
        <f>'Expenditures 15-22'!K49</f>
        <v>22736</v>
      </c>
      <c r="C1120" s="2" t="s">
        <v>593</v>
      </c>
      <c r="D1120" s="2" t="str">
        <f t="shared" si="16"/>
        <v>Error?</v>
      </c>
    </row>
    <row r="1121" spans="1:4" x14ac:dyDescent="0.2">
      <c r="A1121" s="5">
        <v>1060</v>
      </c>
      <c r="B1121" s="138">
        <f>'Expenditures 15-22'!K50</f>
        <v>225052</v>
      </c>
      <c r="C1121" s="2" t="s">
        <v>593</v>
      </c>
      <c r="D1121" s="2" t="str">
        <f t="shared" si="16"/>
        <v>Error?</v>
      </c>
    </row>
    <row r="1122" spans="1:4" x14ac:dyDescent="0.2">
      <c r="A1122" s="5">
        <v>1061</v>
      </c>
      <c r="B1122" s="138">
        <f>'Expenditures 15-22'!K53</f>
        <v>263884</v>
      </c>
      <c r="C1122" s="2" t="s">
        <v>593</v>
      </c>
      <c r="D1122" s="2" t="str">
        <f t="shared" si="16"/>
        <v>Error?</v>
      </c>
    </row>
    <row r="1123" spans="1:4" x14ac:dyDescent="0.2">
      <c r="A1123" s="5">
        <v>1062</v>
      </c>
      <c r="B1123" s="138">
        <f>'Expenditures 15-22'!K55</f>
        <v>1353181</v>
      </c>
      <c r="C1123" s="2" t="s">
        <v>593</v>
      </c>
      <c r="D1123" s="2" t="str">
        <f t="shared" si="16"/>
        <v>Error?</v>
      </c>
    </row>
    <row r="1124" spans="1:4" x14ac:dyDescent="0.2">
      <c r="A1124" s="5">
        <v>1063</v>
      </c>
      <c r="B1124" s="138">
        <f>'Expenditures 15-22'!K56</f>
        <v>1723</v>
      </c>
      <c r="C1124" s="2" t="s">
        <v>593</v>
      </c>
      <c r="D1124" s="2" t="str">
        <f t="shared" si="16"/>
        <v>Error?</v>
      </c>
    </row>
    <row r="1125" spans="1:4" x14ac:dyDescent="0.2">
      <c r="A1125" s="5">
        <v>1064</v>
      </c>
      <c r="B1125" s="138">
        <f>'Expenditures 15-22'!K57</f>
        <v>1354904</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236177</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1110190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1346367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270</v>
      </c>
      <c r="C1142" s="2" t="s">
        <v>593</v>
      </c>
      <c r="D1142" s="2" t="str">
        <f t="shared" si="16"/>
        <v>Error?</v>
      </c>
    </row>
    <row r="1143" spans="1:4" x14ac:dyDescent="0.2">
      <c r="A1143" s="5">
        <v>1082</v>
      </c>
      <c r="B1143" s="138">
        <f>'Expenditures 15-22'!K74</f>
        <v>5442591</v>
      </c>
      <c r="C1143" s="2" t="s">
        <v>593</v>
      </c>
      <c r="D1143" s="2" t="str">
        <f t="shared" si="16"/>
        <v>Error?</v>
      </c>
    </row>
    <row r="1144" spans="1:4" x14ac:dyDescent="0.2">
      <c r="A1144" s="5">
        <v>1083</v>
      </c>
      <c r="B1144" s="138">
        <f>'Expenditures 15-22'!K75</f>
        <v>1106075</v>
      </c>
      <c r="C1144" s="2" t="s">
        <v>593</v>
      </c>
      <c r="D1144" s="2" t="str">
        <f t="shared" si="16"/>
        <v>Error?</v>
      </c>
    </row>
    <row r="1145" spans="1:4" x14ac:dyDescent="0.2">
      <c r="A1145" s="5">
        <v>1084</v>
      </c>
      <c r="B1145" s="138">
        <f>'Expenditures 15-22'!K102</f>
        <v>790656</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22148709</v>
      </c>
      <c r="C1152" s="2" t="s">
        <v>593</v>
      </c>
      <c r="D1152" s="2" t="str">
        <f t="shared" si="17"/>
        <v>Error?</v>
      </c>
    </row>
    <row r="1153" spans="1:4" x14ac:dyDescent="0.2">
      <c r="A1153" s="5">
        <v>1092</v>
      </c>
      <c r="B1153" s="138">
        <f>'Expenditures 15-22'!K115</f>
        <v>2410589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855870</v>
      </c>
      <c r="D1221" s="2" t="str">
        <f t="shared" si="18"/>
        <v>Error?</v>
      </c>
    </row>
    <row r="1222" spans="1:4" x14ac:dyDescent="0.2">
      <c r="A1222" s="10">
        <v>1161</v>
      </c>
      <c r="D1222" s="2" t="str">
        <f t="shared" si="18"/>
        <v>OK</v>
      </c>
    </row>
    <row r="1223" spans="1:4" x14ac:dyDescent="0.2">
      <c r="A1223" s="5">
        <v>1162</v>
      </c>
      <c r="B1223" s="138">
        <f>'Expenditures 15-22'!C127</f>
        <v>855870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855870</v>
      </c>
      <c r="C1225" s="2" t="s">
        <v>593</v>
      </c>
      <c r="D1225" s="2" t="str">
        <f t="shared" si="18"/>
        <v>Error?</v>
      </c>
    </row>
    <row r="1226" spans="1:4" x14ac:dyDescent="0.2">
      <c r="A1226" s="5">
        <v>1165</v>
      </c>
      <c r="B1226" s="138">
        <f>'Expenditures 15-22'!C151</f>
        <v>855870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214789</v>
      </c>
      <c r="D1229" s="2" t="str">
        <f t="shared" si="18"/>
        <v>Error?</v>
      </c>
    </row>
    <row r="1230" spans="1:4" x14ac:dyDescent="0.2">
      <c r="A1230" s="10">
        <v>1169</v>
      </c>
      <c r="D1230" s="2" t="str">
        <f t="shared" si="18"/>
        <v>OK</v>
      </c>
    </row>
    <row r="1231" spans="1:4" x14ac:dyDescent="0.2">
      <c r="A1231" s="5">
        <v>1170</v>
      </c>
      <c r="B1231" s="138">
        <f>'Expenditures 15-22'!D127</f>
        <v>214789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214789</v>
      </c>
      <c r="C1233" s="2" t="s">
        <v>593</v>
      </c>
      <c r="D1233" s="2" t="str">
        <f t="shared" si="18"/>
        <v>Error?</v>
      </c>
    </row>
    <row r="1234" spans="1:4" x14ac:dyDescent="0.2">
      <c r="A1234" s="5">
        <v>1173</v>
      </c>
      <c r="B1234" s="138">
        <f>'Expenditures 15-22'!D151</f>
        <v>214789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928074</v>
      </c>
      <c r="D1237" s="2" t="str">
        <f t="shared" si="18"/>
        <v>Error?</v>
      </c>
    </row>
    <row r="1238" spans="1:4" x14ac:dyDescent="0.2">
      <c r="A1238" s="10">
        <v>1177</v>
      </c>
      <c r="D1238" s="2" t="str">
        <f t="shared" si="18"/>
        <v>OK</v>
      </c>
    </row>
    <row r="1239" spans="1:4" x14ac:dyDescent="0.2">
      <c r="A1239" s="5">
        <v>1178</v>
      </c>
      <c r="B1239" s="138">
        <f>'Expenditures 15-22'!E127</f>
        <v>928074</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928074</v>
      </c>
      <c r="C1241" s="2" t="s">
        <v>593</v>
      </c>
      <c r="D1241" s="2" t="str">
        <f t="shared" si="18"/>
        <v>Error?</v>
      </c>
    </row>
    <row r="1242" spans="1:4" x14ac:dyDescent="0.2">
      <c r="A1242" s="5">
        <v>1181</v>
      </c>
      <c r="B1242" s="138">
        <f>'Expenditures 15-22'!E151</f>
        <v>928074</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881013</v>
      </c>
      <c r="D1245" s="2" t="str">
        <f t="shared" si="18"/>
        <v>Error?</v>
      </c>
    </row>
    <row r="1246" spans="1:4" x14ac:dyDescent="0.2">
      <c r="A1246" s="10">
        <v>1185</v>
      </c>
      <c r="D1246" s="2" t="str">
        <f t="shared" si="18"/>
        <v>OK</v>
      </c>
    </row>
    <row r="1247" spans="1:4" x14ac:dyDescent="0.2">
      <c r="A1247" s="5">
        <v>1186</v>
      </c>
      <c r="B1247" s="138">
        <f>'Expenditures 15-22'!F127</f>
        <v>881013</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881013</v>
      </c>
      <c r="C1249" s="2" t="s">
        <v>593</v>
      </c>
      <c r="D1249" s="2" t="str">
        <f t="shared" si="18"/>
        <v>Error?</v>
      </c>
    </row>
    <row r="1250" spans="1:4" x14ac:dyDescent="0.2">
      <c r="A1250" s="5">
        <v>1189</v>
      </c>
      <c r="B1250" s="138">
        <f>'Expenditures 15-22'!F151</f>
        <v>881013</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23577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23577</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23577</v>
      </c>
      <c r="C1258" s="2" t="s">
        <v>593</v>
      </c>
      <c r="D1258" s="2" t="str">
        <f t="shared" si="18"/>
        <v>Error?</v>
      </c>
    </row>
    <row r="1259" spans="1:4" x14ac:dyDescent="0.2">
      <c r="A1259" s="5">
        <v>1198</v>
      </c>
      <c r="B1259" s="138">
        <f>'Expenditures 15-22'!G151</f>
        <v>23577</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2903323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2903323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2903323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2903323</v>
      </c>
      <c r="C1288" s="2" t="s">
        <v>593</v>
      </c>
      <c r="D1288" s="2" t="str">
        <f t="shared" si="19"/>
        <v>Error?</v>
      </c>
    </row>
    <row r="1289" spans="1:4" x14ac:dyDescent="0.2">
      <c r="A1289" s="5">
        <v>1228</v>
      </c>
      <c r="B1289" s="138">
        <f>'Expenditures 15-22'!K152</f>
        <v>506038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5603</v>
      </c>
      <c r="D1307" s="2" t="str">
        <f t="shared" si="19"/>
        <v>Error?</v>
      </c>
    </row>
    <row r="1308" spans="1:4" x14ac:dyDescent="0.2">
      <c r="A1308" s="5">
        <v>1247</v>
      </c>
      <c r="B1308" s="138">
        <f>'Expenditures 15-22'!E172</f>
        <v>5603</v>
      </c>
      <c r="C1308" s="2" t="s">
        <v>593</v>
      </c>
      <c r="D1308" s="2" t="str">
        <f t="shared" si="19"/>
        <v>Error?</v>
      </c>
    </row>
    <row r="1309" spans="1:4" x14ac:dyDescent="0.2">
      <c r="A1309" s="5">
        <v>1248</v>
      </c>
      <c r="B1309" s="138">
        <f>'Expenditures 15-22'!E174</f>
        <v>5603</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866393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2624445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3490838</v>
      </c>
      <c r="C1317" s="2" t="s">
        <v>593</v>
      </c>
      <c r="D1317" s="2" t="str">
        <f t="shared" si="19"/>
        <v>Error?</v>
      </c>
    </row>
    <row r="1318" spans="1:4" x14ac:dyDescent="0.2">
      <c r="A1318" s="5">
        <v>1257</v>
      </c>
      <c r="B1318" s="138">
        <f>'Expenditures 15-22'!H174</f>
        <v>3490838</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866393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2624445</v>
      </c>
      <c r="C1329" s="2" t="s">
        <v>593</v>
      </c>
      <c r="D1329" s="2" t="str">
        <f t="shared" si="19"/>
        <v>Error?</v>
      </c>
    </row>
    <row r="1330" spans="1:4" x14ac:dyDescent="0.2">
      <c r="A1330" s="5">
        <v>1269</v>
      </c>
      <c r="B1330" s="138">
        <f>'Expenditures 15-22'!K171</f>
        <v>5603</v>
      </c>
      <c r="C1330" s="2" t="s">
        <v>593</v>
      </c>
      <c r="D1330" s="2" t="str">
        <f t="shared" si="19"/>
        <v>Error?</v>
      </c>
    </row>
    <row r="1331" spans="1:4" x14ac:dyDescent="0.2">
      <c r="A1331" s="5">
        <v>1270</v>
      </c>
      <c r="B1331" s="138">
        <f>'Expenditures 15-22'!K172</f>
        <v>3496441</v>
      </c>
      <c r="C1331" s="2" t="s">
        <v>593</v>
      </c>
      <c r="D1331" s="2" t="str">
        <f t="shared" si="19"/>
        <v>Error?</v>
      </c>
    </row>
    <row r="1332" spans="1:4" x14ac:dyDescent="0.2">
      <c r="A1332" s="5">
        <v>1271</v>
      </c>
      <c r="B1332" s="138">
        <f>'Expenditures 15-22'!K174</f>
        <v>3496441</v>
      </c>
      <c r="C1332" s="2" t="s">
        <v>593</v>
      </c>
      <c r="D1332" s="2" t="str">
        <f t="shared" si="19"/>
        <v>Error?</v>
      </c>
    </row>
    <row r="1333" spans="1:4" x14ac:dyDescent="0.2">
      <c r="A1333" s="5">
        <v>1272</v>
      </c>
      <c r="B1333" s="138">
        <f>'Expenditures 15-22'!K175</f>
        <v>506209</v>
      </c>
      <c r="C1333" s="2" t="s">
        <v>593</v>
      </c>
      <c r="D1333" s="2" t="str">
        <f t="shared" si="19"/>
        <v>Error?</v>
      </c>
    </row>
    <row r="1334" spans="1:4" x14ac:dyDescent="0.2">
      <c r="A1334" s="10">
        <v>1273</v>
      </c>
      <c r="D1334" s="2" t="str">
        <f t="shared" si="19"/>
        <v>OK</v>
      </c>
    </row>
    <row r="1335" spans="1:4" x14ac:dyDescent="0.2">
      <c r="A1335" s="5">
        <v>1274</v>
      </c>
      <c r="B1335" s="138">
        <f>'Expenditures 15-22'!C182</f>
        <v>41050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41050</v>
      </c>
      <c r="C1339" s="2" t="s">
        <v>593</v>
      </c>
      <c r="D1339" s="2" t="str">
        <f t="shared" si="19"/>
        <v>Error?</v>
      </c>
    </row>
    <row r="1340" spans="1:4" x14ac:dyDescent="0.2">
      <c r="A1340" s="5">
        <v>1279</v>
      </c>
      <c r="B1340" s="138">
        <f>'Expenditures 15-22'!C210</f>
        <v>41050</v>
      </c>
      <c r="C1340" s="2" t="s">
        <v>593</v>
      </c>
      <c r="D1340" s="2" t="str">
        <f t="shared" si="19"/>
        <v>Error?</v>
      </c>
    </row>
    <row r="1341" spans="1:4" x14ac:dyDescent="0.2">
      <c r="A1341" s="5">
        <v>1280</v>
      </c>
      <c r="B1341" s="138">
        <f>'Expenditures 15-22'!D182</f>
        <v>3818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3818</v>
      </c>
      <c r="C1345" s="2" t="s">
        <v>593</v>
      </c>
      <c r="D1345" s="2" t="str">
        <f t="shared" si="20"/>
        <v>Error?</v>
      </c>
    </row>
    <row r="1346" spans="1:4" x14ac:dyDescent="0.2">
      <c r="A1346" s="5">
        <v>1285</v>
      </c>
      <c r="B1346" s="138">
        <f>'Expenditures 15-22'!D210</f>
        <v>3818</v>
      </c>
      <c r="C1346" s="2" t="s">
        <v>593</v>
      </c>
      <c r="D1346" s="2" t="str">
        <f t="shared" si="20"/>
        <v>Error?</v>
      </c>
    </row>
    <row r="1347" spans="1:4" x14ac:dyDescent="0.2">
      <c r="A1347" s="5">
        <v>1286</v>
      </c>
      <c r="B1347" s="138">
        <f>'Expenditures 15-22'!E182</f>
        <v>1723247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1723247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1723247</v>
      </c>
      <c r="C1353" s="2" t="s">
        <v>593</v>
      </c>
      <c r="D1353" s="2" t="str">
        <f t="shared" si="20"/>
        <v>Error?</v>
      </c>
    </row>
    <row r="1354" spans="1:4" x14ac:dyDescent="0.2">
      <c r="A1354" s="5">
        <v>1293</v>
      </c>
      <c r="B1354" s="138">
        <f>'Expenditures 15-22'!F182</f>
        <v>79858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79858</v>
      </c>
      <c r="C1358" s="2" t="s">
        <v>593</v>
      </c>
      <c r="D1358" s="2" t="str">
        <f t="shared" si="20"/>
        <v>Error?</v>
      </c>
    </row>
    <row r="1359" spans="1:4" x14ac:dyDescent="0.2">
      <c r="A1359" s="5">
        <v>1298</v>
      </c>
      <c r="B1359" s="138">
        <f>'Expenditures 15-22'!F210</f>
        <v>79858</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1847973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1847973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1847973</v>
      </c>
      <c r="C1388" s="2" t="s">
        <v>593</v>
      </c>
      <c r="D1388" s="2" t="str">
        <f t="shared" si="20"/>
        <v>Error?</v>
      </c>
    </row>
    <row r="1389" spans="1:4" x14ac:dyDescent="0.2">
      <c r="A1389" s="5">
        <v>1328</v>
      </c>
      <c r="B1389" s="138">
        <f>'Expenditures 15-22'!K211</f>
        <v>78062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6921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374095</v>
      </c>
      <c r="C1410" s="2" t="s">
        <v>593</v>
      </c>
      <c r="D1410" s="2" t="str">
        <f t="shared" si="21"/>
        <v>Error?</v>
      </c>
    </row>
    <row r="1411" spans="1:4" x14ac:dyDescent="0.2">
      <c r="A1411" s="5">
        <v>1350</v>
      </c>
      <c r="B1411" s="138">
        <f>'Expenditures 15-22'!D232</f>
        <v>3425</v>
      </c>
      <c r="D1411" s="2" t="str">
        <f t="shared" si="21"/>
        <v>Error?</v>
      </c>
    </row>
    <row r="1412" spans="1:4" x14ac:dyDescent="0.2">
      <c r="A1412" s="5">
        <v>1351</v>
      </c>
      <c r="B1412" s="138">
        <f>'Expenditures 15-22'!D233</f>
        <v>154</v>
      </c>
      <c r="D1412" s="2" t="str">
        <f t="shared" si="21"/>
        <v>Error?</v>
      </c>
    </row>
    <row r="1413" spans="1:4" x14ac:dyDescent="0.2">
      <c r="A1413" s="5">
        <v>1352</v>
      </c>
      <c r="B1413" s="138">
        <f>'Expenditures 15-22'!D234</f>
        <v>95463</v>
      </c>
      <c r="D1413" s="2" t="str">
        <f t="shared" si="21"/>
        <v>Error?</v>
      </c>
    </row>
    <row r="1414" spans="1:4" x14ac:dyDescent="0.2">
      <c r="A1414" s="5">
        <v>1353</v>
      </c>
      <c r="B1414" s="138">
        <f>'Expenditures 15-22'!D235</f>
        <v>843</v>
      </c>
      <c r="D1414" s="2" t="str">
        <f t="shared" si="21"/>
        <v>Error?</v>
      </c>
    </row>
    <row r="1415" spans="1:4" x14ac:dyDescent="0.2">
      <c r="A1415" s="5">
        <v>1354</v>
      </c>
      <c r="B1415" s="138">
        <f>'Expenditures 15-22'!D236</f>
        <v>6501</v>
      </c>
      <c r="D1415" s="2" t="str">
        <f t="shared" si="21"/>
        <v>Error?</v>
      </c>
    </row>
    <row r="1416" spans="1:4" x14ac:dyDescent="0.2">
      <c r="A1416" s="5">
        <v>1355</v>
      </c>
      <c r="B1416" s="138">
        <f>'Expenditures 15-22'!D237</f>
        <v>384</v>
      </c>
      <c r="D1416" s="2" t="str">
        <f t="shared" si="21"/>
        <v>Error?</v>
      </c>
    </row>
    <row r="1417" spans="1:4" x14ac:dyDescent="0.2">
      <c r="A1417" s="5">
        <v>1356</v>
      </c>
      <c r="B1417" s="138">
        <f>'Expenditures 15-22'!D238</f>
        <v>106770</v>
      </c>
      <c r="C1417" s="2" t="s">
        <v>593</v>
      </c>
      <c r="D1417" s="2" t="str">
        <f t="shared" si="21"/>
        <v>Error?</v>
      </c>
    </row>
    <row r="1418" spans="1:4" x14ac:dyDescent="0.2">
      <c r="A1418" s="5">
        <v>1357</v>
      </c>
      <c r="B1418" s="138">
        <f>'Expenditures 15-22'!D240</f>
        <v>264</v>
      </c>
      <c r="D1418" s="2" t="str">
        <f t="shared" si="21"/>
        <v>Error?</v>
      </c>
    </row>
    <row r="1419" spans="1:4" x14ac:dyDescent="0.2">
      <c r="A1419" s="5">
        <v>1358</v>
      </c>
      <c r="B1419" s="138">
        <f>'Expenditures 15-22'!D241</f>
        <v>45935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46199</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9412</v>
      </c>
      <c r="D1423" s="2" t="str">
        <f t="shared" si="21"/>
        <v>Error?</v>
      </c>
    </row>
    <row r="1424" spans="1:4" x14ac:dyDescent="0.2">
      <c r="A1424" s="5">
        <v>1363</v>
      </c>
      <c r="B1424" s="138">
        <f>'Expenditures 15-22'!D257</f>
        <v>143358</v>
      </c>
      <c r="C1424" s="2" t="s">
        <v>593</v>
      </c>
      <c r="D1424" s="2" t="str">
        <f t="shared" si="21"/>
        <v>Error?</v>
      </c>
    </row>
    <row r="1425" spans="1:4" x14ac:dyDescent="0.2">
      <c r="A1425" s="5">
        <v>1364</v>
      </c>
      <c r="B1425" s="138">
        <f>'Expenditures 15-22'!D259</f>
        <v>54578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54578</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28545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137632</v>
      </c>
      <c r="D1431" s="2" t="str">
        <f t="shared" si="21"/>
        <v>Error?</v>
      </c>
    </row>
    <row r="1432" spans="1:4" x14ac:dyDescent="0.2">
      <c r="A1432" s="5">
        <v>1371</v>
      </c>
      <c r="B1432" s="138">
        <f>'Expenditures 15-22'!D267</f>
        <v>2336</v>
      </c>
      <c r="D1432" s="2" t="str">
        <f t="shared" si="21"/>
        <v>Error?</v>
      </c>
    </row>
    <row r="1433" spans="1:4" x14ac:dyDescent="0.2">
      <c r="A1433" s="5">
        <v>1372</v>
      </c>
      <c r="B1433" s="138">
        <f>'Expenditures 15-22'!D268</f>
        <v>3354</v>
      </c>
      <c r="D1433" s="2" t="str">
        <f t="shared" si="21"/>
        <v>Error?</v>
      </c>
    </row>
    <row r="1434" spans="1:4" x14ac:dyDescent="0.2">
      <c r="A1434" s="5">
        <v>1373</v>
      </c>
      <c r="B1434" s="138">
        <f>'Expenditures 15-22'!D269</f>
        <v>1043</v>
      </c>
      <c r="D1434" s="2" t="str">
        <f t="shared" si="21"/>
        <v>Error?</v>
      </c>
    </row>
    <row r="1435" spans="1:4" x14ac:dyDescent="0.2">
      <c r="A1435" s="10">
        <v>1374</v>
      </c>
      <c r="D1435" s="2" t="str">
        <f t="shared" si="21"/>
        <v>OK</v>
      </c>
    </row>
    <row r="1436" spans="1:4" x14ac:dyDescent="0.2">
      <c r="A1436" s="5">
        <v>1375</v>
      </c>
      <c r="B1436" s="138">
        <f>'Expenditures 15-22'!D270</f>
        <v>172910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523815</v>
      </c>
      <c r="C1446" s="2" t="s">
        <v>593</v>
      </c>
      <c r="D1446" s="2" t="str">
        <f t="shared" si="21"/>
        <v>Error?</v>
      </c>
    </row>
    <row r="1447" spans="1:4" x14ac:dyDescent="0.2">
      <c r="A1447" s="5">
        <v>1386</v>
      </c>
      <c r="B1447" s="138">
        <f>'Expenditures 15-22'!D280</f>
        <v>131656</v>
      </c>
      <c r="D1447" s="2" t="str">
        <f t="shared" si="21"/>
        <v>Error?</v>
      </c>
    </row>
    <row r="1448" spans="1:4" x14ac:dyDescent="0.2">
      <c r="A1448" s="5">
        <v>1387</v>
      </c>
      <c r="B1448" s="138">
        <f>'Expenditures 15-22'!D295</f>
        <v>1035758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6921</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374095</v>
      </c>
      <c r="C1474" s="2" t="s">
        <v>593</v>
      </c>
      <c r="D1474" s="2" t="str">
        <f t="shared" si="22"/>
        <v>Error?</v>
      </c>
    </row>
    <row r="1475" spans="1:4" x14ac:dyDescent="0.2">
      <c r="A1475" s="5">
        <v>1414</v>
      </c>
      <c r="B1475" s="138">
        <f>'Expenditures 15-22'!K232</f>
        <v>3425</v>
      </c>
      <c r="C1475" s="2" t="s">
        <v>593</v>
      </c>
      <c r="D1475" s="2" t="str">
        <f t="shared" si="22"/>
        <v>Error?</v>
      </c>
    </row>
    <row r="1476" spans="1:4" x14ac:dyDescent="0.2">
      <c r="A1476" s="5">
        <v>1415</v>
      </c>
      <c r="B1476" s="138">
        <f>'Expenditures 15-22'!K233</f>
        <v>154</v>
      </c>
      <c r="C1476" s="2" t="s">
        <v>593</v>
      </c>
      <c r="D1476" s="2" t="str">
        <f t="shared" si="22"/>
        <v>Error?</v>
      </c>
    </row>
    <row r="1477" spans="1:4" x14ac:dyDescent="0.2">
      <c r="A1477" s="5">
        <v>1416</v>
      </c>
      <c r="B1477" s="138">
        <f>'Expenditures 15-22'!K234</f>
        <v>95463</v>
      </c>
      <c r="C1477" s="2" t="s">
        <v>593</v>
      </c>
      <c r="D1477" s="2" t="str">
        <f t="shared" si="22"/>
        <v>Error?</v>
      </c>
    </row>
    <row r="1478" spans="1:4" x14ac:dyDescent="0.2">
      <c r="A1478" s="5">
        <v>1417</v>
      </c>
      <c r="B1478" s="138">
        <f>'Expenditures 15-22'!K235</f>
        <v>843</v>
      </c>
      <c r="C1478" s="2" t="s">
        <v>593</v>
      </c>
      <c r="D1478" s="2" t="str">
        <f t="shared" si="22"/>
        <v>Error?</v>
      </c>
    </row>
    <row r="1479" spans="1:4" x14ac:dyDescent="0.2">
      <c r="A1479" s="5">
        <v>1418</v>
      </c>
      <c r="B1479" s="138">
        <f>'Expenditures 15-22'!K236</f>
        <v>6501</v>
      </c>
      <c r="C1479" s="2" t="s">
        <v>593</v>
      </c>
      <c r="D1479" s="2" t="str">
        <f t="shared" si="22"/>
        <v>Error?</v>
      </c>
    </row>
    <row r="1480" spans="1:4" x14ac:dyDescent="0.2">
      <c r="A1480" s="5">
        <v>1419</v>
      </c>
      <c r="B1480" s="138">
        <f>'Expenditures 15-22'!K237</f>
        <v>384</v>
      </c>
      <c r="C1480" s="2" t="s">
        <v>593</v>
      </c>
      <c r="D1480" s="2" t="str">
        <f t="shared" si="22"/>
        <v>Error?</v>
      </c>
    </row>
    <row r="1481" spans="1:4" x14ac:dyDescent="0.2">
      <c r="A1481" s="5">
        <v>1420</v>
      </c>
      <c r="B1481" s="138">
        <f>'Expenditures 15-22'!K238</f>
        <v>106770</v>
      </c>
      <c r="C1481" s="2" t="s">
        <v>593</v>
      </c>
      <c r="D1481" s="2" t="str">
        <f t="shared" si="22"/>
        <v>Error?</v>
      </c>
    </row>
    <row r="1482" spans="1:4" x14ac:dyDescent="0.2">
      <c r="A1482" s="5">
        <v>1421</v>
      </c>
      <c r="B1482" s="138">
        <f>'Expenditures 15-22'!K240</f>
        <v>264</v>
      </c>
      <c r="C1482" s="2" t="s">
        <v>593</v>
      </c>
      <c r="D1482" s="2" t="str">
        <f t="shared" si="22"/>
        <v>Error?</v>
      </c>
    </row>
    <row r="1483" spans="1:4" x14ac:dyDescent="0.2">
      <c r="A1483" s="5">
        <v>1422</v>
      </c>
      <c r="B1483" s="138">
        <f>'Expenditures 15-22'!K241</f>
        <v>45935</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46199</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9412</v>
      </c>
      <c r="C1487" s="2" t="s">
        <v>593</v>
      </c>
      <c r="D1487" s="2" t="str">
        <f t="shared" si="22"/>
        <v>Error?</v>
      </c>
    </row>
    <row r="1488" spans="1:4" x14ac:dyDescent="0.2">
      <c r="A1488" s="5">
        <v>1427</v>
      </c>
      <c r="B1488" s="138">
        <f>'Expenditures 15-22'!K257</f>
        <v>143358</v>
      </c>
      <c r="C1488" s="2" t="s">
        <v>593</v>
      </c>
      <c r="D1488" s="2" t="str">
        <f t="shared" si="22"/>
        <v>Error?</v>
      </c>
    </row>
    <row r="1489" spans="1:4" x14ac:dyDescent="0.2">
      <c r="A1489" s="5">
        <v>1428</v>
      </c>
      <c r="B1489" s="138">
        <f>'Expenditures 15-22'!K259</f>
        <v>54578</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54578</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28545</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137632</v>
      </c>
      <c r="C1495" s="2" t="s">
        <v>593</v>
      </c>
      <c r="D1495" s="2" t="str">
        <f t="shared" si="22"/>
        <v>Error?</v>
      </c>
    </row>
    <row r="1496" spans="1:4" x14ac:dyDescent="0.2">
      <c r="A1496" s="5">
        <v>1435</v>
      </c>
      <c r="B1496" s="138">
        <f>'Expenditures 15-22'!K267</f>
        <v>2336</v>
      </c>
      <c r="C1496" s="2" t="s">
        <v>593</v>
      </c>
      <c r="D1496" s="2" t="str">
        <f t="shared" si="22"/>
        <v>Error?</v>
      </c>
    </row>
    <row r="1497" spans="1:4" x14ac:dyDescent="0.2">
      <c r="A1497" s="5">
        <v>1436</v>
      </c>
      <c r="B1497" s="138">
        <f>'Expenditures 15-22'!K268</f>
        <v>3354</v>
      </c>
      <c r="C1497" s="2" t="s">
        <v>593</v>
      </c>
      <c r="D1497" s="2" t="str">
        <f t="shared" si="22"/>
        <v>Error?</v>
      </c>
    </row>
    <row r="1498" spans="1:4" x14ac:dyDescent="0.2">
      <c r="A1498" s="5">
        <v>1437</v>
      </c>
      <c r="B1498" s="138">
        <f>'Expenditures 15-22'!K269</f>
        <v>1043</v>
      </c>
      <c r="C1498" s="2" t="s">
        <v>593</v>
      </c>
      <c r="D1498" s="2" t="str">
        <f t="shared" si="22"/>
        <v>Error?</v>
      </c>
    </row>
    <row r="1499" spans="1:4" x14ac:dyDescent="0.2">
      <c r="A1499" s="10">
        <v>1438</v>
      </c>
      <c r="D1499" s="2" t="str">
        <f t="shared" si="22"/>
        <v>OK</v>
      </c>
    </row>
    <row r="1500" spans="1:4" x14ac:dyDescent="0.2">
      <c r="A1500" s="5">
        <v>1439</v>
      </c>
      <c r="B1500" s="138">
        <f>'Expenditures 15-22'!K270</f>
        <v>172910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523815</v>
      </c>
      <c r="C1510" s="2" t="s">
        <v>593</v>
      </c>
      <c r="D1510" s="2" t="str">
        <f t="shared" si="22"/>
        <v>Error?</v>
      </c>
    </row>
    <row r="1511" spans="1:4" x14ac:dyDescent="0.2">
      <c r="A1511" s="5">
        <v>1450</v>
      </c>
      <c r="B1511" s="138">
        <f>'Expenditures 15-22'!K280</f>
        <v>131656</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1035758</v>
      </c>
      <c r="C1517" s="2" t="s">
        <v>593</v>
      </c>
      <c r="D1517" s="2" t="str">
        <f t="shared" si="22"/>
        <v>Error?</v>
      </c>
    </row>
    <row r="1518" spans="1:4" x14ac:dyDescent="0.2">
      <c r="A1518" s="5">
        <v>1457</v>
      </c>
      <c r="B1518" s="138">
        <f>'Expenditures 15-22'!K296</f>
        <v>159412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14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1999180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4525252</v>
      </c>
      <c r="C1630" s="2" t="s">
        <v>593</v>
      </c>
      <c r="D1630" s="2" t="str">
        <f t="shared" si="24"/>
        <v>Error?</v>
      </c>
    </row>
    <row r="1631" spans="1:4" x14ac:dyDescent="0.2">
      <c r="A1631" s="5">
        <v>1570</v>
      </c>
      <c r="B1631" s="138">
        <f>'Acct Summary 7-8'!D79</f>
        <v>520037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1026075</v>
      </c>
      <c r="C1644" s="2" t="s">
        <v>593</v>
      </c>
      <c r="D1644" s="2" t="str">
        <f t="shared" si="24"/>
        <v>Error?</v>
      </c>
    </row>
    <row r="1645" spans="1:4" x14ac:dyDescent="0.2">
      <c r="A1645" s="5">
        <v>1584</v>
      </c>
      <c r="B1645" s="138">
        <f>'Acct Summary 7-8'!E79</f>
        <v>765832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1272041</v>
      </c>
      <c r="C1658" s="2" t="s">
        <v>593</v>
      </c>
      <c r="D1658" s="2" t="str">
        <f t="shared" si="24"/>
        <v>Error?</v>
      </c>
    </row>
    <row r="1659" spans="1:4" x14ac:dyDescent="0.2">
      <c r="A1659" s="5">
        <v>1598</v>
      </c>
      <c r="B1659" s="138">
        <f>'Acct Summary 7-8'!F79</f>
        <v>2775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451837</v>
      </c>
      <c r="C1672" s="2" t="s">
        <v>593</v>
      </c>
      <c r="D1672" s="2" t="str">
        <f t="shared" si="25"/>
        <v>Error?</v>
      </c>
    </row>
    <row r="1673" spans="1:4" x14ac:dyDescent="0.2">
      <c r="A1673" s="5">
        <v>1612</v>
      </c>
      <c r="B1673" s="138">
        <f>'Acct Summary 7-8'!G79</f>
        <v>357577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516989</v>
      </c>
      <c r="C1686" s="2" t="s">
        <v>593</v>
      </c>
      <c r="D1686" s="2" t="str">
        <f t="shared" si="25"/>
        <v>Error?</v>
      </c>
    </row>
    <row r="1687" spans="1:4" x14ac:dyDescent="0.2">
      <c r="A1687" s="5">
        <v>1626</v>
      </c>
      <c r="B1687" s="138">
        <f>'Acct Summary 7-8'!H79</f>
        <v>1739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1753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10084997</v>
      </c>
      <c r="C1744" s="2" t="s">
        <v>593</v>
      </c>
      <c r="D1744" s="2" t="str">
        <f t="shared" si="26"/>
        <v>Error?</v>
      </c>
    </row>
    <row r="1745" spans="1:5" x14ac:dyDescent="0.2">
      <c r="A1745" s="5">
        <v>1684</v>
      </c>
      <c r="B1745" s="138">
        <f>'Tax Sched 23'!B5</f>
        <v>2881418</v>
      </c>
      <c r="C1745" s="2" t="s">
        <v>593</v>
      </c>
      <c r="D1745" s="2" t="str">
        <f t="shared" si="26"/>
        <v>Error?</v>
      </c>
    </row>
    <row r="1746" spans="1:5" x14ac:dyDescent="0.2">
      <c r="A1746" s="5">
        <v>1685</v>
      </c>
      <c r="B1746" s="138">
        <f>'Tax Sched 23'!B6</f>
        <v>3988946</v>
      </c>
      <c r="C1746" s="2" t="s">
        <v>593</v>
      </c>
      <c r="D1746" s="2" t="str">
        <f t="shared" si="26"/>
        <v>Error?</v>
      </c>
    </row>
    <row r="1747" spans="1:5" x14ac:dyDescent="0.2">
      <c r="A1747" s="5">
        <v>1686</v>
      </c>
      <c r="B1747" s="138">
        <f>'Tax Sched 23'!B7</f>
        <v>864426</v>
      </c>
      <c r="C1747" s="2" t="s">
        <v>593</v>
      </c>
      <c r="D1747" s="2" t="str">
        <f t="shared" si="26"/>
        <v>Error?</v>
      </c>
    </row>
    <row r="1748" spans="1:5" x14ac:dyDescent="0.2">
      <c r="A1748" s="5">
        <v>1687</v>
      </c>
      <c r="B1748" s="138">
        <f>'Tax Sched 23'!B8</f>
        <v>500988</v>
      </c>
      <c r="C1748" s="2" t="s">
        <v>593</v>
      </c>
      <c r="D1748" s="2" t="str">
        <f t="shared" si="26"/>
        <v>Error?</v>
      </c>
    </row>
    <row r="1749" spans="1:5" x14ac:dyDescent="0.2">
      <c r="A1749" s="5">
        <v>1688</v>
      </c>
      <c r="B1749" s="138">
        <f>'Tax Sched 23'!B10</f>
        <v>360181</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2575567</v>
      </c>
      <c r="C1752" s="2" t="s">
        <v>593</v>
      </c>
      <c r="D1752" s="2" t="str">
        <f t="shared" si="26"/>
        <v>Error?</v>
      </c>
    </row>
    <row r="1753" spans="1:5" x14ac:dyDescent="0.2">
      <c r="A1753" s="5">
        <v>1692</v>
      </c>
      <c r="B1753" s="138">
        <f>'Tax Sched 23'!B12</f>
        <v>360179</v>
      </c>
      <c r="C1753" s="2" t="s">
        <v>593</v>
      </c>
      <c r="D1753" s="2" t="str">
        <f t="shared" si="26"/>
        <v>Error?</v>
      </c>
    </row>
    <row r="1754" spans="1:5" x14ac:dyDescent="0.2">
      <c r="A1754" s="5">
        <v>1693</v>
      </c>
      <c r="B1754" s="138">
        <f>'Tax Sched 23'!B14</f>
        <v>144078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22808693</v>
      </c>
      <c r="C1759" s="2" t="s">
        <v>593</v>
      </c>
      <c r="D1759" s="2" t="str">
        <f t="shared" si="26"/>
        <v>Error?</v>
      </c>
    </row>
    <row r="1760" spans="1:5" x14ac:dyDescent="0.2">
      <c r="A1760" s="5">
        <v>1699</v>
      </c>
      <c r="B1760" s="138">
        <f>'Tax Sched 23'!D4</f>
        <v>10084997</v>
      </c>
      <c r="C1760" s="2" t="s">
        <v>593</v>
      </c>
      <c r="D1760" s="2" t="str">
        <f t="shared" si="26"/>
        <v>Error?</v>
      </c>
    </row>
    <row r="1761" spans="1:5" x14ac:dyDescent="0.2">
      <c r="A1761" s="5">
        <v>1700</v>
      </c>
      <c r="B1761" s="138">
        <f>'Tax Sched 23'!D5</f>
        <v>2881418</v>
      </c>
      <c r="C1761" s="2" t="s">
        <v>593</v>
      </c>
      <c r="D1761" s="2" t="str">
        <f t="shared" si="26"/>
        <v>Error?</v>
      </c>
    </row>
    <row r="1762" spans="1:5" s="8" customFormat="1" x14ac:dyDescent="0.2">
      <c r="A1762" s="5">
        <v>1701</v>
      </c>
      <c r="B1762" s="138">
        <f>'Tax Sched 23'!D6</f>
        <v>3988946</v>
      </c>
      <c r="C1762" s="2" t="s">
        <v>593</v>
      </c>
      <c r="D1762" s="2" t="str">
        <f t="shared" si="26"/>
        <v>Error?</v>
      </c>
      <c r="E1762" s="9"/>
    </row>
    <row r="1763" spans="1:5" x14ac:dyDescent="0.2">
      <c r="A1763" s="5">
        <v>1702</v>
      </c>
      <c r="B1763" s="138">
        <f>'Tax Sched 23'!D7</f>
        <v>864426</v>
      </c>
      <c r="C1763" s="2" t="s">
        <v>593</v>
      </c>
      <c r="D1763" s="2" t="str">
        <f t="shared" si="26"/>
        <v>Error?</v>
      </c>
    </row>
    <row r="1764" spans="1:5" x14ac:dyDescent="0.2">
      <c r="A1764" s="5">
        <v>1703</v>
      </c>
      <c r="B1764" s="138">
        <f>'Tax Sched 23'!D8</f>
        <v>500988</v>
      </c>
      <c r="C1764" s="2" t="s">
        <v>593</v>
      </c>
      <c r="D1764" s="2" t="str">
        <f t="shared" si="26"/>
        <v>Error?</v>
      </c>
    </row>
    <row r="1765" spans="1:5" x14ac:dyDescent="0.2">
      <c r="A1765" s="5">
        <v>1704</v>
      </c>
      <c r="B1765" s="138">
        <f>'Tax Sched 23'!D10</f>
        <v>360181</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2575567</v>
      </c>
      <c r="C1768" s="2" t="s">
        <v>593</v>
      </c>
      <c r="D1768" s="2" t="str">
        <f t="shared" si="26"/>
        <v>Error?</v>
      </c>
    </row>
    <row r="1769" spans="1:5" x14ac:dyDescent="0.2">
      <c r="A1769" s="5">
        <v>1708</v>
      </c>
      <c r="B1769" s="138">
        <f>'Tax Sched 23'!D12</f>
        <v>360179</v>
      </c>
      <c r="C1769" s="2" t="s">
        <v>593</v>
      </c>
      <c r="D1769" s="2" t="str">
        <f t="shared" si="26"/>
        <v>Error?</v>
      </c>
    </row>
    <row r="1770" spans="1:5" x14ac:dyDescent="0.2">
      <c r="A1770" s="5">
        <v>1709</v>
      </c>
      <c r="B1770" s="138">
        <f>'Tax Sched 23'!D14</f>
        <v>144078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22808693</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9041868</v>
      </c>
      <c r="C1792" s="2" t="s">
        <v>593</v>
      </c>
      <c r="D1792" s="2" t="str">
        <f t="shared" si="27"/>
        <v>Error?</v>
      </c>
    </row>
    <row r="1793" spans="1:4" x14ac:dyDescent="0.2">
      <c r="A1793" s="5">
        <v>1732</v>
      </c>
      <c r="B1793" s="138">
        <f>'Tax Sched 23'!F5</f>
        <v>2583391</v>
      </c>
      <c r="C1793" s="2" t="s">
        <v>593</v>
      </c>
      <c r="D1793" s="2" t="str">
        <f t="shared" si="27"/>
        <v>Error?</v>
      </c>
    </row>
    <row r="1794" spans="1:4" x14ac:dyDescent="0.2">
      <c r="A1794" s="5">
        <v>1733</v>
      </c>
      <c r="B1794" s="138">
        <f>'Tax Sched 23'!F6</f>
        <v>3518578</v>
      </c>
      <c r="C1794" s="2" t="s">
        <v>593</v>
      </c>
      <c r="D1794" s="2" t="str">
        <f t="shared" si="27"/>
        <v>Error?</v>
      </c>
    </row>
    <row r="1795" spans="1:4" x14ac:dyDescent="0.2">
      <c r="A1795" s="5">
        <v>1734</v>
      </c>
      <c r="B1795" s="138">
        <f>'Tax Sched 23'!F7</f>
        <v>775017</v>
      </c>
      <c r="C1795" s="2" t="s">
        <v>593</v>
      </c>
      <c r="D1795" s="2" t="str">
        <f t="shared" si="27"/>
        <v>Error?</v>
      </c>
    </row>
    <row r="1796" spans="1:4" x14ac:dyDescent="0.2">
      <c r="A1796" s="5">
        <v>1735</v>
      </c>
      <c r="B1796" s="138">
        <f>'Tax Sched 23'!F8</f>
        <v>481157</v>
      </c>
      <c r="C1796" s="2" t="s">
        <v>593</v>
      </c>
      <c r="D1796" s="2" t="str">
        <f t="shared" si="27"/>
        <v>Error?</v>
      </c>
    </row>
    <row r="1797" spans="1:4" x14ac:dyDescent="0.2">
      <c r="A1797" s="5">
        <v>1736</v>
      </c>
      <c r="B1797" s="138">
        <f>'Tax Sched 23'!F10</f>
        <v>322924</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2372199</v>
      </c>
      <c r="C1800" s="2" t="s">
        <v>593</v>
      </c>
      <c r="D1800" s="2" t="str">
        <f t="shared" si="27"/>
        <v>Error?</v>
      </c>
    </row>
    <row r="1801" spans="1:4" x14ac:dyDescent="0.2">
      <c r="A1801" s="5">
        <v>1740</v>
      </c>
      <c r="B1801" s="138">
        <f>'Tax Sched 23'!F12</f>
        <v>322924</v>
      </c>
      <c r="C1801" s="2" t="s">
        <v>593</v>
      </c>
      <c r="D1801" s="2" t="str">
        <f t="shared" si="27"/>
        <v>Error?</v>
      </c>
    </row>
    <row r="1802" spans="1:4" x14ac:dyDescent="0.2">
      <c r="A1802" s="5">
        <v>1741</v>
      </c>
      <c r="B1802" s="138">
        <f>'Tax Sched 23'!F14</f>
        <v>129170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20440436</v>
      </c>
      <c r="C1807" s="2" t="s">
        <v>593</v>
      </c>
      <c r="D1807" s="2" t="str">
        <f t="shared" si="27"/>
        <v>Error?</v>
      </c>
    </row>
    <row r="1808" spans="1:4" x14ac:dyDescent="0.2">
      <c r="A1808" s="5">
        <v>1747</v>
      </c>
      <c r="B1808" s="138">
        <f>'Tax Sched 23'!E4</f>
        <v>9041868</v>
      </c>
      <c r="D1808" s="2" t="str">
        <f t="shared" si="27"/>
        <v>Error?</v>
      </c>
    </row>
    <row r="1809" spans="1:4" x14ac:dyDescent="0.2">
      <c r="A1809" s="5">
        <v>1748</v>
      </c>
      <c r="B1809" s="138">
        <f>'Tax Sched 23'!E5</f>
        <v>2583391</v>
      </c>
      <c r="D1809" s="2" t="str">
        <f t="shared" si="27"/>
        <v>Error?</v>
      </c>
    </row>
    <row r="1810" spans="1:4" x14ac:dyDescent="0.2">
      <c r="A1810" s="5">
        <v>1749</v>
      </c>
      <c r="B1810" s="138">
        <f>'Tax Sched 23'!E6</f>
        <v>3518578</v>
      </c>
      <c r="D1810" s="2" t="str">
        <f t="shared" si="27"/>
        <v>Error?</v>
      </c>
    </row>
    <row r="1811" spans="1:4" x14ac:dyDescent="0.2">
      <c r="A1811" s="5">
        <v>1750</v>
      </c>
      <c r="B1811" s="138">
        <f>'Tax Sched 23'!E7</f>
        <v>775017</v>
      </c>
      <c r="D1811" s="2" t="str">
        <f t="shared" si="27"/>
        <v>Error?</v>
      </c>
    </row>
    <row r="1812" spans="1:4" x14ac:dyDescent="0.2">
      <c r="A1812" s="5">
        <v>1751</v>
      </c>
      <c r="B1812" s="138">
        <f>'Tax Sched 23'!E8</f>
        <v>481157</v>
      </c>
      <c r="D1812" s="2" t="str">
        <f t="shared" si="27"/>
        <v>Error?</v>
      </c>
    </row>
    <row r="1813" spans="1:4" x14ac:dyDescent="0.2">
      <c r="A1813" s="5">
        <v>1752</v>
      </c>
      <c r="B1813" s="138">
        <f>'Tax Sched 23'!E10</f>
        <v>322924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2372199</v>
      </c>
      <c r="D1816" s="2" t="str">
        <f t="shared" si="27"/>
        <v>Error?</v>
      </c>
    </row>
    <row r="1817" spans="1:4" x14ac:dyDescent="0.2">
      <c r="A1817" s="5">
        <v>1756</v>
      </c>
      <c r="B1817" s="138">
        <f>'Tax Sched 23'!E12</f>
        <v>322924</v>
      </c>
      <c r="D1817" s="2" t="str">
        <f t="shared" si="27"/>
        <v>Error?</v>
      </c>
    </row>
    <row r="1818" spans="1:4" x14ac:dyDescent="0.2">
      <c r="A1818" s="5">
        <v>1757</v>
      </c>
      <c r="B1818" s="138">
        <f>'Tax Sched 23'!E14</f>
        <v>129170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20440436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34801379</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144078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144078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144078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2935335</v>
      </c>
      <c r="D2008" s="2" t="str">
        <f t="shared" si="30"/>
        <v>Error?</v>
      </c>
    </row>
    <row r="2009" spans="1:4" x14ac:dyDescent="0.2">
      <c r="A2009" s="5">
        <v>1948</v>
      </c>
      <c r="B2009" s="138">
        <f>'Cap Outlay Deprec 26'!C8</f>
        <v>69228193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4951699</v>
      </c>
      <c r="D2011" s="2" t="str">
        <f t="shared" si="30"/>
        <v>Error?</v>
      </c>
    </row>
    <row r="2012" spans="1:4" x14ac:dyDescent="0.2">
      <c r="A2012" s="5">
        <v>1951</v>
      </c>
      <c r="B2012" s="138">
        <f>'Cap Outlay Deprec 26'!C13</f>
        <v>810631</v>
      </c>
      <c r="D2012" s="2" t="str">
        <f t="shared" si="30"/>
        <v>Error?</v>
      </c>
    </row>
    <row r="2013" spans="1:4" x14ac:dyDescent="0.2">
      <c r="A2013" s="5">
        <v>1952</v>
      </c>
      <c r="B2013" s="138">
        <f>'Cap Outlay Deprec 26'!C16</f>
        <v>80303289</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122600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92165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214765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2935335</v>
      </c>
      <c r="C2026" s="2" t="s">
        <v>593</v>
      </c>
      <c r="D2026" s="2" t="str">
        <f t="shared" si="30"/>
        <v>Error?</v>
      </c>
    </row>
    <row r="2027" spans="1:4" x14ac:dyDescent="0.2">
      <c r="A2027" s="5">
        <v>1966</v>
      </c>
      <c r="B2027" s="138">
        <f>'Cap Outlay Deprec 26'!F8</f>
        <v>69350793</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5043864</v>
      </c>
      <c r="C2029" s="2" t="s">
        <v>593</v>
      </c>
      <c r="D2029" s="2" t="str">
        <f t="shared" si="30"/>
        <v>Error?</v>
      </c>
    </row>
    <row r="2030" spans="1:4" x14ac:dyDescent="0.2">
      <c r="A2030" s="5">
        <v>1969</v>
      </c>
      <c r="B2030" s="138">
        <f>'Cap Outlay Deprec 26'!F13</f>
        <v>810631</v>
      </c>
      <c r="C2030" s="2" t="s">
        <v>593</v>
      </c>
      <c r="D2030" s="2" t="str">
        <f t="shared" si="30"/>
        <v>Error?</v>
      </c>
    </row>
    <row r="2031" spans="1:4" x14ac:dyDescent="0.2">
      <c r="A2031" s="5">
        <v>1970</v>
      </c>
      <c r="B2031" s="138">
        <f>'Cap Outlay Deprec 26'!F16</f>
        <v>80518054</v>
      </c>
      <c r="C2031" s="2" t="s">
        <v>593</v>
      </c>
      <c r="D2031" s="2" t="str">
        <f t="shared" si="30"/>
        <v>Error?</v>
      </c>
    </row>
    <row r="2032" spans="1:4" x14ac:dyDescent="0.2">
      <c r="A2032" s="10">
        <v>1971</v>
      </c>
      <c r="D2032" s="2" t="str">
        <f t="shared" si="30"/>
        <v>OK</v>
      </c>
    </row>
    <row r="2033" spans="1:4" x14ac:dyDescent="0.2">
      <c r="A2033" s="5">
        <v>1972</v>
      </c>
      <c r="B2033" s="138">
        <f>'Cap Outlay Deprec 26'!H8</f>
        <v>21658320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4511206</v>
      </c>
      <c r="D2035" s="2" t="str">
        <f t="shared" si="30"/>
        <v>Error?</v>
      </c>
    </row>
    <row r="2036" spans="1:4" x14ac:dyDescent="0.2">
      <c r="A2036" s="5">
        <v>1975</v>
      </c>
      <c r="B2036" s="138">
        <f>'Cap Outlay Deprec 26'!H13</f>
        <v>649012</v>
      </c>
      <c r="D2036" s="2" t="str">
        <f t="shared" si="30"/>
        <v>Error?</v>
      </c>
    </row>
    <row r="2037" spans="1:4" x14ac:dyDescent="0.2">
      <c r="A2037" s="5">
        <v>1976</v>
      </c>
      <c r="B2037" s="138">
        <f>'Cap Outlay Deprec 26'!H16</f>
        <v>28587990</v>
      </c>
      <c r="C2037" s="2" t="s">
        <v>593</v>
      </c>
      <c r="D2037" s="2" t="str">
        <f t="shared" si="30"/>
        <v>Error?</v>
      </c>
    </row>
    <row r="2038" spans="1:4" x14ac:dyDescent="0.2">
      <c r="A2038" s="10">
        <v>1977</v>
      </c>
      <c r="D2038" s="2" t="str">
        <f t="shared" si="30"/>
        <v>OK</v>
      </c>
    </row>
    <row r="2039" spans="1:4" x14ac:dyDescent="0.2">
      <c r="A2039" s="5">
        <v>1978</v>
      </c>
      <c r="B2039" s="138">
        <f>'Cap Outlay Deprec 26'!I8</f>
        <v>1750073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143379</v>
      </c>
      <c r="D2041" s="2" t="str">
        <f t="shared" si="30"/>
        <v>Error?</v>
      </c>
    </row>
    <row r="2042" spans="1:4" x14ac:dyDescent="0.2">
      <c r="A2042" s="5">
        <v>1981</v>
      </c>
      <c r="B2042" s="138">
        <f>'Cap Outlay Deprec 26'!I13</f>
        <v>142133</v>
      </c>
      <c r="D2042" s="2" t="str">
        <f t="shared" si="30"/>
        <v>Error?</v>
      </c>
    </row>
    <row r="2043" spans="1:4" x14ac:dyDescent="0.2">
      <c r="A2043" s="5">
        <v>1982</v>
      </c>
      <c r="B2043" s="138">
        <f>'Cap Outlay Deprec 26'!I16</f>
        <v>2112008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23408393</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4654585</v>
      </c>
      <c r="C2053" s="2" t="s">
        <v>593</v>
      </c>
      <c r="D2053" s="2" t="str">
        <f t="shared" si="31"/>
        <v>Error?</v>
      </c>
    </row>
    <row r="2054" spans="1:4" x14ac:dyDescent="0.2">
      <c r="A2054" s="5">
        <v>1993</v>
      </c>
      <c r="B2054" s="138">
        <f>'Cap Outlay Deprec 26'!K13</f>
        <v>791145</v>
      </c>
      <c r="C2054" s="2" t="s">
        <v>593</v>
      </c>
      <c r="D2054" s="2" t="str">
        <f t="shared" si="31"/>
        <v>Error?</v>
      </c>
    </row>
    <row r="2055" spans="1:4" x14ac:dyDescent="0.2">
      <c r="A2055" s="5">
        <v>1994</v>
      </c>
      <c r="B2055" s="138">
        <f>'Cap Outlay Deprec 26'!K16</f>
        <v>30699998</v>
      </c>
      <c r="C2055" s="2" t="s">
        <v>593</v>
      </c>
      <c r="D2055" s="2" t="str">
        <f t="shared" si="31"/>
        <v>Error?</v>
      </c>
    </row>
    <row r="2056" spans="1:4" x14ac:dyDescent="0.2">
      <c r="A2056" s="5">
        <v>1995</v>
      </c>
      <c r="B2056" s="138">
        <f>'Cap Outlay Deprec 26'!L5</f>
        <v>2935335</v>
      </c>
      <c r="C2056" s="2" t="s">
        <v>593</v>
      </c>
      <c r="D2056" s="2" t="str">
        <f t="shared" si="31"/>
        <v>Error?</v>
      </c>
    </row>
    <row r="2057" spans="1:4" x14ac:dyDescent="0.2">
      <c r="A2057" s="5">
        <v>1996</v>
      </c>
      <c r="B2057" s="138">
        <f>'Cap Outlay Deprec 26'!L8</f>
        <v>45942400</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389279</v>
      </c>
      <c r="C2059" s="2" t="s">
        <v>593</v>
      </c>
      <c r="D2059" s="2" t="str">
        <f t="shared" si="31"/>
        <v>Error?</v>
      </c>
    </row>
    <row r="2060" spans="1:4" x14ac:dyDescent="0.2">
      <c r="A2060" s="5">
        <v>1999</v>
      </c>
      <c r="B2060" s="138">
        <f>'Cap Outlay Deprec 26'!L13</f>
        <v>19486</v>
      </c>
      <c r="C2060" s="2" t="s">
        <v>593</v>
      </c>
      <c r="D2060" s="2" t="str">
        <f t="shared" si="31"/>
        <v>Error?</v>
      </c>
    </row>
    <row r="2061" spans="1:4" x14ac:dyDescent="0.2">
      <c r="A2061" s="5">
        <v>2000</v>
      </c>
      <c r="B2061" s="138">
        <f>'Cap Outlay Deprec 26'!L16</f>
        <v>49818056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60412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65806</v>
      </c>
      <c r="C2088" s="2" t="s">
        <v>593</v>
      </c>
      <c r="D2088" s="2" t="str">
        <f t="shared" si="31"/>
        <v>Error?</v>
      </c>
    </row>
    <row r="2089" spans="1:4" x14ac:dyDescent="0.2">
      <c r="A2089" s="5">
        <v>2028</v>
      </c>
      <c r="B2089" s="138">
        <f>'Expenditures 15-22'!K92</f>
        <v>724850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486483</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451837</v>
      </c>
      <c r="D2475" s="2" t="str">
        <f t="shared" si="37"/>
        <v>Error?</v>
      </c>
    </row>
    <row r="2476" spans="1:4" x14ac:dyDescent="0.2">
      <c r="A2476" s="10">
        <v>2415</v>
      </c>
      <c r="D2476" s="2" t="str">
        <f t="shared" si="37"/>
        <v>OK</v>
      </c>
    </row>
    <row r="2477" spans="1:4" x14ac:dyDescent="0.2">
      <c r="A2477" s="5">
        <v>2416</v>
      </c>
      <c r="B2477" s="138">
        <f>'Assets-Liab 5-6'!G38</f>
        <v>516989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1272041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1753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13727782</v>
      </c>
      <c r="C2551" s="2" t="s">
        <v>593</v>
      </c>
      <c r="D2551" s="2" t="str">
        <f t="shared" si="38"/>
        <v>Error?</v>
      </c>
    </row>
    <row r="2552" spans="1:4" x14ac:dyDescent="0.2">
      <c r="A2552" s="10">
        <v>2491</v>
      </c>
      <c r="D2552" s="2" t="str">
        <f t="shared" si="38"/>
        <v>OK</v>
      </c>
    </row>
    <row r="2553" spans="1:4" x14ac:dyDescent="0.2">
      <c r="A2553" s="5">
        <v>2492</v>
      </c>
      <c r="B2553" s="138">
        <f>'Acct Summary 7-8'!C6</f>
        <v>8845518</v>
      </c>
      <c r="C2553" s="2" t="s">
        <v>593</v>
      </c>
      <c r="D2553" s="2" t="str">
        <f t="shared" si="38"/>
        <v>Error?</v>
      </c>
    </row>
    <row r="2554" spans="1:4" x14ac:dyDescent="0.2">
      <c r="A2554" s="5">
        <v>2493</v>
      </c>
      <c r="B2554" s="138">
        <f>'Acct Summary 7-8'!C7</f>
        <v>1985998</v>
      </c>
      <c r="C2554" s="2" t="s">
        <v>593</v>
      </c>
      <c r="D2554" s="2" t="str">
        <f t="shared" si="38"/>
        <v>Error?</v>
      </c>
    </row>
    <row r="2555" spans="1:4" x14ac:dyDescent="0.2">
      <c r="A2555" s="5">
        <v>2494</v>
      </c>
      <c r="B2555" s="138">
        <f>'Acct Summary 7-8'!C8</f>
        <v>24559298</v>
      </c>
      <c r="C2555" s="2" t="s">
        <v>593</v>
      </c>
      <c r="D2555" s="2" t="str">
        <f t="shared" si="38"/>
        <v>Error?</v>
      </c>
    </row>
    <row r="2556" spans="1:4" x14ac:dyDescent="0.2">
      <c r="A2556" s="5">
        <v>2495</v>
      </c>
      <c r="B2556" s="138">
        <f>'Acct Summary 7-8'!C12</f>
        <v>14809387</v>
      </c>
      <c r="C2556" s="2" t="s">
        <v>593</v>
      </c>
      <c r="D2556" s="2" t="str">
        <f t="shared" si="38"/>
        <v>Error?</v>
      </c>
    </row>
    <row r="2557" spans="1:4" x14ac:dyDescent="0.2">
      <c r="A2557" s="5">
        <v>2496</v>
      </c>
      <c r="B2557" s="138">
        <f>'Acct Summary 7-8'!C13</f>
        <v>5442591</v>
      </c>
      <c r="C2557" s="2" t="s">
        <v>593</v>
      </c>
      <c r="D2557" s="2" t="str">
        <f t="shared" si="38"/>
        <v>Error?</v>
      </c>
    </row>
    <row r="2558" spans="1:4" x14ac:dyDescent="0.2">
      <c r="A2558" s="5">
        <v>2497</v>
      </c>
      <c r="B2558" s="138">
        <f>'Acct Summary 7-8'!C14</f>
        <v>1106075</v>
      </c>
      <c r="C2558" s="2" t="s">
        <v>593</v>
      </c>
      <c r="D2558" s="2" t="str">
        <f t="shared" si="38"/>
        <v>Error?</v>
      </c>
    </row>
    <row r="2559" spans="1:4" x14ac:dyDescent="0.2">
      <c r="A2559" s="5">
        <v>2498</v>
      </c>
      <c r="B2559" s="138">
        <f>'Acct Summary 7-8'!C15</f>
        <v>790656</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22148709</v>
      </c>
      <c r="C2561" s="2" t="s">
        <v>593</v>
      </c>
      <c r="D2561" s="2" t="str">
        <f t="shared" si="39"/>
        <v>Error?</v>
      </c>
    </row>
    <row r="2562" spans="1:4" x14ac:dyDescent="0.2">
      <c r="A2562" s="5">
        <v>2501</v>
      </c>
      <c r="B2562" s="138">
        <f>'Acct Summary 7-8'!C20</f>
        <v>2410589</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3388240</v>
      </c>
      <c r="C2564" s="2" t="s">
        <v>593</v>
      </c>
      <c r="D2564" s="2" t="str">
        <f t="shared" si="39"/>
        <v>Error?</v>
      </c>
    </row>
    <row r="2565" spans="1:4" x14ac:dyDescent="0.2">
      <c r="A2565" s="10">
        <v>2504</v>
      </c>
      <c r="D2565" s="2" t="str">
        <f t="shared" si="39"/>
        <v>OK</v>
      </c>
    </row>
    <row r="2566" spans="1:4" x14ac:dyDescent="0.2">
      <c r="A2566" s="5">
        <v>2505</v>
      </c>
      <c r="B2566" s="138">
        <f>'Acct Summary 7-8'!D6</f>
        <v>21121</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3409361</v>
      </c>
      <c r="C2568" s="2" t="s">
        <v>593</v>
      </c>
      <c r="D2568" s="2" t="str">
        <f t="shared" si="39"/>
        <v>Error?</v>
      </c>
    </row>
    <row r="2569" spans="1:4" x14ac:dyDescent="0.2">
      <c r="A2569" s="5">
        <v>2508</v>
      </c>
      <c r="B2569" s="138">
        <f>'Acct Summary 7-8'!D13</f>
        <v>2903323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2903323</v>
      </c>
      <c r="C2573" s="2" t="s">
        <v>593</v>
      </c>
      <c r="D2573" s="2" t="str">
        <f t="shared" si="39"/>
        <v>Error?</v>
      </c>
    </row>
    <row r="2574" spans="1:4" x14ac:dyDescent="0.2">
      <c r="A2574" s="5">
        <v>2513</v>
      </c>
      <c r="B2574" s="138">
        <f>'Acct Summary 7-8'!D20</f>
        <v>506038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904254</v>
      </c>
      <c r="C2591" s="2" t="s">
        <v>593</v>
      </c>
      <c r="D2591" s="2" t="str">
        <f t="shared" si="39"/>
        <v>Error?</v>
      </c>
    </row>
    <row r="2592" spans="1:4" x14ac:dyDescent="0.2">
      <c r="A2592" s="10">
        <v>2531</v>
      </c>
      <c r="D2592" s="2" t="str">
        <f t="shared" si="39"/>
        <v>OK</v>
      </c>
    </row>
    <row r="2593" spans="1:4" x14ac:dyDescent="0.2">
      <c r="A2593" s="5">
        <v>2532</v>
      </c>
      <c r="B2593" s="138">
        <f>'Acct Summary 7-8'!F6</f>
        <v>1021781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1926035</v>
      </c>
      <c r="C2595" s="2" t="s">
        <v>593</v>
      </c>
      <c r="D2595" s="2" t="str">
        <f t="shared" si="39"/>
        <v>Error?</v>
      </c>
    </row>
    <row r="2596" spans="1:4" x14ac:dyDescent="0.2">
      <c r="A2596" s="5">
        <v>2535</v>
      </c>
      <c r="B2596" s="138">
        <f>'Acct Summary 7-8'!F13</f>
        <v>1847973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1847973</v>
      </c>
      <c r="C2600" s="2" t="s">
        <v>593</v>
      </c>
      <c r="D2600" s="2" t="str">
        <f t="shared" si="39"/>
        <v>Error?</v>
      </c>
    </row>
    <row r="2601" spans="1:4" x14ac:dyDescent="0.2">
      <c r="A2601" s="5">
        <v>2540</v>
      </c>
      <c r="B2601" s="138">
        <f>'Acct Summary 7-8'!F20</f>
        <v>78062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1195170</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1195170</v>
      </c>
      <c r="C2606" s="2" t="s">
        <v>593</v>
      </c>
      <c r="D2606" s="2" t="str">
        <f t="shared" si="39"/>
        <v>Error?</v>
      </c>
    </row>
    <row r="2607" spans="1:4" x14ac:dyDescent="0.2">
      <c r="A2607" s="5">
        <v>2546</v>
      </c>
      <c r="B2607" s="138">
        <f>'Acct Summary 7-8'!G12</f>
        <v>374095</v>
      </c>
      <c r="C2607" s="2" t="s">
        <v>593</v>
      </c>
      <c r="D2607" s="2" t="str">
        <f t="shared" si="39"/>
        <v>Error?</v>
      </c>
    </row>
    <row r="2608" spans="1:4" x14ac:dyDescent="0.2">
      <c r="A2608" s="5">
        <v>2547</v>
      </c>
      <c r="B2608" s="138">
        <f>'Acct Summary 7-8'!G13</f>
        <v>523815</v>
      </c>
      <c r="C2608" s="2" t="s">
        <v>593</v>
      </c>
      <c r="D2608" s="2" t="str">
        <f t="shared" si="39"/>
        <v>Error?</v>
      </c>
    </row>
    <row r="2609" spans="1:4" x14ac:dyDescent="0.2">
      <c r="A2609" s="5">
        <v>2548</v>
      </c>
      <c r="B2609" s="138">
        <f>'Acct Summary 7-8'!G14</f>
        <v>131656</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1035758</v>
      </c>
      <c r="C2612" s="2" t="s">
        <v>593</v>
      </c>
      <c r="D2612" s="2" t="str">
        <f t="shared" si="39"/>
        <v>Error?</v>
      </c>
    </row>
    <row r="2613" spans="1:4" x14ac:dyDescent="0.2">
      <c r="A2613" s="5">
        <v>2552</v>
      </c>
      <c r="B2613" s="138">
        <f>'Acct Summary 7-8'!G20</f>
        <v>159412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4002650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4002650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3496441</v>
      </c>
      <c r="C2634" s="2" t="s">
        <v>593</v>
      </c>
      <c r="D2634" s="2" t="str">
        <f t="shared" si="40"/>
        <v>Error?</v>
      </c>
    </row>
    <row r="2635" spans="1:4" x14ac:dyDescent="0.2">
      <c r="A2635" s="5">
        <v>2574</v>
      </c>
      <c r="B2635" s="138">
        <f>'Acct Summary 7-8'!E17</f>
        <v>3496441</v>
      </c>
      <c r="C2635" s="2" t="s">
        <v>593</v>
      </c>
      <c r="D2635" s="2" t="str">
        <f t="shared" si="40"/>
        <v>Error?</v>
      </c>
    </row>
    <row r="2636" spans="1:4" x14ac:dyDescent="0.2">
      <c r="A2636" s="5">
        <v>2575</v>
      </c>
      <c r="B2636" s="138">
        <f>'Acct Summary 7-8'!E20</f>
        <v>506209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14</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14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14022</v>
      </c>
      <c r="D2718" s="2" t="str">
        <f t="shared" si="41"/>
        <v>Error?</v>
      </c>
    </row>
    <row r="2719" spans="1:4" x14ac:dyDescent="0.2">
      <c r="A2719" s="5">
        <v>2658</v>
      </c>
      <c r="B2719" s="138">
        <f>'Expenditures 15-22'!D51</f>
        <v>2074</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16096</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5394</v>
      </c>
      <c r="C2789" s="2" t="s">
        <v>593</v>
      </c>
      <c r="D2789" s="2" t="str">
        <f t="shared" si="42"/>
        <v>Error?</v>
      </c>
    </row>
    <row r="2790" spans="1:4" x14ac:dyDescent="0.2">
      <c r="A2790" s="5">
        <v>2729</v>
      </c>
      <c r="B2790" s="138">
        <f>'Expenditures 15-22'!E102</f>
        <v>5394</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33213</v>
      </c>
      <c r="D2855" s="2" t="str">
        <f t="shared" si="43"/>
        <v>Error?</v>
      </c>
    </row>
    <row r="2856" spans="1:4" x14ac:dyDescent="0.2">
      <c r="A2856" s="5">
        <v>2795</v>
      </c>
      <c r="B2856" s="138">
        <f>'ICR Computation 30'!E12</f>
        <v>1043</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352421</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736912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736939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313052</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736939</v>
      </c>
      <c r="D2912" s="2" t="str">
        <f t="shared" si="44"/>
        <v>Error?</v>
      </c>
    </row>
    <row r="2913" spans="1:4" x14ac:dyDescent="0.2">
      <c r="A2913" s="5">
        <v>2852</v>
      </c>
      <c r="B2913" s="138">
        <f>'Assets-Liab 5-6'!I41</f>
        <v>736939</v>
      </c>
      <c r="C2913" s="2" t="s">
        <v>593</v>
      </c>
      <c r="D2913" s="2" t="str">
        <f t="shared" si="44"/>
        <v>Error?</v>
      </c>
    </row>
    <row r="2914" spans="1:4" x14ac:dyDescent="0.2">
      <c r="A2914" s="5">
        <v>2853</v>
      </c>
      <c r="B2914" s="138">
        <f>'Assets-Liab 5-6'!L33</f>
        <v>313052</v>
      </c>
      <c r="D2914" s="2" t="str">
        <f t="shared" si="44"/>
        <v>Error?</v>
      </c>
    </row>
    <row r="2915" spans="1:4" x14ac:dyDescent="0.2">
      <c r="A2915" s="10">
        <v>2854</v>
      </c>
      <c r="D2915" s="2" t="str">
        <f t="shared" si="44"/>
        <v>OK</v>
      </c>
    </row>
    <row r="2916" spans="1:4" x14ac:dyDescent="0.2">
      <c r="A2916" s="5">
        <v>2855</v>
      </c>
      <c r="B2916" s="138">
        <f>'Assets-Liab 5-6'!L34</f>
        <v>313052</v>
      </c>
      <c r="C2916" s="2" t="s">
        <v>593</v>
      </c>
      <c r="D2916" s="2" t="str">
        <f t="shared" si="44"/>
        <v>Error?</v>
      </c>
    </row>
    <row r="2917" spans="1:4" x14ac:dyDescent="0.2">
      <c r="A2917" s="5">
        <v>2856</v>
      </c>
      <c r="B2917" s="138">
        <f>'Assets-Liab 5-6'!L41</f>
        <v>313052</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5394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60412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65806</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343514</v>
      </c>
      <c r="D3055" s="2" t="str">
        <f t="shared" si="46"/>
        <v>Error?</v>
      </c>
    </row>
    <row r="3056" spans="1:4" x14ac:dyDescent="0.2">
      <c r="A3056" s="5">
        <v>2995</v>
      </c>
      <c r="B3056" s="138">
        <f>'Expenditures 15-22'!D10</f>
        <v>58479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298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402291</v>
      </c>
      <c r="C3062" s="2" t="s">
        <v>593</v>
      </c>
      <c r="D3062" s="2" t="str">
        <f t="shared" si="46"/>
        <v>Error?</v>
      </c>
    </row>
    <row r="3063" spans="1:4" x14ac:dyDescent="0.2">
      <c r="A3063" s="10">
        <v>3002</v>
      </c>
      <c r="D3063" s="2" t="str">
        <f t="shared" si="46"/>
        <v>OK</v>
      </c>
    </row>
    <row r="3064" spans="1:4" x14ac:dyDescent="0.2">
      <c r="A3064" s="5">
        <v>3003</v>
      </c>
      <c r="B3064" s="138">
        <f>'Expenditures 15-22'!D219</f>
        <v>26313</v>
      </c>
      <c r="D3064" s="2" t="str">
        <f t="shared" si="46"/>
        <v>Error?</v>
      </c>
    </row>
    <row r="3065" spans="1:4" x14ac:dyDescent="0.2">
      <c r="A3065" s="5">
        <v>3004</v>
      </c>
      <c r="B3065" s="138">
        <f>'Expenditures 15-22'!K219</f>
        <v>26313</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377027</v>
      </c>
      <c r="C3225" s="2" t="s">
        <v>593</v>
      </c>
      <c r="D3225" s="2" t="str">
        <f t="shared" si="49"/>
        <v>Error?</v>
      </c>
    </row>
    <row r="3226" spans="1:4" x14ac:dyDescent="0.2">
      <c r="A3226" s="5">
        <v>3165</v>
      </c>
      <c r="B3226" s="138">
        <f>'Acct Summary 7-8'!I8</f>
        <v>377027</v>
      </c>
      <c r="C3226" s="2" t="s">
        <v>593</v>
      </c>
      <c r="D3226" s="2" t="str">
        <f t="shared" si="49"/>
        <v>Error?</v>
      </c>
    </row>
    <row r="3227" spans="1:4" x14ac:dyDescent="0.2">
      <c r="A3227" s="5">
        <v>3166</v>
      </c>
      <c r="B3227" s="138">
        <f>'Acct Summary 7-8'!I20</f>
        <v>377027</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115483</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115483</v>
      </c>
      <c r="C3232" s="2" t="s">
        <v>593</v>
      </c>
      <c r="D3232" s="2" t="str">
        <f t="shared" si="49"/>
        <v>Error?</v>
      </c>
    </row>
    <row r="3233" spans="1:4" x14ac:dyDescent="0.2">
      <c r="A3233" s="5">
        <v>3172</v>
      </c>
      <c r="B3233" s="138">
        <f>'Acct Summary 7-8'!C78</f>
        <v>2526072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506038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371000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371000</v>
      </c>
      <c r="C3255" s="2" t="s">
        <v>593</v>
      </c>
      <c r="D3255" s="2" t="str">
        <f t="shared" si="49"/>
        <v>Error?</v>
      </c>
    </row>
    <row r="3256" spans="1:4" x14ac:dyDescent="0.2">
      <c r="A3256" s="5">
        <v>3195</v>
      </c>
      <c r="B3256" s="138">
        <f>'Acct Summary 7-8'!F78</f>
        <v>449062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159412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506209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486483</v>
      </c>
      <c r="C3318" s="2" t="s">
        <v>593</v>
      </c>
      <c r="D3318" s="2" t="str">
        <f t="shared" si="50"/>
        <v>Error?</v>
      </c>
    </row>
    <row r="3319" spans="1:4" x14ac:dyDescent="0.2">
      <c r="A3319" s="5">
        <v>3258</v>
      </c>
      <c r="B3319" s="138">
        <f>'Acct Summary 7-8'!I77</f>
        <v>-486483</v>
      </c>
      <c r="C3319" s="2" t="s">
        <v>593</v>
      </c>
      <c r="D3319" s="2" t="str">
        <f t="shared" si="50"/>
        <v>Error?</v>
      </c>
    </row>
    <row r="3320" spans="1:4" x14ac:dyDescent="0.2">
      <c r="A3320" s="5">
        <v>3259</v>
      </c>
      <c r="B3320" s="138">
        <f>'Acct Summary 7-8'!I78</f>
        <v>-109456</v>
      </c>
      <c r="C3320" s="2" t="s">
        <v>593</v>
      </c>
      <c r="D3320" s="2" t="str">
        <f t="shared" si="50"/>
        <v>Error?</v>
      </c>
    </row>
    <row r="3321" spans="1:4" x14ac:dyDescent="0.2">
      <c r="A3321" s="5">
        <v>3260</v>
      </c>
      <c r="B3321" s="138">
        <f>'Acct Summary 7-8'!I79</f>
        <v>846395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736939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2515432</v>
      </c>
      <c r="D3366" s="2" t="str">
        <f t="shared" si="51"/>
        <v>Error?</v>
      </c>
    </row>
    <row r="3367" spans="1:4" x14ac:dyDescent="0.2">
      <c r="A3367" s="5">
        <v>3306</v>
      </c>
      <c r="B3367" s="138">
        <f>'Expenditures 15-22'!C19</f>
        <v>17844</v>
      </c>
      <c r="D3367" s="2" t="str">
        <f t="shared" si="51"/>
        <v>Error?</v>
      </c>
    </row>
    <row r="3368" spans="1:4" x14ac:dyDescent="0.2">
      <c r="A3368" s="5">
        <v>3307</v>
      </c>
      <c r="B3368" s="138">
        <f>'Expenditures 15-22'!D8</f>
        <v>786706</v>
      </c>
      <c r="D3368" s="2" t="str">
        <f t="shared" si="51"/>
        <v>Error?</v>
      </c>
    </row>
    <row r="3369" spans="1:4" x14ac:dyDescent="0.2">
      <c r="A3369" s="5">
        <v>3308</v>
      </c>
      <c r="B3369" s="138">
        <f>'Expenditures 15-22'!D19</f>
        <v>1711</v>
      </c>
      <c r="D3369" s="2" t="str">
        <f t="shared" si="51"/>
        <v>Error?</v>
      </c>
    </row>
    <row r="3370" spans="1:4" x14ac:dyDescent="0.2">
      <c r="A3370" s="5">
        <v>3309</v>
      </c>
      <c r="B3370" s="138">
        <f>'Expenditures 15-22'!E8</f>
        <v>7551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25061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3334750</v>
      </c>
      <c r="C3380" s="2" t="s">
        <v>593</v>
      </c>
      <c r="D3380" s="2" t="str">
        <f t="shared" si="51"/>
        <v>Error?</v>
      </c>
    </row>
    <row r="3381" spans="1:4" x14ac:dyDescent="0.2">
      <c r="A3381" s="5">
        <v>3320</v>
      </c>
      <c r="B3381" s="138">
        <f>'Expenditures 15-22'!K19</f>
        <v>19555</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155931</v>
      </c>
      <c r="D3387" s="2" t="str">
        <f t="shared" si="51"/>
        <v>Error?</v>
      </c>
    </row>
    <row r="3388" spans="1:4" x14ac:dyDescent="0.2">
      <c r="A3388" s="5">
        <v>3327</v>
      </c>
      <c r="B3388" s="138">
        <f>'Expenditures 15-22'!D217</f>
        <v>164457</v>
      </c>
      <c r="D3388" s="2" t="str">
        <f t="shared" si="51"/>
        <v>Error?</v>
      </c>
    </row>
    <row r="3389" spans="1:4" x14ac:dyDescent="0.2">
      <c r="A3389" s="5">
        <v>3328</v>
      </c>
      <c r="B3389" s="138">
        <f>'Expenditures 15-22'!D228</f>
        <v>761</v>
      </c>
      <c r="D3389" s="2" t="str">
        <f t="shared" si="51"/>
        <v>Error?</v>
      </c>
    </row>
    <row r="3390" spans="1:4" x14ac:dyDescent="0.2">
      <c r="A3390" s="5">
        <v>3329</v>
      </c>
      <c r="B3390" s="138">
        <f>'Expenditures 15-22'!K215</f>
        <v>155931</v>
      </c>
      <c r="C3390" s="2" t="s">
        <v>593</v>
      </c>
      <c r="D3390" s="2" t="str">
        <f t="shared" si="51"/>
        <v>Error?</v>
      </c>
    </row>
    <row r="3391" spans="1:4" x14ac:dyDescent="0.2">
      <c r="A3391" s="5">
        <v>3330</v>
      </c>
      <c r="B3391" s="138">
        <f>'Expenditures 15-22'!K217</f>
        <v>164457</v>
      </c>
      <c r="C3391" s="2" t="s">
        <v>593</v>
      </c>
      <c r="D3391" s="2" t="str">
        <f t="shared" ref="D3391:D3454" si="52">IF(ISBLANK(B3391),"OK",IF(A3391-B3391=0,"OK","Error?"))</f>
        <v>Error?</v>
      </c>
    </row>
    <row r="3392" spans="1:4" x14ac:dyDescent="0.2">
      <c r="A3392" s="5">
        <v>3331</v>
      </c>
      <c r="B3392" s="138">
        <f>'Expenditures 15-22'!K228</f>
        <v>761</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2501057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135855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261</v>
      </c>
      <c r="D3417" s="2" t="str">
        <f t="shared" si="52"/>
        <v>Error?</v>
      </c>
    </row>
    <row r="3418" spans="1:4" x14ac:dyDescent="0.2">
      <c r="A3418" s="10">
        <v>3357</v>
      </c>
      <c r="D3418" s="2" t="str">
        <f t="shared" si="52"/>
        <v>OK</v>
      </c>
    </row>
    <row r="3419" spans="1:4" x14ac:dyDescent="0.2">
      <c r="A3419" s="5">
        <v>3358</v>
      </c>
      <c r="B3419" s="138">
        <f>'Assets-Liab 5-6'!F4</f>
        <v>251010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106966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695</v>
      </c>
      <c r="D3425" s="2" t="str">
        <f t="shared" si="52"/>
        <v>Error?</v>
      </c>
    </row>
    <row r="3426" spans="1:4" x14ac:dyDescent="0.2">
      <c r="A3426" s="10">
        <v>3365</v>
      </c>
      <c r="D3426" s="2" t="str">
        <f t="shared" si="52"/>
        <v>OK</v>
      </c>
    </row>
    <row r="3427" spans="1:4" x14ac:dyDescent="0.2">
      <c r="A3427" s="5">
        <v>3366</v>
      </c>
      <c r="B3427" s="138">
        <f>'Assets-Liab 5-6'!I4</f>
        <v>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313052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687733</v>
      </c>
      <c r="C3446" s="2" t="s">
        <v>593</v>
      </c>
      <c r="D3446" s="2" t="str">
        <f t="shared" si="52"/>
        <v>Error?</v>
      </c>
    </row>
    <row r="3447" spans="1:4" x14ac:dyDescent="0.2">
      <c r="A3447" s="5">
        <v>3386</v>
      </c>
      <c r="B3447" s="138">
        <f>'Tax Sched 23'!D16</f>
        <v>687733</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570284</v>
      </c>
      <c r="C3449" s="2" t="s">
        <v>593</v>
      </c>
      <c r="D3449" s="2" t="str">
        <f t="shared" si="52"/>
        <v>Error?</v>
      </c>
    </row>
    <row r="3450" spans="1:4" x14ac:dyDescent="0.2">
      <c r="A3450" s="5">
        <v>3389</v>
      </c>
      <c r="B3450" s="138">
        <f>'Tax Sched 23'!E16</f>
        <v>570284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73097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943592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1016689</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1016689</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1016689</v>
      </c>
      <c r="C3568" s="2" t="s">
        <v>593</v>
      </c>
      <c r="D3568" s="2" t="str">
        <f t="shared" si="54"/>
        <v>Error?</v>
      </c>
    </row>
    <row r="3569" spans="1:4" x14ac:dyDescent="0.2">
      <c r="A3569" s="5">
        <v>3508</v>
      </c>
      <c r="B3569" s="138">
        <f>'Acct Summary 7-8'!K4</f>
        <v>371436</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371436</v>
      </c>
      <c r="C3571" s="2" t="s">
        <v>593</v>
      </c>
      <c r="D3571" s="2" t="str">
        <f t="shared" si="54"/>
        <v>Error?</v>
      </c>
    </row>
    <row r="3572" spans="1:4" x14ac:dyDescent="0.2">
      <c r="A3572" s="5">
        <v>3511</v>
      </c>
      <c r="B3572" s="138">
        <f>'Acct Summary 7-8'!K13</f>
        <v>153884</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153884</v>
      </c>
      <c r="C3575" s="2" t="s">
        <v>593</v>
      </c>
      <c r="D3575" s="2" t="str">
        <f t="shared" si="54"/>
        <v>Error?</v>
      </c>
    </row>
    <row r="3576" spans="1:4" x14ac:dyDescent="0.2">
      <c r="A3576" s="5">
        <v>3515</v>
      </c>
      <c r="B3576" s="138">
        <f>'Acct Summary 7-8'!K20</f>
        <v>217552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217552</v>
      </c>
      <c r="C3588" s="2" t="s">
        <v>593</v>
      </c>
      <c r="D3588" s="2" t="str">
        <f t="shared" si="55"/>
        <v>Error?</v>
      </c>
    </row>
    <row r="3589" spans="1:4" x14ac:dyDescent="0.2">
      <c r="A3589" s="5">
        <v>3528</v>
      </c>
      <c r="B3589" s="138">
        <f>'Acct Summary 7-8'!K79</f>
        <v>799137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1016689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29634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29634</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29634</v>
      </c>
      <c r="C3635" s="2" t="s">
        <v>593</v>
      </c>
      <c r="D3635" s="2" t="str">
        <f t="shared" si="55"/>
        <v>Error?</v>
      </c>
    </row>
    <row r="3636" spans="1:4" x14ac:dyDescent="0.2">
      <c r="A3636" s="5">
        <v>3575</v>
      </c>
      <c r="B3636" s="138">
        <f>'Expenditures 15-22'!E367</f>
        <v>29634</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124250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124250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124250</v>
      </c>
      <c r="C3649" s="2" t="s">
        <v>593</v>
      </c>
      <c r="D3649" s="2" t="str">
        <f t="shared" si="56"/>
        <v>Error?</v>
      </c>
    </row>
    <row r="3650" spans="1:4" x14ac:dyDescent="0.2">
      <c r="A3650" s="5">
        <v>3589</v>
      </c>
      <c r="B3650" s="138">
        <f>'Expenditures 15-22'!G367</f>
        <v>124250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153884</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153884</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153884</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153884</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217552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6192</v>
      </c>
      <c r="D3721" s="2" t="str">
        <f t="shared" si="57"/>
        <v>Error?</v>
      </c>
    </row>
    <row r="3722" spans="1:4" x14ac:dyDescent="0.2">
      <c r="A3722" s="5">
        <v>3661</v>
      </c>
      <c r="B3722" s="138">
        <f>'Expenditures 15-22'!D285</f>
        <v>6192</v>
      </c>
      <c r="C3722" s="2" t="s">
        <v>593</v>
      </c>
      <c r="D3722" s="2" t="str">
        <f t="shared" si="57"/>
        <v>Error?</v>
      </c>
    </row>
    <row r="3723" spans="1:4" x14ac:dyDescent="0.2">
      <c r="A3723" s="5">
        <v>3662</v>
      </c>
      <c r="B3723" s="138">
        <f>'Expenditures 15-22'!K283</f>
        <v>6192</v>
      </c>
      <c r="C3723" s="2" t="s">
        <v>593</v>
      </c>
      <c r="D3723" s="2" t="str">
        <f t="shared" si="57"/>
        <v>Error?</v>
      </c>
    </row>
    <row r="3724" spans="1:4" x14ac:dyDescent="0.2">
      <c r="A3724" s="5">
        <v>3663</v>
      </c>
      <c r="B3724" s="138">
        <f>'Expenditures 15-22'!K285</f>
        <v>6192</v>
      </c>
      <c r="C3724" s="2" t="s">
        <v>593</v>
      </c>
      <c r="D3724" s="2" t="str">
        <f t="shared" si="57"/>
        <v>Error?</v>
      </c>
    </row>
    <row r="3725" spans="1:4" x14ac:dyDescent="0.2">
      <c r="A3725" s="5">
        <v>3664</v>
      </c>
      <c r="B3725" s="138">
        <f>'Tax Sched 23'!B13</f>
        <v>360180</v>
      </c>
      <c r="C3725" s="2" t="s">
        <v>593</v>
      </c>
      <c r="D3725" s="2" t="str">
        <f t="shared" si="57"/>
        <v>Error?</v>
      </c>
    </row>
    <row r="3726" spans="1:4" x14ac:dyDescent="0.2">
      <c r="A3726" s="5">
        <v>3665</v>
      </c>
      <c r="B3726" s="138">
        <f>'Tax Sched 23'!D13</f>
        <v>360180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322924</v>
      </c>
      <c r="C3728" s="2" t="s">
        <v>593</v>
      </c>
      <c r="D3728" s="2" t="str">
        <f t="shared" si="57"/>
        <v>Error?</v>
      </c>
    </row>
    <row r="3729" spans="1:4" x14ac:dyDescent="0.2">
      <c r="A3729" s="5">
        <v>3668</v>
      </c>
      <c r="B3729" s="138">
        <f>'Tax Sched 23'!E13</f>
        <v>322924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10034740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34594038</v>
      </c>
      <c r="C4122" s="2" t="s">
        <v>593</v>
      </c>
      <c r="D4122" s="2" t="str">
        <f t="shared" si="63"/>
        <v>Error?</v>
      </c>
    </row>
    <row r="4123" spans="1:4" x14ac:dyDescent="0.2">
      <c r="A4123" s="5">
        <v>4062</v>
      </c>
      <c r="B4123" s="138">
        <f>'Acct Summary 7-8'!D10</f>
        <v>3409361</v>
      </c>
      <c r="C4123" s="2" t="s">
        <v>593</v>
      </c>
      <c r="D4123" s="2" t="str">
        <f t="shared" si="63"/>
        <v>Error?</v>
      </c>
    </row>
    <row r="4124" spans="1:4" x14ac:dyDescent="0.2">
      <c r="A4124" s="5">
        <v>4063</v>
      </c>
      <c r="B4124" s="138">
        <f>'Acct Summary 7-8'!E10</f>
        <v>4002650</v>
      </c>
      <c r="C4124" s="2" t="s">
        <v>593</v>
      </c>
      <c r="D4124" s="2" t="str">
        <f t="shared" si="63"/>
        <v>Error?</v>
      </c>
    </row>
    <row r="4125" spans="1:4" x14ac:dyDescent="0.2">
      <c r="A4125" s="5">
        <v>4064</v>
      </c>
      <c r="B4125" s="138">
        <f>'Acct Summary 7-8'!F10</f>
        <v>1926035</v>
      </c>
      <c r="C4125" s="2" t="s">
        <v>593</v>
      </c>
      <c r="D4125" s="2" t="str">
        <f t="shared" si="63"/>
        <v>Error?</v>
      </c>
    </row>
    <row r="4126" spans="1:4" x14ac:dyDescent="0.2">
      <c r="A4126" s="5">
        <v>4065</v>
      </c>
      <c r="B4126" s="138">
        <f>'Acct Summary 7-8'!G10</f>
        <v>1195170</v>
      </c>
      <c r="C4126" s="2" t="s">
        <v>593</v>
      </c>
      <c r="D4126" s="2" t="str">
        <f t="shared" si="63"/>
        <v>Error?</v>
      </c>
    </row>
    <row r="4127" spans="1:4" x14ac:dyDescent="0.2">
      <c r="A4127" s="5">
        <v>4066</v>
      </c>
      <c r="B4127" s="138">
        <f>'Acct Summary 7-8'!H10</f>
        <v>14</v>
      </c>
      <c r="C4127" s="2" t="s">
        <v>593</v>
      </c>
      <c r="D4127" s="2" t="str">
        <f t="shared" si="63"/>
        <v>Error?</v>
      </c>
    </row>
    <row r="4128" spans="1:4" x14ac:dyDescent="0.2">
      <c r="A4128" s="5">
        <v>4067</v>
      </c>
      <c r="B4128" s="138">
        <f>'Acct Summary 7-8'!I10</f>
        <v>377027</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371436</v>
      </c>
      <c r="C4130" s="2" t="s">
        <v>593</v>
      </c>
      <c r="D4130" s="2" t="str">
        <f t="shared" si="63"/>
        <v>Error?</v>
      </c>
    </row>
    <row r="4131" spans="1:4" x14ac:dyDescent="0.2">
      <c r="A4131" s="5">
        <v>4070</v>
      </c>
      <c r="B4131" s="138">
        <f>'Acct Summary 7-8'!C18</f>
        <v>10034740</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32183449</v>
      </c>
      <c r="C4136" s="2" t="s">
        <v>593</v>
      </c>
      <c r="D4136" s="2" t="str">
        <f t="shared" si="63"/>
        <v>Error?</v>
      </c>
    </row>
    <row r="4137" spans="1:4" x14ac:dyDescent="0.2">
      <c r="A4137" s="5">
        <v>4076</v>
      </c>
      <c r="B4137" s="138">
        <f>'Acct Summary 7-8'!D19</f>
        <v>2903323</v>
      </c>
      <c r="C4137" s="2" t="s">
        <v>593</v>
      </c>
      <c r="D4137" s="2" t="str">
        <f t="shared" si="63"/>
        <v>Error?</v>
      </c>
    </row>
    <row r="4138" spans="1:4" x14ac:dyDescent="0.2">
      <c r="A4138" s="5">
        <v>4077</v>
      </c>
      <c r="B4138" s="138">
        <f>'Acct Summary 7-8'!E19</f>
        <v>3496441</v>
      </c>
      <c r="C4138" s="2" t="s">
        <v>593</v>
      </c>
      <c r="D4138" s="2" t="str">
        <f t="shared" si="63"/>
        <v>Error?</v>
      </c>
    </row>
    <row r="4139" spans="1:4" x14ac:dyDescent="0.2">
      <c r="A4139" s="5">
        <v>4078</v>
      </c>
      <c r="B4139" s="138">
        <f>'Acct Summary 7-8'!F19</f>
        <v>1847973</v>
      </c>
      <c r="C4139" s="2" t="s">
        <v>593</v>
      </c>
      <c r="D4139" s="2" t="str">
        <f t="shared" si="63"/>
        <v>Error?</v>
      </c>
    </row>
    <row r="4140" spans="1:4" x14ac:dyDescent="0.2">
      <c r="A4140" s="5">
        <v>4079</v>
      </c>
      <c r="B4140" s="138">
        <f>'Acct Summary 7-8'!G19</f>
        <v>1035758</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153884</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32176934</v>
      </c>
      <c r="C4171" s="2" t="s">
        <v>593</v>
      </c>
      <c r="D4171" s="2" t="str">
        <f t="shared" si="64"/>
        <v>Error?</v>
      </c>
    </row>
    <row r="4172" spans="1:4" x14ac:dyDescent="0.2">
      <c r="A4172" s="5">
        <v>4111</v>
      </c>
      <c r="B4172" s="138">
        <f>'Short-Term Long-Term Debt 24'!J49</f>
        <v>30904893</v>
      </c>
      <c r="C4172" s="2" t="s">
        <v>593</v>
      </c>
      <c r="D4172" s="2" t="str">
        <f t="shared" si="64"/>
        <v>Error?</v>
      </c>
    </row>
    <row r="4173" spans="1:4" x14ac:dyDescent="0.2">
      <c r="A4173" s="5">
        <v>4112</v>
      </c>
      <c r="B4173" s="138">
        <f>'Short-Term Long-Term Debt 24'!H49</f>
        <v>2624445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1400</v>
      </c>
      <c r="C4265" s="2" t="s">
        <v>593</v>
      </c>
      <c r="D4265" s="2" t="str">
        <f t="shared" si="65"/>
        <v>Error?</v>
      </c>
      <c r="E4265" s="128"/>
    </row>
    <row r="4266" spans="1:5" x14ac:dyDescent="0.2">
      <c r="A4266" s="12">
        <v>4205</v>
      </c>
      <c r="B4266" s="138">
        <f>('FP Info 3'!F10)*100000</f>
        <v>400</v>
      </c>
      <c r="C4266" s="2" t="s">
        <v>593</v>
      </c>
      <c r="D4266" s="2" t="str">
        <f t="shared" si="65"/>
        <v>Error?</v>
      </c>
      <c r="E4266" s="128"/>
    </row>
    <row r="4267" spans="1:5" x14ac:dyDescent="0.2">
      <c r="A4267" s="12">
        <v>4206</v>
      </c>
      <c r="B4267" s="138">
        <f>('FP Info 3'!H10)*100000</f>
        <v>119.99999999999999</v>
      </c>
      <c r="C4267" s="2" t="s">
        <v>593</v>
      </c>
      <c r="D4267" s="2" t="str">
        <f t="shared" si="65"/>
        <v>Error?</v>
      </c>
      <c r="E4267" s="128"/>
    </row>
    <row r="4268" spans="1:5" x14ac:dyDescent="0.2">
      <c r="A4268" s="12">
        <v>4207</v>
      </c>
      <c r="B4268" s="138">
        <f>('FP Info 3'!J10)*100000</f>
        <v>1919.9999999999998</v>
      </c>
      <c r="C4268" s="2" t="s">
        <v>593</v>
      </c>
      <c r="D4268" s="2" t="str">
        <f t="shared" si="65"/>
        <v>Error?</v>
      </c>
    </row>
    <row r="4269" spans="1:5" x14ac:dyDescent="0.2">
      <c r="A4269" s="12">
        <v>4208</v>
      </c>
      <c r="B4269" s="138">
        <f>'FP Info 3'!J16</f>
        <v>6740103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268286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1811</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66095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8942</v>
      </c>
      <c r="D4792" s="2" t="str">
        <f t="shared" si="73"/>
        <v>Error?</v>
      </c>
    </row>
    <row r="4793" spans="1:4" x14ac:dyDescent="0.2">
      <c r="A4793" s="5">
        <v>4732</v>
      </c>
      <c r="B4793" s="138">
        <f>'Revenues 9-14'!D171</f>
        <v>21121</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7845665</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645847682</v>
      </c>
      <c r="D4995" s="2" t="str">
        <f t="shared" si="77"/>
        <v>Error?</v>
      </c>
    </row>
    <row r="4996" spans="1:4" x14ac:dyDescent="0.2">
      <c r="A4996" s="12">
        <v>4935</v>
      </c>
      <c r="B4996" s="138">
        <f>'FP Info 3'!H31</f>
        <v>44563490.058000006</v>
      </c>
      <c r="D4996" s="2" t="str">
        <f t="shared" si="77"/>
        <v>Error?</v>
      </c>
    </row>
    <row r="4997" spans="1:4" x14ac:dyDescent="0.2">
      <c r="A4997" s="12">
        <v>4936</v>
      </c>
      <c r="B4997" s="138">
        <f>'FP Info 3'!H37</f>
        <v>32176934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10084997</v>
      </c>
      <c r="D5061" s="2" t="str">
        <f t="shared" si="78"/>
        <v>Error?</v>
      </c>
    </row>
    <row r="5062" spans="1:4" x14ac:dyDescent="0.2">
      <c r="A5062" s="10">
        <v>5001</v>
      </c>
      <c r="D5062" s="2" t="str">
        <f t="shared" si="78"/>
        <v>OK</v>
      </c>
    </row>
    <row r="5063" spans="1:4" x14ac:dyDescent="0.2">
      <c r="A5063" s="5">
        <v>5002</v>
      </c>
      <c r="B5063" s="138">
        <f>'Revenues 9-14'!C7</f>
        <v>144078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10229075</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27064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27064</v>
      </c>
      <c r="C5087" s="2" t="s">
        <v>593</v>
      </c>
      <c r="D5087" s="2" t="str">
        <f t="shared" si="78"/>
        <v>Error?</v>
      </c>
    </row>
    <row r="5088" spans="1:4" x14ac:dyDescent="0.2">
      <c r="A5088" s="5">
        <v>5027</v>
      </c>
      <c r="B5088" s="138">
        <f>'Revenues 9-14'!C65</f>
        <v>25721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25721</v>
      </c>
      <c r="C5090" s="2" t="s">
        <v>593</v>
      </c>
      <c r="D5090" s="2" t="str">
        <f t="shared" si="78"/>
        <v>Error?</v>
      </c>
    </row>
    <row r="5091" spans="1:4" x14ac:dyDescent="0.2">
      <c r="A5091" s="5">
        <v>5030</v>
      </c>
      <c r="B5091" s="138">
        <f>'Revenues 9-14'!C70</f>
        <v>33933</v>
      </c>
      <c r="D5091" s="2" t="str">
        <f t="shared" si="78"/>
        <v>Error?</v>
      </c>
    </row>
    <row r="5092" spans="1:4" x14ac:dyDescent="0.2">
      <c r="A5092" s="5">
        <v>5031</v>
      </c>
      <c r="B5092" s="138">
        <f>'Revenues 9-14'!C71</f>
        <v>216085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9089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771608</v>
      </c>
      <c r="C5096" s="2" t="s">
        <v>593</v>
      </c>
      <c r="D5096" s="2" t="str">
        <f t="shared" si="78"/>
        <v>Error?</v>
      </c>
    </row>
    <row r="5097" spans="1:4" x14ac:dyDescent="0.2">
      <c r="A5097" s="5">
        <v>5036</v>
      </c>
      <c r="B5097" s="138">
        <f>'Revenues 9-14'!C77</f>
        <v>22996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77226</v>
      </c>
      <c r="D5101" s="2" t="str">
        <f t="shared" si="78"/>
        <v>Error?</v>
      </c>
    </row>
    <row r="5102" spans="1:4" x14ac:dyDescent="0.2">
      <c r="A5102" s="5">
        <v>5041</v>
      </c>
      <c r="B5102" s="138">
        <f>'Revenues 9-14'!C82</f>
        <v>100222</v>
      </c>
      <c r="C5102" s="2" t="s">
        <v>593</v>
      </c>
      <c r="D5102" s="2" t="str">
        <f t="shared" si="78"/>
        <v>Error?</v>
      </c>
    </row>
    <row r="5103" spans="1:4" x14ac:dyDescent="0.2">
      <c r="A5103" s="5">
        <v>5042</v>
      </c>
      <c r="B5103" s="138">
        <f>'Revenues 9-14'!C84</f>
        <v>445841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445841</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27812</v>
      </c>
      <c r="D5118" s="2" t="str">
        <f t="shared" si="78"/>
        <v>Error?</v>
      </c>
    </row>
    <row r="5119" spans="1:4" x14ac:dyDescent="0.2">
      <c r="A5119" s="5">
        <v>5058</v>
      </c>
      <c r="B5119" s="138">
        <f>'Revenues 9-14'!C107</f>
        <v>2100439</v>
      </c>
      <c r="D5119" s="2" t="str">
        <f t="shared" ref="D5119:D5182" si="79">IF(ISBLANK(B5119),"OK",IF(A5119-B5119=0,"OK","Error?"))</f>
        <v>Error?</v>
      </c>
    </row>
    <row r="5120" spans="1:4" x14ac:dyDescent="0.2">
      <c r="A5120" s="5">
        <v>5059</v>
      </c>
      <c r="B5120" s="138">
        <f>'Revenues 9-14'!C108</f>
        <v>2128251</v>
      </c>
      <c r="C5120" s="2" t="s">
        <v>593</v>
      </c>
      <c r="D5120" s="2" t="str">
        <f t="shared" si="79"/>
        <v>Error?</v>
      </c>
    </row>
    <row r="5121" spans="1:4" x14ac:dyDescent="0.2">
      <c r="A5121" s="5">
        <v>5060</v>
      </c>
      <c r="B5121" s="138">
        <f>'Revenues 9-14'!C109</f>
        <v>13727782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7845665</v>
      </c>
      <c r="C5132" s="2" t="s">
        <v>593</v>
      </c>
      <c r="D5132" s="2" t="str">
        <f t="shared" si="79"/>
        <v>Error?</v>
      </c>
    </row>
    <row r="5133" spans="1:4" x14ac:dyDescent="0.2">
      <c r="A5133" s="5">
        <v>5072</v>
      </c>
      <c r="B5133" s="138">
        <f>'Revenues 9-14'!C124</f>
        <v>79425</v>
      </c>
      <c r="D5133" s="2" t="str">
        <f t="shared" si="79"/>
        <v>Error?</v>
      </c>
    </row>
    <row r="5134" spans="1:4" x14ac:dyDescent="0.2">
      <c r="A5134" s="5">
        <v>5073</v>
      </c>
      <c r="B5134" s="138">
        <f>'Revenues 9-14'!C125</f>
        <v>219595</v>
      </c>
      <c r="D5134" s="2" t="str">
        <f t="shared" si="79"/>
        <v>Error?</v>
      </c>
    </row>
    <row r="5135" spans="1:4" x14ac:dyDescent="0.2">
      <c r="A5135" s="5">
        <v>5074</v>
      </c>
      <c r="B5135" s="138">
        <f>'Revenues 9-14'!C126</f>
        <v>345354</v>
      </c>
      <c r="D5135" s="2" t="str">
        <f t="shared" si="79"/>
        <v>Error?</v>
      </c>
    </row>
    <row r="5136" spans="1:4" x14ac:dyDescent="0.2">
      <c r="A5136" s="10">
        <v>5075</v>
      </c>
      <c r="D5136" s="2" t="str">
        <f t="shared" si="79"/>
        <v>OK</v>
      </c>
    </row>
    <row r="5137" spans="1:4" x14ac:dyDescent="0.2">
      <c r="A5137" s="5">
        <v>5076</v>
      </c>
      <c r="B5137" s="138">
        <f>'Revenues 9-14'!C127</f>
        <v>90177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19101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753652</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6026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231233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999853</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8845518</v>
      </c>
      <c r="C5223" s="2" t="s">
        <v>593</v>
      </c>
      <c r="D5223" s="2" t="str">
        <f t="shared" si="80"/>
        <v>Error?</v>
      </c>
    </row>
    <row r="5224" spans="1:4" x14ac:dyDescent="0.2">
      <c r="A5224" s="5">
        <v>5163</v>
      </c>
      <c r="B5224" s="138">
        <f>'Revenues 9-14'!C176</f>
        <v>245614</v>
      </c>
      <c r="D5224" s="2" t="str">
        <f t="shared" si="80"/>
        <v>Error?</v>
      </c>
    </row>
    <row r="5225" spans="1:4" x14ac:dyDescent="0.2">
      <c r="A5225" s="5">
        <v>5164</v>
      </c>
      <c r="B5225" s="138">
        <f>'Revenues 9-14'!C178</f>
        <v>245614</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428521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86639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515160</v>
      </c>
      <c r="C5246" s="2" t="s">
        <v>593</v>
      </c>
      <c r="D5246" s="2" t="str">
        <f t="shared" si="80"/>
        <v>Error?</v>
      </c>
    </row>
    <row r="5247" spans="1:4" x14ac:dyDescent="0.2">
      <c r="A5247" s="5">
        <v>5186</v>
      </c>
      <c r="B5247" s="138">
        <f>'Revenues 9-14'!C203</f>
        <v>290305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1811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290305</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19560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579167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598727</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1740384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1985998</v>
      </c>
      <c r="C5326" s="2" t="s">
        <v>593</v>
      </c>
      <c r="D5326" s="2" t="str">
        <f t="shared" si="82"/>
        <v>Error?</v>
      </c>
    </row>
    <row r="5327" spans="1:4" x14ac:dyDescent="0.2">
      <c r="A5327" s="5">
        <v>5266</v>
      </c>
      <c r="B5327" s="138">
        <f>'Revenues 9-14'!C275</f>
        <v>24559298</v>
      </c>
      <c r="C5327" s="2" t="s">
        <v>593</v>
      </c>
      <c r="D5327" s="2" t="str">
        <f t="shared" si="82"/>
        <v>Error?</v>
      </c>
    </row>
    <row r="5328" spans="1:4" x14ac:dyDescent="0.2">
      <c r="A5328" s="5">
        <v>5267</v>
      </c>
      <c r="B5328" s="138">
        <f>'Revenues 9-14'!D5</f>
        <v>2881418</v>
      </c>
      <c r="D5328" s="2" t="str">
        <f t="shared" si="82"/>
        <v>Error?</v>
      </c>
    </row>
    <row r="5329" spans="1:4" x14ac:dyDescent="0.2">
      <c r="A5329" s="10">
        <v>5268</v>
      </c>
      <c r="D5329" s="2" t="str">
        <f t="shared" si="82"/>
        <v>OK</v>
      </c>
    </row>
    <row r="5330" spans="1:4" x14ac:dyDescent="0.2">
      <c r="A5330" s="5">
        <v>5269</v>
      </c>
      <c r="B5330" s="138">
        <f>'Revenues 9-14'!D6</f>
        <v>360180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3241598</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132038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132038</v>
      </c>
      <c r="C5339" s="2" t="s">
        <v>593</v>
      </c>
      <c r="D5339" s="2" t="str">
        <f t="shared" si="82"/>
        <v>Error?</v>
      </c>
    </row>
    <row r="5340" spans="1:4" x14ac:dyDescent="0.2">
      <c r="A5340" s="5">
        <v>5279</v>
      </c>
      <c r="B5340" s="138">
        <f>'Revenues 9-14'!D65</f>
        <v>10999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10999</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3605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3605</v>
      </c>
      <c r="C5355" s="2" t="s">
        <v>593</v>
      </c>
      <c r="D5355" s="2" t="str">
        <f t="shared" si="82"/>
        <v>Error?</v>
      </c>
    </row>
    <row r="5356" spans="1:4" x14ac:dyDescent="0.2">
      <c r="A5356" s="5">
        <v>5295</v>
      </c>
      <c r="B5356" s="138">
        <f>'Revenues 9-14'!D109</f>
        <v>3388240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21121</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21121</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3409361</v>
      </c>
      <c r="C5508" s="2" t="s">
        <v>593</v>
      </c>
      <c r="D5508" s="2" t="str">
        <f t="shared" si="85"/>
        <v>Error?</v>
      </c>
    </row>
    <row r="5509" spans="1:4" x14ac:dyDescent="0.2">
      <c r="A5509" s="5">
        <v>5448</v>
      </c>
      <c r="B5509" s="138">
        <f>'Revenues 9-14'!E5</f>
        <v>3988946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3988946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13703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13703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v>
      </c>
      <c r="D5525" s="2" t="str">
        <f t="shared" si="85"/>
        <v>Error?</v>
      </c>
    </row>
    <row r="5526" spans="1:4" x14ac:dyDescent="0.2">
      <c r="A5526" s="5">
        <v>5465</v>
      </c>
      <c r="B5526" s="138">
        <f>'Revenues 9-14'!E108</f>
        <v>1</v>
      </c>
      <c r="C5526" s="2" t="s">
        <v>593</v>
      </c>
      <c r="D5526" s="2" t="str">
        <f t="shared" si="85"/>
        <v>Error?</v>
      </c>
    </row>
    <row r="5527" spans="1:4" x14ac:dyDescent="0.2">
      <c r="A5527" s="5">
        <v>5466</v>
      </c>
      <c r="B5527" s="138">
        <f>'Revenues 9-14'!E109</f>
        <v>4002650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4002650</v>
      </c>
      <c r="C5552" s="2" t="s">
        <v>593</v>
      </c>
      <c r="D5552" s="2" t="str">
        <f t="shared" si="85"/>
        <v>Error?</v>
      </c>
    </row>
    <row r="5553" spans="1:4" x14ac:dyDescent="0.2">
      <c r="A5553" s="5">
        <v>5492</v>
      </c>
      <c r="B5553" s="138">
        <f>'Revenues 9-14'!F5</f>
        <v>864426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864426</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36121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36121</v>
      </c>
      <c r="C5579" s="2" t="s">
        <v>593</v>
      </c>
      <c r="D5579" s="2" t="str">
        <f t="shared" si="86"/>
        <v>Error?</v>
      </c>
    </row>
    <row r="5580" spans="1:4" x14ac:dyDescent="0.2">
      <c r="A5580" s="5">
        <v>5519</v>
      </c>
      <c r="B5580" s="138">
        <f>'Revenues 9-14'!F65</f>
        <v>1573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1573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2134</v>
      </c>
      <c r="D5586" s="2" t="str">
        <f t="shared" si="86"/>
        <v>Error?</v>
      </c>
    </row>
    <row r="5587" spans="1:4" x14ac:dyDescent="0.2">
      <c r="A5587" s="5">
        <v>5526</v>
      </c>
      <c r="B5587" s="138">
        <f>'Revenues 9-14'!F108</f>
        <v>2134</v>
      </c>
      <c r="C5587" s="2" t="s">
        <v>593</v>
      </c>
      <c r="D5587" s="2" t="str">
        <f t="shared" si="86"/>
        <v>Error?</v>
      </c>
    </row>
    <row r="5588" spans="1:4" x14ac:dyDescent="0.2">
      <c r="A5588" s="5">
        <v>5527</v>
      </c>
      <c r="B5588" s="138">
        <f>'Revenues 9-14'!F109</f>
        <v>904254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467610</v>
      </c>
      <c r="D5615" s="2" t="str">
        <f t="shared" si="86"/>
        <v>Error?</v>
      </c>
    </row>
    <row r="5616" spans="1:4" x14ac:dyDescent="0.2">
      <c r="A5616" s="10">
        <v>5555</v>
      </c>
      <c r="D5616" s="2" t="str">
        <f t="shared" si="86"/>
        <v>OK</v>
      </c>
    </row>
    <row r="5617" spans="1:4" x14ac:dyDescent="0.2">
      <c r="A5617" s="5">
        <v>5556</v>
      </c>
      <c r="B5617" s="138">
        <f>'Revenues 9-14'!F152</f>
        <v>554171</v>
      </c>
      <c r="D5617" s="2" t="str">
        <f t="shared" si="86"/>
        <v>Error?</v>
      </c>
    </row>
    <row r="5618" spans="1:4" x14ac:dyDescent="0.2">
      <c r="A5618" s="5">
        <v>5557</v>
      </c>
      <c r="B5618" s="138">
        <f>'Revenues 9-14'!F154</f>
        <v>1021781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1021781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1021781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1926035</v>
      </c>
      <c r="C5720" s="2" t="s">
        <v>593</v>
      </c>
      <c r="D5720" s="2" t="str">
        <f t="shared" si="88"/>
        <v>Error?</v>
      </c>
    </row>
    <row r="5721" spans="1:4" x14ac:dyDescent="0.2">
      <c r="A5721" s="5">
        <v>5660</v>
      </c>
      <c r="B5721" s="138">
        <f>'Revenues 9-14'!G5</f>
        <v>500988</v>
      </c>
      <c r="D5721" s="2" t="str">
        <f t="shared" si="88"/>
        <v>Error?</v>
      </c>
    </row>
    <row r="5722" spans="1:4" x14ac:dyDescent="0.2">
      <c r="A5722" s="5">
        <v>5661</v>
      </c>
      <c r="B5722" s="138">
        <f>'Revenues 9-14'!G7</f>
        <v>0</v>
      </c>
      <c r="D5722" s="2" t="str">
        <f t="shared" si="88"/>
        <v>Error?</v>
      </c>
    </row>
    <row r="5723" spans="1:4" x14ac:dyDescent="0.2">
      <c r="A5723" s="5">
        <v>5662</v>
      </c>
      <c r="B5723" s="138">
        <f>'Revenues 9-14'!G8</f>
        <v>687733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1188721</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6449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6449</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1195170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14</v>
      </c>
      <c r="C5915" s="2" t="s">
        <v>593</v>
      </c>
      <c r="D5915" s="2" t="str">
        <f t="shared" si="91"/>
        <v>Error?</v>
      </c>
    </row>
    <row r="5916" spans="1:4" x14ac:dyDescent="0.2">
      <c r="A5916" s="5">
        <v>5855</v>
      </c>
      <c r="B5916" s="138">
        <f>'Revenues 9-14'!I5</f>
        <v>360181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360181</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16846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16846</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377027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360179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360179</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11257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11257</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371436</v>
      </c>
      <c r="C6023" s="2" t="s">
        <v>593</v>
      </c>
      <c r="D6023" s="2" t="str">
        <f t="shared" si="93"/>
        <v>Error?</v>
      </c>
    </row>
    <row r="6024" spans="1:5" x14ac:dyDescent="0.2">
      <c r="A6024" s="5">
        <v>5963</v>
      </c>
      <c r="B6024" s="138">
        <f>'Revenues 9-14'!G109</f>
        <v>1195170</v>
      </c>
      <c r="C6024" s="2" t="s">
        <v>593</v>
      </c>
      <c r="D6024" s="2" t="str">
        <f t="shared" si="93"/>
        <v>Error?</v>
      </c>
    </row>
    <row r="6025" spans="1:5" x14ac:dyDescent="0.2">
      <c r="A6025" s="5">
        <v>5964</v>
      </c>
      <c r="B6025" s="138">
        <f>'Revenues 9-14'!H109</f>
        <v>14</v>
      </c>
      <c r="C6025" s="2" t="s">
        <v>593</v>
      </c>
      <c r="D6025" s="2" t="str">
        <f t="shared" si="93"/>
        <v>Error?</v>
      </c>
    </row>
    <row r="6026" spans="1:5" x14ac:dyDescent="0.2">
      <c r="A6026" s="5">
        <v>5965</v>
      </c>
      <c r="B6026" s="138">
        <f>'Revenues 9-14'!I109</f>
        <v>377027</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371436</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512501</v>
      </c>
      <c r="D6031" s="2" t="str">
        <f t="shared" si="93"/>
        <v>Error?</v>
      </c>
    </row>
    <row r="6032" spans="1:5" x14ac:dyDescent="0.2">
      <c r="A6032" s="5">
        <v>5971</v>
      </c>
      <c r="B6032" s="138">
        <f>'Acct Summary 7-8'!G15</f>
        <v>6192</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88806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3427.66</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858296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12</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12</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858284</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858296</v>
      </c>
      <c r="D6216" s="2" t="str">
        <f t="shared" si="96"/>
        <v>Error?</v>
      </c>
      <c r="E6216" s="2" t="s">
        <v>199</v>
      </c>
    </row>
    <row r="6217" spans="1:5" x14ac:dyDescent="0.2">
      <c r="A6217">
        <v>6156</v>
      </c>
      <c r="B6217" s="138">
        <f>'Assets-Liab 5-6'!J4</f>
        <v>83395</v>
      </c>
      <c r="D6217" s="2" t="str">
        <f t="shared" si="96"/>
        <v>Error?</v>
      </c>
      <c r="E6217" s="2" t="s">
        <v>199</v>
      </c>
    </row>
    <row r="6218" spans="1:5" x14ac:dyDescent="0.2">
      <c r="A6218">
        <v>6157</v>
      </c>
      <c r="B6218" s="138">
        <f>'Assets-Liab 5-6'!J5</f>
        <v>774901</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2585284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2585284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2585284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2140392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2140392</v>
      </c>
      <c r="D6229" s="2" t="str">
        <f t="shared" si="96"/>
        <v>Error?</v>
      </c>
      <c r="E6229" s="2" t="s">
        <v>199</v>
      </c>
    </row>
    <row r="6230" spans="1:5" x14ac:dyDescent="0.2">
      <c r="A6230">
        <v>6169</v>
      </c>
      <c r="B6230" s="138">
        <f>'Acct Summary 7-8'!J20</f>
        <v>444892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444892</v>
      </c>
      <c r="D6263" s="2" t="str">
        <f t="shared" si="96"/>
        <v>Error?</v>
      </c>
      <c r="E6263" s="2" t="s">
        <v>199</v>
      </c>
    </row>
    <row r="6264" spans="1:5" x14ac:dyDescent="0.2">
      <c r="A6264">
        <v>6203</v>
      </c>
      <c r="B6264" s="138">
        <f>'Acct Summary 7-8'!J79</f>
        <v>413392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858284</v>
      </c>
      <c r="D6266" s="2" t="str">
        <f t="shared" si="96"/>
        <v>Error?</v>
      </c>
      <c r="E6266" s="2" t="s">
        <v>199</v>
      </c>
    </row>
    <row r="6267" spans="1:5" x14ac:dyDescent="0.2">
      <c r="A6267">
        <v>6206</v>
      </c>
      <c r="B6267" s="138">
        <f>'Acct Summary 7-8'!C82</f>
        <v>2526072</v>
      </c>
      <c r="D6267" s="2" t="str">
        <f t="shared" si="96"/>
        <v>Error?</v>
      </c>
      <c r="E6267" s="2" t="s">
        <v>199</v>
      </c>
    </row>
    <row r="6268" spans="1:5" x14ac:dyDescent="0.2">
      <c r="A6268">
        <v>6207</v>
      </c>
      <c r="B6268" s="138">
        <f>'Acct Summary 7-8'!D82</f>
        <v>506038</v>
      </c>
      <c r="D6268" s="2" t="str">
        <f t="shared" si="96"/>
        <v>Error?</v>
      </c>
      <c r="E6268" s="2" t="s">
        <v>199</v>
      </c>
    </row>
    <row r="6269" spans="1:5" x14ac:dyDescent="0.2">
      <c r="A6269">
        <v>6208</v>
      </c>
      <c r="B6269" s="138">
        <f>'Acct Summary 7-8'!E82</f>
        <v>506209</v>
      </c>
      <c r="D6269" s="2" t="str">
        <f t="shared" si="96"/>
        <v>Error?</v>
      </c>
      <c r="E6269" s="2" t="s">
        <v>199</v>
      </c>
    </row>
    <row r="6270" spans="1:5" x14ac:dyDescent="0.2">
      <c r="A6270">
        <v>6209</v>
      </c>
      <c r="B6270" s="138">
        <f>'Acct Summary 7-8'!F82</f>
        <v>449062</v>
      </c>
      <c r="D6270" s="2" t="str">
        <f t="shared" si="96"/>
        <v>Error?</v>
      </c>
      <c r="E6270" s="2" t="s">
        <v>199</v>
      </c>
    </row>
    <row r="6271" spans="1:5" x14ac:dyDescent="0.2">
      <c r="A6271">
        <v>6210</v>
      </c>
      <c r="B6271" s="138">
        <f>'Acct Summary 7-8'!G82</f>
        <v>159412</v>
      </c>
      <c r="D6271" s="2" t="str">
        <f t="shared" ref="D6271:D6334" si="97">IF(ISBLANK(B6271),"OK",IF(A6271-B6271=0,"OK","Error?"))</f>
        <v>Error?</v>
      </c>
      <c r="E6271" s="2" t="s">
        <v>199</v>
      </c>
    </row>
    <row r="6272" spans="1:5" x14ac:dyDescent="0.2">
      <c r="A6272">
        <v>6211</v>
      </c>
      <c r="B6272" s="138">
        <f>'Acct Summary 7-8'!H82</f>
        <v>14</v>
      </c>
      <c r="D6272" s="2" t="str">
        <f t="shared" si="97"/>
        <v>Error?</v>
      </c>
      <c r="E6272" s="2" t="s">
        <v>199</v>
      </c>
    </row>
    <row r="6273" spans="1:5" x14ac:dyDescent="0.2">
      <c r="A6273">
        <v>6212</v>
      </c>
      <c r="B6273" s="138">
        <f>'Acct Summary 7-8'!I82</f>
        <v>-109456</v>
      </c>
      <c r="D6273" s="2" t="str">
        <f t="shared" si="97"/>
        <v>Error?</v>
      </c>
      <c r="E6273" s="2" t="s">
        <v>199</v>
      </c>
    </row>
    <row r="6274" spans="1:5" x14ac:dyDescent="0.2">
      <c r="A6274">
        <v>6213</v>
      </c>
      <c r="B6274" s="138">
        <f>'Acct Summary 7-8'!J82</f>
        <v>444892</v>
      </c>
      <c r="D6274" s="2" t="str">
        <f t="shared" si="97"/>
        <v>Error?</v>
      </c>
      <c r="E6274" s="2" t="s">
        <v>199</v>
      </c>
    </row>
    <row r="6275" spans="1:5" x14ac:dyDescent="0.2">
      <c r="A6275">
        <v>6214</v>
      </c>
      <c r="B6275" s="138">
        <f>'Acct Summary 7-8'!K82</f>
        <v>217552</v>
      </c>
      <c r="D6275" s="2" t="str">
        <f t="shared" si="97"/>
        <v>Error?</v>
      </c>
      <c r="E6275" s="2" t="s">
        <v>199</v>
      </c>
    </row>
    <row r="6276" spans="1:5" x14ac:dyDescent="0.2">
      <c r="A6276">
        <v>6215</v>
      </c>
      <c r="B6276" s="138">
        <f>'Acct Summary 7-8'!C83</f>
        <v>0.55821686836445794</v>
      </c>
      <c r="D6276" s="2" t="str">
        <f t="shared" si="97"/>
        <v>Error?</v>
      </c>
      <c r="E6276" s="2" t="s">
        <v>199</v>
      </c>
    </row>
    <row r="6277" spans="1:5" x14ac:dyDescent="0.2">
      <c r="A6277">
        <v>6216</v>
      </c>
      <c r="B6277" s="138">
        <f>'Acct Summary 7-8'!D83</f>
        <v>0.49317837390054331</v>
      </c>
      <c r="D6277" s="2" t="str">
        <f t="shared" si="97"/>
        <v>Error?</v>
      </c>
      <c r="E6277" s="2" t="s">
        <v>199</v>
      </c>
    </row>
    <row r="6278" spans="1:5" x14ac:dyDescent="0.2">
      <c r="A6278">
        <v>6217</v>
      </c>
      <c r="B6278" s="138">
        <f>'Acct Summary 7-8'!E83</f>
        <v>0.39795022330255081</v>
      </c>
      <c r="D6278" s="2" t="str">
        <f t="shared" si="97"/>
        <v>Error?</v>
      </c>
      <c r="E6278" s="2" t="s">
        <v>199</v>
      </c>
    </row>
    <row r="6279" spans="1:5" x14ac:dyDescent="0.2">
      <c r="A6279">
        <v>6218</v>
      </c>
      <c r="B6279" s="138">
        <f>'Acct Summary 7-8'!F83</f>
        <v>0.99385840469018694</v>
      </c>
      <c r="D6279" s="2" t="str">
        <f t="shared" si="97"/>
        <v>Error?</v>
      </c>
      <c r="E6279" s="2" t="s">
        <v>199</v>
      </c>
    </row>
    <row r="6280" spans="1:5" x14ac:dyDescent="0.2">
      <c r="A6280">
        <v>6219</v>
      </c>
      <c r="B6280" s="138">
        <f>'Acct Summary 7-8'!G83</f>
        <v>0.30834698610608735</v>
      </c>
      <c r="D6280" s="2" t="str">
        <f t="shared" si="97"/>
        <v>Error?</v>
      </c>
      <c r="E6280" s="2" t="s">
        <v>199</v>
      </c>
    </row>
    <row r="6281" spans="1:5" x14ac:dyDescent="0.2">
      <c r="A6281">
        <v>6220</v>
      </c>
      <c r="B6281" s="138">
        <f>'Acct Summary 7-8'!H83</f>
        <v>7.9863091842555627E-3</v>
      </c>
      <c r="D6281" s="2" t="str">
        <f t="shared" si="97"/>
        <v>Error?</v>
      </c>
      <c r="E6281" s="2" t="s">
        <v>199</v>
      </c>
    </row>
    <row r="6282" spans="1:5" x14ac:dyDescent="0.2">
      <c r="A6282">
        <v>6221</v>
      </c>
      <c r="B6282" s="138">
        <f>'Acct Summary 7-8'!I83</f>
        <v>-0.14852789715295295</v>
      </c>
      <c r="D6282" s="2" t="str">
        <f t="shared" si="97"/>
        <v>Error?</v>
      </c>
      <c r="E6282" s="2" t="s">
        <v>199</v>
      </c>
    </row>
    <row r="6283" spans="1:5" x14ac:dyDescent="0.2">
      <c r="A6283">
        <v>6222</v>
      </c>
      <c r="B6283" s="138">
        <f>'Acct Summary 7-8'!J83</f>
        <v>0.51835056927543799</v>
      </c>
      <c r="D6283" s="2" t="str">
        <f t="shared" si="97"/>
        <v>Error?</v>
      </c>
      <c r="E6283" s="2" t="s">
        <v>199</v>
      </c>
    </row>
    <row r="6284" spans="1:5" x14ac:dyDescent="0.2">
      <c r="A6284">
        <v>6223</v>
      </c>
      <c r="B6284" s="138">
        <f>'Acct Summary 7-8'!K83</f>
        <v>0.21398087320704759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2575567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2575567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9717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9717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2585284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101537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141281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167402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12540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12540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12540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724850</v>
      </c>
      <c r="D6983" s="2" t="str">
        <f t="shared" si="108"/>
        <v>Error?</v>
      </c>
    </row>
    <row r="6984" spans="1:4" x14ac:dyDescent="0.2">
      <c r="A6984">
        <v>6923</v>
      </c>
      <c r="B6984" s="138">
        <f>'Expenditures 15-22'!K86</f>
        <v>724850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724850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12540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2115360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2585284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5923</v>
      </c>
      <c r="D7073" s="2" t="str">
        <f t="shared" si="109"/>
        <v>Error?</v>
      </c>
    </row>
    <row r="7074" spans="1:4" x14ac:dyDescent="0.2">
      <c r="A7074">
        <v>7013</v>
      </c>
      <c r="B7074" s="138">
        <f>'Expenditures 15-22'!K216</f>
        <v>5923</v>
      </c>
      <c r="D7074" s="2" t="str">
        <f t="shared" si="109"/>
        <v>Error?</v>
      </c>
    </row>
    <row r="7075" spans="1:4" x14ac:dyDescent="0.2">
      <c r="A7075">
        <v>7014</v>
      </c>
      <c r="B7075" s="138">
        <f>'Expenditures 15-22'!D218</f>
        <v>8285</v>
      </c>
      <c r="D7075" s="2" t="str">
        <f t="shared" si="109"/>
        <v>Error?</v>
      </c>
    </row>
    <row r="7076" spans="1:4" x14ac:dyDescent="0.2">
      <c r="A7076">
        <v>7015</v>
      </c>
      <c r="B7076" s="138">
        <f>'Expenditures 15-22'!K218</f>
        <v>8285</v>
      </c>
      <c r="D7076" s="2" t="str">
        <f t="shared" si="109"/>
        <v>Error?</v>
      </c>
    </row>
    <row r="7077" spans="1:4" x14ac:dyDescent="0.2">
      <c r="A7077">
        <v>7016</v>
      </c>
      <c r="B7077" s="138">
        <f>'Expenditures 15-22'!D220</f>
        <v>5504</v>
      </c>
      <c r="D7077" s="2" t="str">
        <f t="shared" si="109"/>
        <v>Error?</v>
      </c>
    </row>
    <row r="7078" spans="1:4" x14ac:dyDescent="0.2">
      <c r="A7078">
        <v>7017</v>
      </c>
      <c r="B7078" s="138">
        <f>'Expenditures 15-22'!K220</f>
        <v>5504</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133946</v>
      </c>
      <c r="D7093" s="2" t="str">
        <f t="shared" si="109"/>
        <v>Error?</v>
      </c>
    </row>
    <row r="7094" spans="1:4" x14ac:dyDescent="0.2">
      <c r="A7094">
        <v>7033</v>
      </c>
      <c r="B7094" s="138">
        <f>'Expenditures 15-22'!K254</f>
        <v>133946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166333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166333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1457999</v>
      </c>
      <c r="D7172" s="2" t="str">
        <f t="shared" si="111"/>
        <v>Error?</v>
      </c>
    </row>
    <row r="7173" spans="1:4" x14ac:dyDescent="0.2">
      <c r="A7173">
        <v>7112</v>
      </c>
      <c r="B7173" s="138">
        <f>'Expenditures 15-22'!D325</f>
        <v>82310</v>
      </c>
      <c r="D7173" s="2" t="str">
        <f t="shared" si="111"/>
        <v>Error?</v>
      </c>
    </row>
    <row r="7174" spans="1:4" x14ac:dyDescent="0.2">
      <c r="A7174">
        <v>7113</v>
      </c>
      <c r="B7174" s="138">
        <f>'Expenditures 15-22'!E325</f>
        <v>77591</v>
      </c>
      <c r="D7174" s="2" t="str">
        <f t="shared" si="111"/>
        <v>Error?</v>
      </c>
    </row>
    <row r="7175" spans="1:4" x14ac:dyDescent="0.2">
      <c r="A7175">
        <v>7114</v>
      </c>
      <c r="B7175" s="138">
        <f>'Expenditures 15-22'!F325</f>
        <v>12533</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1630433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33437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33437</v>
      </c>
      <c r="D7198" s="2" t="str">
        <f t="shared" si="111"/>
        <v>Error?</v>
      </c>
    </row>
    <row r="7199" spans="1:4" x14ac:dyDescent="0.2">
      <c r="A7199">
        <v>7138</v>
      </c>
      <c r="B7199" s="138">
        <f>'Expenditures 15-22'!C330</f>
        <v>1457999</v>
      </c>
      <c r="D7199" s="2" t="str">
        <f t="shared" si="111"/>
        <v>Error?</v>
      </c>
    </row>
    <row r="7200" spans="1:4" x14ac:dyDescent="0.2">
      <c r="A7200">
        <v>7139</v>
      </c>
      <c r="B7200" s="138">
        <f>'Expenditures 15-22'!D330</f>
        <v>82310</v>
      </c>
      <c r="D7200" s="2" t="str">
        <f t="shared" si="111"/>
        <v>Error?</v>
      </c>
    </row>
    <row r="7201" spans="1:4" x14ac:dyDescent="0.2">
      <c r="A7201">
        <v>7140</v>
      </c>
      <c r="B7201" s="138">
        <f>'Expenditures 15-22'!E330</f>
        <v>562518</v>
      </c>
      <c r="D7201" s="2" t="str">
        <f t="shared" si="111"/>
        <v>Error?</v>
      </c>
    </row>
    <row r="7202" spans="1:4" x14ac:dyDescent="0.2">
      <c r="A7202">
        <v>7141</v>
      </c>
      <c r="B7202" s="138">
        <f>'Expenditures 15-22'!F330</f>
        <v>12533</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2115360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1457999</v>
      </c>
      <c r="D7216" s="2" t="str">
        <f t="shared" si="111"/>
        <v>Error?</v>
      </c>
    </row>
    <row r="7217" spans="1:4" x14ac:dyDescent="0.2">
      <c r="A7217">
        <v>7156</v>
      </c>
      <c r="B7217" s="138">
        <f>'Expenditures 15-22'!D342</f>
        <v>82310</v>
      </c>
      <c r="D7217" s="2" t="str">
        <f t="shared" si="111"/>
        <v>Error?</v>
      </c>
    </row>
    <row r="7218" spans="1:4" x14ac:dyDescent="0.2">
      <c r="A7218">
        <v>7157</v>
      </c>
      <c r="B7218" s="138">
        <f>'Expenditures 15-22'!E342</f>
        <v>562518</v>
      </c>
      <c r="D7218" s="2" t="str">
        <f t="shared" si="111"/>
        <v>Error?</v>
      </c>
    </row>
    <row r="7219" spans="1:4" x14ac:dyDescent="0.2">
      <c r="A7219">
        <v>7158</v>
      </c>
      <c r="B7219" s="138">
        <f>'Expenditures 15-22'!F342</f>
        <v>12533</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25032</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2140392</v>
      </c>
      <c r="D7224" s="2" t="str">
        <f t="shared" si="111"/>
        <v>Error?</v>
      </c>
    </row>
    <row r="7225" spans="1:4" x14ac:dyDescent="0.2">
      <c r="A7225">
        <v>7164</v>
      </c>
      <c r="B7225" s="138">
        <f>'Expenditures 15-22'!K343</f>
        <v>444892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33083</v>
      </c>
      <c r="D7246" s="2" t="str">
        <f t="shared" si="112"/>
        <v>Error?</v>
      </c>
    </row>
    <row r="7247" spans="1:4" x14ac:dyDescent="0.2">
      <c r="A7247">
        <f t="shared" si="113"/>
        <v>7186</v>
      </c>
      <c r="B7247" s="138">
        <f>'Expenditures 15-22'!E7</f>
        <v>306</v>
      </c>
      <c r="D7247" s="2" t="str">
        <f t="shared" si="112"/>
        <v>Error?</v>
      </c>
    </row>
    <row r="7248" spans="1:4" x14ac:dyDescent="0.2">
      <c r="A7248">
        <f t="shared" si="113"/>
        <v>7187</v>
      </c>
      <c r="B7248" s="138">
        <f>'Expenditures 15-22'!F7</f>
        <v>6355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130337</v>
      </c>
      <c r="D7251" s="2" t="str">
        <f t="shared" si="112"/>
        <v>Error?</v>
      </c>
    </row>
    <row r="7252" spans="1:4" x14ac:dyDescent="0.2">
      <c r="A7252">
        <f t="shared" si="113"/>
        <v>7191</v>
      </c>
      <c r="B7252" s="138">
        <f>'Expenditures 15-22'!D9</f>
        <v>36462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603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2377431</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2377431</v>
      </c>
      <c r="D7600" s="2" t="str">
        <f t="shared" si="122"/>
        <v>Error?</v>
      </c>
      <c r="E7600" s="2" t="s">
        <v>19</v>
      </c>
    </row>
    <row r="7601" spans="1:5" x14ac:dyDescent="0.2">
      <c r="A7601">
        <f t="shared" si="123"/>
        <v>7540</v>
      </c>
      <c r="B7601" s="138">
        <f>'Cap Outlay Deprec 26'!H6</f>
        <v>1769452</v>
      </c>
      <c r="D7601" s="2" t="str">
        <f t="shared" si="122"/>
        <v>Error?</v>
      </c>
      <c r="E7601" s="2" t="s">
        <v>19</v>
      </c>
    </row>
    <row r="7602" spans="1:5" x14ac:dyDescent="0.2">
      <c r="A7602">
        <f t="shared" si="123"/>
        <v>7541</v>
      </c>
      <c r="B7602" s="138">
        <f>'Cap Outlay Deprec 26'!I6</f>
        <v>76423</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1845875</v>
      </c>
      <c r="D7604" s="2" t="str">
        <f t="shared" si="122"/>
        <v>Error?</v>
      </c>
      <c r="E7604" s="2" t="s">
        <v>19</v>
      </c>
    </row>
    <row r="7605" spans="1:5" x14ac:dyDescent="0.2">
      <c r="A7605">
        <f t="shared" si="123"/>
        <v>7544</v>
      </c>
      <c r="B7605" s="138">
        <f>'Cap Outlay Deprec 26'!L6</f>
        <v>531556</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12540</v>
      </c>
      <c r="D7624" s="2" t="str">
        <f t="shared" si="124"/>
        <v>Error?</v>
      </c>
      <c r="E7624" s="2" t="s">
        <v>19</v>
      </c>
    </row>
    <row r="7625" spans="1:5" x14ac:dyDescent="0.2">
      <c r="A7625">
        <f t="shared" si="123"/>
        <v>7564</v>
      </c>
      <c r="B7625" s="138">
        <f>'Cap Outlay Deprec 26'!I17</f>
        <v>1254</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2113262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202414</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202414</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82743</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82743</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144078</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115483</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371000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25032</v>
      </c>
      <c r="D7787" s="2" t="str">
        <f t="shared" si="127"/>
        <v>Error?</v>
      </c>
      <c r="E7787" s="4" t="s">
        <v>1963</v>
      </c>
    </row>
    <row r="7788" spans="1:5" x14ac:dyDescent="0.2">
      <c r="A7788">
        <v>7727</v>
      </c>
      <c r="B7788" s="138">
        <f>'Expenditures 15-22'!K333</f>
        <v>25032</v>
      </c>
      <c r="D7788" s="2" t="str">
        <f t="shared" si="127"/>
        <v>Error?</v>
      </c>
      <c r="E7788" s="4" t="s">
        <v>1963</v>
      </c>
    </row>
    <row r="7789" spans="1:5" x14ac:dyDescent="0.2">
      <c r="A7789">
        <v>7728</v>
      </c>
      <c r="B7789" s="138">
        <f>'Expenditures 15-22'!H334</f>
        <v>25032</v>
      </c>
      <c r="D7789" s="2" t="str">
        <f t="shared" si="127"/>
        <v>Error?</v>
      </c>
      <c r="E7789" s="4" t="s">
        <v>1963</v>
      </c>
    </row>
    <row r="7790" spans="1:5" x14ac:dyDescent="0.2">
      <c r="A7790">
        <v>7729</v>
      </c>
      <c r="B7790" s="138">
        <f>'Expenditures 15-22'!K334</f>
        <v>25032</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25032</v>
      </c>
      <c r="D7796" s="2" t="str">
        <f t="shared" si="127"/>
        <v>Error?</v>
      </c>
      <c r="E7796" s="4" t="s">
        <v>1963</v>
      </c>
    </row>
    <row r="7797" spans="1:5" x14ac:dyDescent="0.2">
      <c r="A7797">
        <v>7736</v>
      </c>
      <c r="B7797" s="138">
        <f>'Contracts Paid in CY 29'!D141</f>
        <v>3309324</v>
      </c>
      <c r="D7797" s="2" t="str">
        <f t="shared" si="127"/>
        <v>Error?</v>
      </c>
      <c r="E7797" s="4" t="s">
        <v>2016</v>
      </c>
    </row>
    <row r="7798" spans="1:5" x14ac:dyDescent="0.2">
      <c r="A7798">
        <v>7737</v>
      </c>
      <c r="B7798" s="138">
        <f>'Contracts Paid in CY 29'!F141</f>
        <v>125000</v>
      </c>
      <c r="D7798" s="2" t="str">
        <f t="shared" si="127"/>
        <v>Error?</v>
      </c>
      <c r="E7798" s="4" t="s">
        <v>2016</v>
      </c>
    </row>
    <row r="7799" spans="1:5" x14ac:dyDescent="0.2">
      <c r="A7799">
        <v>7738</v>
      </c>
      <c r="B7799" s="138">
        <f>'Contracts Paid in CY 29'!G141</f>
        <v>1992551</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3" zoomScale="110" zoomScaleNormal="110" workbookViewId="0">
      <selection activeCell="B42" sqref="B42"/>
    </sheetView>
  </sheetViews>
  <sheetFormatPr defaultColWidth="9.140625" defaultRowHeight="12.75" x14ac:dyDescent="0.2"/>
  <cols>
    <col min="1" max="1" width="7.85546875" style="1181" customWidth="1"/>
    <col min="2" max="2" width="3.710937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1252</v>
      </c>
      <c r="B2" s="2401"/>
      <c r="C2" s="2401"/>
      <c r="D2" s="2401"/>
      <c r="E2" s="2401"/>
      <c r="F2" s="2401"/>
      <c r="G2" s="2401"/>
      <c r="H2" s="2401"/>
      <c r="I2" s="2401"/>
      <c r="J2" s="2401"/>
      <c r="K2" s="2401"/>
      <c r="L2" s="2401"/>
    </row>
    <row r="3" spans="1:29" ht="13.5" customHeight="1" x14ac:dyDescent="0.2">
      <c r="A3" s="2432" t="s">
        <v>1251</v>
      </c>
      <c r="B3" s="2432"/>
      <c r="C3" s="2432"/>
      <c r="D3" s="2432"/>
      <c r="E3" s="2432"/>
      <c r="F3" s="2432"/>
      <c r="G3" s="2432"/>
      <c r="H3" s="2432"/>
      <c r="I3" s="2432"/>
      <c r="J3" s="2432"/>
      <c r="K3" s="2432"/>
      <c r="L3" s="2432"/>
    </row>
    <row r="4" spans="1:29" ht="13.5" customHeight="1" x14ac:dyDescent="0.2">
      <c r="A4" s="2401" t="s">
        <v>1798</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3" t="str">
        <f>COVER!A17</f>
        <v>O'Fallon CCSD 90</v>
      </c>
      <c r="B7" s="2424"/>
      <c r="C7" s="2424"/>
      <c r="D7" s="2425"/>
      <c r="E7" s="2426">
        <f>COVER!A13</f>
        <v>50082090004</v>
      </c>
      <c r="F7" s="2427"/>
      <c r="G7" s="2433" t="str">
        <f>COVER!T23</f>
        <v>066-003932</v>
      </c>
      <c r="H7" s="2434"/>
      <c r="I7" s="2434"/>
      <c r="J7" s="2434"/>
      <c r="K7" s="2434"/>
      <c r="L7" s="2435"/>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6"/>
      <c r="B9" s="2437"/>
      <c r="C9" s="2437"/>
      <c r="D9" s="2437"/>
      <c r="E9" s="2437"/>
      <c r="F9" s="2438"/>
      <c r="G9" s="2407" t="str">
        <f>COVER!T13</f>
        <v>Schorb &amp; Schmersahl, LLC</v>
      </c>
      <c r="H9" s="2439"/>
      <c r="I9" s="2439"/>
      <c r="J9" s="2439"/>
      <c r="K9" s="2439"/>
      <c r="L9" s="2440"/>
    </row>
    <row r="10" spans="1:29" ht="13.5" customHeight="1" x14ac:dyDescent="0.2">
      <c r="A10" s="2413" t="str">
        <f>COVER!A38</f>
        <v>Carrie Hruby</v>
      </c>
      <c r="B10" s="2414"/>
      <c r="C10" s="2414"/>
      <c r="D10" s="2414"/>
      <c r="E10" s="2414"/>
      <c r="F10" s="2415"/>
      <c r="G10" s="2407" t="str">
        <f>COVER!T17</f>
        <v>518 North Main Street</v>
      </c>
      <c r="H10" s="2408"/>
      <c r="I10" s="2408"/>
      <c r="J10" s="2408"/>
      <c r="K10" s="2408"/>
      <c r="L10" s="2409"/>
    </row>
    <row r="11" spans="1:29" ht="13.5" customHeight="1" x14ac:dyDescent="0.2">
      <c r="A11" s="1185" t="s">
        <v>1598</v>
      </c>
      <c r="B11" s="1186"/>
      <c r="C11" s="1187"/>
      <c r="D11" s="1192"/>
      <c r="E11" s="1187"/>
      <c r="F11" s="1191"/>
      <c r="G11" s="2407" t="str">
        <f>COVER!T19</f>
        <v>Columbia</v>
      </c>
      <c r="H11" s="2408"/>
      <c r="I11" s="2408"/>
      <c r="J11" s="2408"/>
      <c r="K11" s="2408"/>
      <c r="L11" s="2409"/>
    </row>
    <row r="12" spans="1:29" ht="13.5" customHeight="1" x14ac:dyDescent="0.2">
      <c r="A12" s="2416" t="s">
        <v>1597</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1599</v>
      </c>
      <c r="H13" s="2403"/>
      <c r="I13" s="2419" t="str">
        <f>COVER!T25</f>
        <v>jim@stcpa.com</v>
      </c>
      <c r="J13" s="2420"/>
      <c r="K13" s="2420"/>
      <c r="L13" s="2421"/>
    </row>
    <row r="14" spans="1:29" ht="13.5" customHeight="1" x14ac:dyDescent="0.2">
      <c r="A14" s="2407" t="str">
        <f>COVER!A19</f>
        <v>118 E. Washington Street</v>
      </c>
      <c r="B14" s="2408"/>
      <c r="C14" s="2408"/>
      <c r="D14" s="2408"/>
      <c r="E14" s="2408"/>
      <c r="F14" s="2409"/>
      <c r="G14" s="1196" t="s">
        <v>1246</v>
      </c>
      <c r="H14" s="1194"/>
      <c r="I14" s="1194"/>
      <c r="J14" s="1194"/>
      <c r="K14" s="1194"/>
      <c r="L14" s="1195"/>
    </row>
    <row r="15" spans="1:29" ht="13.5" customHeight="1" x14ac:dyDescent="0.2">
      <c r="A15" s="2407" t="str">
        <f>COVER!A21</f>
        <v>O'Fallon</v>
      </c>
      <c r="B15" s="2408"/>
      <c r="C15" s="2408"/>
      <c r="D15" s="2408"/>
      <c r="E15" s="2408"/>
      <c r="F15" s="2409"/>
      <c r="G15" s="2404" t="str">
        <f>COVER!T15</f>
        <v>James R. Schmersahl</v>
      </c>
      <c r="H15" s="2405"/>
      <c r="I15" s="2405"/>
      <c r="J15" s="2405"/>
      <c r="K15" s="2405"/>
      <c r="L15" s="2406"/>
    </row>
    <row r="16" spans="1:29" ht="12.2" customHeight="1" x14ac:dyDescent="0.2">
      <c r="A16" s="2429">
        <f>COVER!A25</f>
        <v>62269</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1245</v>
      </c>
      <c r="H17" s="1194"/>
      <c r="I17" s="1194"/>
      <c r="J17" s="1194"/>
      <c r="K17" s="1198" t="s">
        <v>1244</v>
      </c>
      <c r="L17" s="1191"/>
      <c r="M17" s="1184"/>
    </row>
    <row r="18" spans="1:13" ht="12.2" customHeight="1" x14ac:dyDescent="0.2">
      <c r="A18" s="2413"/>
      <c r="B18" s="2414"/>
      <c r="C18" s="2414"/>
      <c r="D18" s="2414"/>
      <c r="E18" s="2414"/>
      <c r="F18" s="2415"/>
      <c r="G18" s="2423" t="str">
        <f>COVER!T21</f>
        <v>618-281-5195</v>
      </c>
      <c r="H18" s="2424"/>
      <c r="I18" s="2424"/>
      <c r="J18" s="2424"/>
      <c r="K18" s="2423" t="str">
        <f>COVER!X21</f>
        <v>618-281-6101</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2073</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2073</v>
      </c>
      <c r="C26" s="1203" t="s">
        <v>1800</v>
      </c>
    </row>
    <row r="27" spans="1:13" s="1199" customFormat="1" ht="9" customHeight="1" x14ac:dyDescent="0.2">
      <c r="B27" s="1204"/>
      <c r="C27" s="1203"/>
    </row>
    <row r="28" spans="1:13" s="1199" customFormat="1" ht="12.2" customHeight="1" x14ac:dyDescent="0.2">
      <c r="A28" s="1206"/>
      <c r="B28" s="1202" t="s">
        <v>2073</v>
      </c>
      <c r="C28" s="1203" t="s">
        <v>1801</v>
      </c>
    </row>
    <row r="29" spans="1:13" s="1199" customFormat="1" ht="9" customHeight="1" x14ac:dyDescent="0.2">
      <c r="A29" s="1206"/>
      <c r="B29" s="1204"/>
      <c r="C29" s="1203"/>
    </row>
    <row r="30" spans="1:13" s="1199" customFormat="1" ht="12.2" customHeight="1" x14ac:dyDescent="0.2">
      <c r="B30" s="1202" t="s">
        <v>2073</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2073</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2073</v>
      </c>
      <c r="C38" s="1203" t="s">
        <v>1646</v>
      </c>
    </row>
    <row r="39" spans="1:8" ht="9" customHeight="1" x14ac:dyDescent="0.2">
      <c r="B39" s="1204"/>
      <c r="C39" s="1207"/>
    </row>
    <row r="40" spans="1:8" s="1199" customFormat="1" ht="13.5" customHeight="1" x14ac:dyDescent="0.2">
      <c r="B40" s="1202" t="s">
        <v>2073</v>
      </c>
      <c r="C40" s="1203" t="s">
        <v>1647</v>
      </c>
    </row>
    <row r="41" spans="1:8" ht="9" customHeight="1" x14ac:dyDescent="0.2">
      <c r="A41" s="1208"/>
      <c r="B41" s="1204"/>
      <c r="C41" s="1207"/>
    </row>
    <row r="42" spans="1:8" s="1199" customFormat="1" ht="13.5" customHeight="1" x14ac:dyDescent="0.2">
      <c r="B42" s="1202" t="s">
        <v>2127</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3" zoomScale="125" zoomScaleNormal="125" workbookViewId="0">
      <selection activeCell="D113" sqref="D113"/>
    </sheetView>
  </sheetViews>
  <sheetFormatPr defaultColWidth="10.7109375" defaultRowHeight="11.25" x14ac:dyDescent="0.2"/>
  <cols>
    <col min="1" max="1" width="1.7109375" style="1218" customWidth="1"/>
    <col min="2" max="2" width="3.4257812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O'Fallon CCSD 90</v>
      </c>
      <c r="B1" s="2422"/>
      <c r="C1" s="2422"/>
      <c r="D1" s="2422"/>
    </row>
    <row r="2" spans="1:11" s="1215" customFormat="1" ht="12.75" x14ac:dyDescent="0.2">
      <c r="A2" s="2446">
        <f>'Single Audit Cover'!E7</f>
        <v>50082090004</v>
      </c>
      <c r="B2" s="2447"/>
      <c r="C2" s="2447"/>
      <c r="D2" s="2447"/>
    </row>
    <row r="3" spans="1:11" s="1215" customFormat="1" ht="12.75" x14ac:dyDescent="0.2">
      <c r="A3" s="2445" t="s">
        <v>1592</v>
      </c>
      <c r="B3" s="2422"/>
      <c r="C3" s="2422"/>
      <c r="D3" s="2422"/>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t="s">
        <v>2073</v>
      </c>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2073</v>
      </c>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t="s">
        <v>2073</v>
      </c>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t="s">
        <v>2073</v>
      </c>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t="s">
        <v>2073</v>
      </c>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t="s">
        <v>2073</v>
      </c>
      <c r="C42" s="1232">
        <v>11</v>
      </c>
      <c r="D42" s="1243" t="s">
        <v>1654</v>
      </c>
      <c r="E42" s="312"/>
    </row>
    <row r="43" spans="1:5" ht="3" customHeight="1" x14ac:dyDescent="0.2">
      <c r="A43" s="1222"/>
      <c r="B43" s="1239"/>
      <c r="C43" s="1240"/>
      <c r="D43" s="1221"/>
    </row>
    <row r="44" spans="1:5" x14ac:dyDescent="0.2">
      <c r="A44" s="1222"/>
      <c r="B44" s="1225" t="s">
        <v>2073</v>
      </c>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t="s">
        <v>2073</v>
      </c>
      <c r="C48" s="1226">
        <f>C44+1</f>
        <v>13</v>
      </c>
      <c r="D48" s="1237" t="s">
        <v>1655</v>
      </c>
    </row>
    <row r="49" spans="1:4" ht="3" customHeight="1" x14ac:dyDescent="0.2">
      <c r="A49" s="1222"/>
      <c r="B49" s="1229"/>
      <c r="C49" s="1226"/>
      <c r="D49" s="1237"/>
    </row>
    <row r="50" spans="1:4" x14ac:dyDescent="0.2">
      <c r="A50" s="1222"/>
      <c r="B50" s="1225" t="s">
        <v>2073</v>
      </c>
      <c r="C50" s="1226">
        <f>C48+1</f>
        <v>14</v>
      </c>
      <c r="D50" s="1237" t="s">
        <v>1273</v>
      </c>
    </row>
    <row r="51" spans="1:4" ht="3" customHeight="1" x14ac:dyDescent="0.2">
      <c r="A51" s="1222"/>
      <c r="B51" s="1229"/>
      <c r="C51" s="1226"/>
      <c r="D51" s="1237"/>
    </row>
    <row r="52" spans="1:4" x14ac:dyDescent="0.2">
      <c r="A52" s="1222"/>
      <c r="B52" s="1225" t="s">
        <v>2073</v>
      </c>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t="s">
        <v>2073</v>
      </c>
      <c r="C56" s="1226">
        <f>C54+1</f>
        <v>17</v>
      </c>
      <c r="D56" s="1221" t="s">
        <v>1810</v>
      </c>
    </row>
    <row r="57" spans="1:4" ht="10.5" customHeight="1" x14ac:dyDescent="0.2">
      <c r="A57" s="1222"/>
      <c r="D57" s="1237" t="s">
        <v>1811</v>
      </c>
    </row>
    <row r="58" spans="1:4" x14ac:dyDescent="0.2">
      <c r="A58" s="1222"/>
      <c r="C58" s="1244" t="s">
        <v>2073</v>
      </c>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t="s">
        <v>2073</v>
      </c>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t="s">
        <v>2073</v>
      </c>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t="s">
        <v>2073</v>
      </c>
      <c r="D69" s="1237" t="s">
        <v>1815</v>
      </c>
    </row>
    <row r="70" spans="1:4" x14ac:dyDescent="0.2">
      <c r="A70" s="1222"/>
      <c r="D70" s="1246" t="s">
        <v>1267</v>
      </c>
    </row>
    <row r="71" spans="1:4" ht="3" customHeight="1" x14ac:dyDescent="0.2">
      <c r="A71" s="1222"/>
      <c r="D71" s="1221"/>
    </row>
    <row r="72" spans="1:4" x14ac:dyDescent="0.2">
      <c r="A72" s="1222"/>
      <c r="B72" s="1225" t="s">
        <v>2073</v>
      </c>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t="s">
        <v>2073</v>
      </c>
      <c r="C76" s="1226">
        <f>C74+1</f>
        <v>20</v>
      </c>
      <c r="D76" s="1248" t="s">
        <v>1817</v>
      </c>
    </row>
    <row r="77" spans="1:4" ht="3" customHeight="1" x14ac:dyDescent="0.2">
      <c r="A77" s="1222"/>
      <c r="B77" s="1229"/>
      <c r="C77" s="1226"/>
      <c r="D77" s="1248"/>
    </row>
    <row r="78" spans="1:4" x14ac:dyDescent="0.2">
      <c r="A78" s="1222"/>
      <c r="B78" s="1225" t="s">
        <v>2073</v>
      </c>
      <c r="C78" s="1226">
        <f>C76+1</f>
        <v>21</v>
      </c>
      <c r="D78" s="1221" t="s">
        <v>1818</v>
      </c>
    </row>
    <row r="79" spans="1:4" ht="3" customHeight="1" x14ac:dyDescent="0.2">
      <c r="A79" s="1222"/>
      <c r="B79" s="1229"/>
      <c r="C79" s="1226"/>
      <c r="D79" s="1221"/>
    </row>
    <row r="80" spans="1:4" x14ac:dyDescent="0.2">
      <c r="A80" s="1222"/>
      <c r="B80" s="1225" t="s">
        <v>2073</v>
      </c>
      <c r="C80" s="1226">
        <f>C78+1</f>
        <v>22</v>
      </c>
      <c r="D80" s="1249" t="s">
        <v>1819</v>
      </c>
    </row>
    <row r="81" spans="1:4" ht="3" customHeight="1" x14ac:dyDescent="0.2">
      <c r="A81" s="1222"/>
      <c r="B81" s="1229"/>
      <c r="C81" s="1226"/>
      <c r="D81" s="1249"/>
    </row>
    <row r="82" spans="1:4" x14ac:dyDescent="0.2">
      <c r="A82" s="1222"/>
      <c r="B82" s="1225" t="s">
        <v>2073</v>
      </c>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t="s">
        <v>2073</v>
      </c>
      <c r="C85" s="1226">
        <f>C82+1</f>
        <v>24</v>
      </c>
      <c r="D85" s="1237" t="s">
        <v>1264</v>
      </c>
    </row>
    <row r="86" spans="1:4" ht="3" customHeight="1" x14ac:dyDescent="0.2">
      <c r="A86" s="1222"/>
      <c r="B86" s="1229"/>
      <c r="C86" s="1226"/>
      <c r="D86" s="1237"/>
    </row>
    <row r="87" spans="1:4" x14ac:dyDescent="0.2">
      <c r="A87" s="1222"/>
      <c r="B87" s="1225" t="s">
        <v>2073</v>
      </c>
      <c r="C87" s="1226">
        <f>C85+1</f>
        <v>25</v>
      </c>
      <c r="D87" s="1237" t="s">
        <v>1263</v>
      </c>
    </row>
    <row r="88" spans="1:4" ht="3" customHeight="1" x14ac:dyDescent="0.2">
      <c r="A88" s="1222"/>
      <c r="B88" s="1229"/>
      <c r="C88" s="1226"/>
      <c r="D88" s="1237"/>
    </row>
    <row r="89" spans="1:4" x14ac:dyDescent="0.2">
      <c r="A89" s="1222"/>
      <c r="B89" s="1225" t="s">
        <v>2073</v>
      </c>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t="s">
        <v>2073</v>
      </c>
      <c r="C96" s="1226">
        <f>C91+1</f>
        <v>28</v>
      </c>
      <c r="D96" s="1237" t="s">
        <v>1822</v>
      </c>
    </row>
    <row r="97" spans="1:4" ht="3" customHeight="1" x14ac:dyDescent="0.2">
      <c r="A97" s="1222"/>
      <c r="B97" s="1229"/>
      <c r="C97" s="1226"/>
      <c r="D97" s="1237"/>
    </row>
    <row r="98" spans="1:4" x14ac:dyDescent="0.2">
      <c r="A98" s="1222"/>
      <c r="B98" s="1225" t="s">
        <v>2073</v>
      </c>
      <c r="C98" s="1226">
        <f>C96+1</f>
        <v>29</v>
      </c>
      <c r="D98" s="1251" t="s">
        <v>1823</v>
      </c>
    </row>
    <row r="99" spans="1:4" ht="3" customHeight="1" x14ac:dyDescent="0.2">
      <c r="A99" s="1222"/>
      <c r="B99" s="1229"/>
      <c r="C99" s="1226"/>
      <c r="D99" s="1251"/>
    </row>
    <row r="100" spans="1:4" x14ac:dyDescent="0.2">
      <c r="A100" s="1222"/>
      <c r="B100" s="1225" t="s">
        <v>2073</v>
      </c>
      <c r="C100" s="1226">
        <f>C98+1</f>
        <v>30</v>
      </c>
      <c r="D100" s="1237" t="s">
        <v>1824</v>
      </c>
    </row>
    <row r="101" spans="1:4" ht="3" customHeight="1" x14ac:dyDescent="0.2">
      <c r="A101" s="1222"/>
      <c r="B101" s="1229"/>
      <c r="C101" s="1226"/>
      <c r="D101" s="1252"/>
    </row>
    <row r="102" spans="1:4" x14ac:dyDescent="0.2">
      <c r="A102" s="1222"/>
      <c r="B102" s="1225" t="s">
        <v>2073</v>
      </c>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t="s">
        <v>2127</v>
      </c>
      <c r="C106" s="1226">
        <f>C102+1</f>
        <v>32</v>
      </c>
      <c r="D106" s="1221" t="s">
        <v>1660</v>
      </c>
    </row>
    <row r="107" spans="1:4" ht="3" customHeight="1" x14ac:dyDescent="0.2">
      <c r="A107" s="1222"/>
      <c r="B107" s="1229"/>
      <c r="C107" s="1226"/>
      <c r="D107" s="1221"/>
    </row>
    <row r="108" spans="1:4" x14ac:dyDescent="0.2">
      <c r="A108" s="1222"/>
      <c r="B108" s="1225" t="s">
        <v>2127</v>
      </c>
      <c r="C108" s="1226">
        <v>33</v>
      </c>
      <c r="D108" s="1221" t="s">
        <v>1825</v>
      </c>
    </row>
    <row r="109" spans="1:4" ht="3" customHeight="1" x14ac:dyDescent="0.2">
      <c r="A109" s="1222"/>
      <c r="B109" s="1229"/>
      <c r="C109" s="1226"/>
      <c r="D109" s="1221"/>
    </row>
    <row r="110" spans="1:4" x14ac:dyDescent="0.2">
      <c r="A110" s="1222"/>
      <c r="B110" s="1225" t="s">
        <v>2127</v>
      </c>
      <c r="C110" s="1226">
        <f>C108+1</f>
        <v>34</v>
      </c>
      <c r="D110" s="1221" t="s">
        <v>1259</v>
      </c>
    </row>
    <row r="111" spans="1:4" ht="3" customHeight="1" x14ac:dyDescent="0.2">
      <c r="A111" s="1222"/>
      <c r="B111" s="1229"/>
      <c r="C111" s="1226"/>
      <c r="D111" s="1221"/>
    </row>
    <row r="112" spans="1:4" x14ac:dyDescent="0.2">
      <c r="A112" s="1222"/>
      <c r="B112" s="1225" t="s">
        <v>2127</v>
      </c>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t="s">
        <v>2127</v>
      </c>
      <c r="C115" s="1226">
        <f>C112+1</f>
        <v>36</v>
      </c>
      <c r="D115" s="1237" t="s">
        <v>1256</v>
      </c>
    </row>
    <row r="116" spans="1:4" ht="3" customHeight="1" x14ac:dyDescent="0.2">
      <c r="A116" s="1222"/>
      <c r="B116" s="1229"/>
      <c r="C116" s="1226"/>
      <c r="D116" s="1237"/>
    </row>
    <row r="117" spans="1:4" x14ac:dyDescent="0.2">
      <c r="A117" s="1222"/>
      <c r="B117" s="1225" t="s">
        <v>2127</v>
      </c>
      <c r="C117" s="1226">
        <f>C115+1</f>
        <v>37</v>
      </c>
      <c r="D117" s="1237" t="s">
        <v>1826</v>
      </c>
    </row>
    <row r="118" spans="1:4" ht="3" customHeight="1" x14ac:dyDescent="0.2">
      <c r="A118" s="1222"/>
      <c r="B118" s="1229"/>
      <c r="C118" s="1226"/>
      <c r="D118" s="1237"/>
    </row>
    <row r="119" spans="1:4" x14ac:dyDescent="0.2">
      <c r="A119" s="1222"/>
      <c r="B119" s="1225" t="s">
        <v>2127</v>
      </c>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t="s">
        <v>2127</v>
      </c>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O'Fallon CCSD 90</v>
      </c>
      <c r="B1" s="2449"/>
      <c r="C1" s="2449"/>
      <c r="D1" s="2449"/>
      <c r="E1" s="2449"/>
    </row>
    <row r="2" spans="1:5" x14ac:dyDescent="0.2">
      <c r="A2" s="2450">
        <f>'Single Audit Cover'!E7</f>
        <v>50082090004</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60" t="s">
        <v>1304</v>
      </c>
    </row>
    <row r="10" spans="1:5" x14ac:dyDescent="0.2">
      <c r="A10" s="1261" t="s">
        <v>1303</v>
      </c>
      <c r="B10" s="1262" t="s">
        <v>1302</v>
      </c>
      <c r="C10" s="1262"/>
      <c r="D10" s="1263">
        <f>SUM('Acct Summary 7-8'!C7:K7)</f>
        <v>1985998</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88806</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-268286</v>
      </c>
    </row>
    <row r="19" spans="1:4" ht="13.5" thickBot="1" x14ac:dyDescent="0.25">
      <c r="A19" s="1265" t="s">
        <v>1296</v>
      </c>
      <c r="D19" s="1266">
        <f>SUM(D10:D17)</f>
        <v>1806518</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1294</v>
      </c>
      <c r="D32" s="1263">
        <f>SUM(D19:D30)</f>
        <v>1806518</v>
      </c>
    </row>
    <row r="33" spans="1:4" x14ac:dyDescent="0.2">
      <c r="D33" s="1269"/>
    </row>
    <row r="34" spans="1:4" x14ac:dyDescent="0.2">
      <c r="A34" s="317" t="s">
        <v>1293</v>
      </c>
    </row>
    <row r="35" spans="1:4" x14ac:dyDescent="0.2">
      <c r="A35" s="317" t="s">
        <v>1292</v>
      </c>
      <c r="B35" s="1258" t="s">
        <v>1291</v>
      </c>
      <c r="D35" s="1270">
        <f>' SEFA page 3 of 3'!F18</f>
        <v>2074804</v>
      </c>
    </row>
    <row r="37" spans="1:4" x14ac:dyDescent="0.2">
      <c r="A37" s="1260" t="s">
        <v>1290</v>
      </c>
    </row>
    <row r="39" spans="1:4" ht="13.35" customHeight="1" x14ac:dyDescent="0.2">
      <c r="A39" s="1267" t="s">
        <v>1289</v>
      </c>
    </row>
    <row r="40" spans="1:4" x14ac:dyDescent="0.2">
      <c r="A40" s="2448" t="s">
        <v>2177</v>
      </c>
      <c r="B40" s="2448"/>
      <c r="D40" s="1268">
        <v>-268286</v>
      </c>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1288</v>
      </c>
      <c r="C47" s="1272"/>
      <c r="D47" s="1273">
        <f>SUM(D35:D45)</f>
        <v>1806518</v>
      </c>
    </row>
    <row r="49" spans="2:4" x14ac:dyDescent="0.2">
      <c r="B49" s="1272" t="s">
        <v>1287</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H46" sqref="H46"/>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O'Fallon CCSD 90</v>
      </c>
      <c r="B1" s="2462"/>
      <c r="C1" s="2462"/>
      <c r="D1" s="2462"/>
      <c r="E1" s="2462"/>
      <c r="F1" s="2462"/>
    </row>
    <row r="2" spans="1:7" ht="13.5" customHeight="1" x14ac:dyDescent="0.2">
      <c r="A2" s="2463">
        <f>'Single Audit Cover'!E7</f>
        <v>50082090004</v>
      </c>
      <c r="B2" s="2463"/>
      <c r="C2" s="2463"/>
      <c r="D2" s="2463"/>
      <c r="E2" s="2463"/>
      <c r="F2" s="2463"/>
      <c r="G2" s="1275"/>
    </row>
    <row r="3" spans="1:7" ht="15.75" customHeight="1" x14ac:dyDescent="0.2">
      <c r="A3" s="2464" t="s">
        <v>1332</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1830</v>
      </c>
      <c r="C6" s="317"/>
      <c r="D6" s="317"/>
    </row>
    <row r="7" spans="1:7" ht="60.95" customHeight="1" x14ac:dyDescent="0.2">
      <c r="A7" s="2461" t="s">
        <v>2104</v>
      </c>
      <c r="B7" s="2461"/>
      <c r="C7" s="2461"/>
      <c r="D7" s="2461"/>
      <c r="E7" s="2461"/>
      <c r="F7" s="2461"/>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2073</v>
      </c>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25.5" customHeight="1" x14ac:dyDescent="0.2">
      <c r="A13" s="2461" t="s">
        <v>2105</v>
      </c>
      <c r="B13" s="2461"/>
      <c r="C13" s="2461"/>
      <c r="D13" s="2461"/>
      <c r="E13" s="2461"/>
      <c r="F13" s="2461"/>
    </row>
    <row r="14" spans="1:7" ht="9.75" customHeight="1" x14ac:dyDescent="0.2">
      <c r="C14" s="1260"/>
      <c r="D14" s="1260"/>
    </row>
    <row r="15" spans="1:7" ht="13.5" customHeight="1" x14ac:dyDescent="0.2">
      <c r="C15" s="1870" t="s">
        <v>1331</v>
      </c>
      <c r="D15" s="2459" t="s">
        <v>1330</v>
      </c>
      <c r="E15" s="2459"/>
      <c r="F15" s="2459"/>
    </row>
    <row r="16" spans="1:7" ht="13.5" customHeight="1" x14ac:dyDescent="0.2">
      <c r="A16" s="1282"/>
      <c r="B16" s="1276" t="s">
        <v>1329</v>
      </c>
      <c r="C16" s="1870" t="s">
        <v>1328</v>
      </c>
      <c r="D16" s="2460" t="s">
        <v>1669</v>
      </c>
      <c r="E16" s="2460"/>
      <c r="F16" s="2460"/>
    </row>
    <row r="17" spans="1:6" ht="20.45" customHeight="1" x14ac:dyDescent="0.2">
      <c r="A17" s="1283"/>
      <c r="B17" s="1284" t="s">
        <v>2127</v>
      </c>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55" t="s">
        <v>2106</v>
      </c>
      <c r="B32" s="2455"/>
      <c r="C32" s="2455"/>
      <c r="D32" s="2455"/>
      <c r="E32" s="2455"/>
      <c r="F32" s="2455"/>
    </row>
    <row r="33" spans="1:6" ht="13.5" customHeight="1" x14ac:dyDescent="0.2">
      <c r="A33" s="328" t="s">
        <v>1508</v>
      </c>
      <c r="B33" s="328"/>
      <c r="C33" s="1288">
        <f>' SEFA page 1 of 3'!F19</f>
        <v>88806</v>
      </c>
      <c r="D33" s="1927"/>
      <c r="E33" s="1286"/>
    </row>
    <row r="34" spans="1:6" ht="13.5" customHeight="1" x14ac:dyDescent="0.2">
      <c r="A34" s="328" t="s">
        <v>1945</v>
      </c>
      <c r="B34" s="328"/>
      <c r="C34" s="1289">
        <v>0</v>
      </c>
      <c r="D34" s="1927" t="s">
        <v>1670</v>
      </c>
      <c r="E34" s="2456">
        <f>+C33+C34</f>
        <v>88806</v>
      </c>
      <c r="F34" s="2457"/>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t="s">
        <v>400</v>
      </c>
      <c r="D38" s="1927"/>
      <c r="E38" s="1286"/>
    </row>
    <row r="39" spans="1:6" ht="14.25" customHeight="1" x14ac:dyDescent="0.2">
      <c r="A39" s="328"/>
      <c r="B39" s="328" t="s">
        <v>1510</v>
      </c>
      <c r="C39" s="1292" t="s">
        <v>400</v>
      </c>
      <c r="D39" s="1927"/>
      <c r="E39" s="1286"/>
    </row>
    <row r="40" spans="1:6" ht="14.25" customHeight="1" x14ac:dyDescent="0.2">
      <c r="A40" s="328"/>
      <c r="B40" s="328" t="s">
        <v>1511</v>
      </c>
      <c r="C40" s="1292" t="s">
        <v>400</v>
      </c>
      <c r="D40" s="1927"/>
      <c r="E40" s="1286"/>
    </row>
    <row r="41" spans="1:6" ht="14.25" customHeight="1" x14ac:dyDescent="0.2">
      <c r="A41" s="328"/>
      <c r="B41" s="328" t="s">
        <v>1512</v>
      </c>
      <c r="C41" s="1292" t="s">
        <v>400</v>
      </c>
      <c r="D41" s="1927"/>
      <c r="E41" s="1286"/>
    </row>
    <row r="42" spans="1:6" ht="14.25" customHeight="1" x14ac:dyDescent="0.2">
      <c r="A42" s="328" t="s">
        <v>1513</v>
      </c>
      <c r="B42" s="328"/>
      <c r="C42" s="1925" t="s">
        <v>400</v>
      </c>
      <c r="D42" s="1927"/>
      <c r="E42" s="1286"/>
    </row>
    <row r="43" spans="1:6" ht="14.25" customHeight="1" x14ac:dyDescent="0.2">
      <c r="A43" s="328" t="s">
        <v>1514</v>
      </c>
      <c r="B43" s="328"/>
      <c r="C43" s="1293" t="s">
        <v>400</v>
      </c>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1671</v>
      </c>
      <c r="C49" s="2458"/>
      <c r="D49" s="2458"/>
      <c r="E49" s="1399"/>
    </row>
    <row r="50" spans="1:5" s="1300" customFormat="1" ht="3.75" customHeight="1" x14ac:dyDescent="0.2">
      <c r="A50" s="1299"/>
      <c r="B50" s="1869"/>
      <c r="C50" s="1869"/>
      <c r="D50" s="1869"/>
      <c r="E50" s="1399"/>
    </row>
    <row r="51" spans="1:5" s="1300" customFormat="1" ht="20.25" customHeight="1" x14ac:dyDescent="0.2">
      <c r="A51" s="1301">
        <v>6</v>
      </c>
      <c r="B51" s="2453" t="s">
        <v>1631</v>
      </c>
      <c r="C51" s="2453"/>
      <c r="D51" s="2453"/>
    </row>
    <row r="52" spans="1:5" ht="14.25" customHeight="1" x14ac:dyDescent="0.2">
      <c r="A52" s="1301"/>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M22" sqref="M2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O'Fallon CCSD 90</v>
      </c>
      <c r="C1" s="2466"/>
      <c r="D1" s="2466"/>
      <c r="E1" s="2466"/>
      <c r="F1" s="2466"/>
      <c r="G1" s="2466"/>
      <c r="H1" s="2466"/>
      <c r="I1" s="2466"/>
      <c r="J1" s="2466"/>
      <c r="K1" s="2466"/>
      <c r="L1" s="2466"/>
      <c r="M1" s="2466"/>
    </row>
    <row r="2" spans="2:14" ht="15" x14ac:dyDescent="0.2">
      <c r="B2" s="2463">
        <f>'Single Audit Cover'!E7</f>
        <v>50082090004</v>
      </c>
      <c r="C2" s="2463"/>
      <c r="D2" s="2463"/>
      <c r="E2" s="2463"/>
      <c r="F2" s="2463"/>
      <c r="G2" s="2463"/>
      <c r="H2" s="2463"/>
      <c r="I2" s="2463"/>
      <c r="J2" s="2463"/>
      <c r="K2" s="2463"/>
      <c r="L2" s="2463"/>
      <c r="M2" s="2463"/>
      <c r="N2" s="1302"/>
    </row>
    <row r="3" spans="2:14" ht="15" x14ac:dyDescent="0.2">
      <c r="B3" s="2467" t="s">
        <v>1280</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2114</v>
      </c>
      <c r="C11" s="1338"/>
      <c r="D11" s="1339"/>
      <c r="E11" s="1340"/>
      <c r="F11" s="1340"/>
      <c r="G11" s="1340"/>
      <c r="H11" s="1340"/>
      <c r="I11" s="1340"/>
      <c r="J11" s="1340"/>
      <c r="K11" s="1340"/>
      <c r="L11" s="1340">
        <f>+G11+I11+K11</f>
        <v>0</v>
      </c>
      <c r="M11" s="1340"/>
    </row>
    <row r="12" spans="2:14" ht="20.100000000000001" customHeight="1" x14ac:dyDescent="0.2">
      <c r="B12" s="1337" t="s">
        <v>2115</v>
      </c>
      <c r="C12" s="1341"/>
      <c r="D12" s="1342"/>
      <c r="E12" s="1343"/>
      <c r="F12" s="1343"/>
      <c r="G12" s="1343"/>
      <c r="H12" s="1343"/>
      <c r="I12" s="1343"/>
      <c r="J12" s="1343"/>
      <c r="K12" s="1343"/>
      <c r="L12" s="1340">
        <f t="shared" ref="L12:L27" si="0">+G12+I12+K12</f>
        <v>0</v>
      </c>
      <c r="M12" s="1343"/>
    </row>
    <row r="13" spans="2:14" ht="20.100000000000001" customHeight="1" x14ac:dyDescent="0.2">
      <c r="B13" s="1337" t="s">
        <v>2116</v>
      </c>
      <c r="C13" s="1341"/>
      <c r="D13" s="1342"/>
      <c r="E13" s="1343"/>
      <c r="F13" s="1343"/>
      <c r="G13" s="1343"/>
      <c r="H13" s="1343"/>
      <c r="I13" s="1343"/>
      <c r="J13" s="1343"/>
      <c r="K13" s="1343"/>
      <c r="L13" s="1340">
        <f t="shared" si="0"/>
        <v>0</v>
      </c>
      <c r="M13" s="1343"/>
    </row>
    <row r="14" spans="2:14" ht="20.100000000000001" customHeight="1" x14ac:dyDescent="0.2">
      <c r="B14" s="1337" t="s">
        <v>2117</v>
      </c>
      <c r="C14" s="1341">
        <v>10.553000000000001</v>
      </c>
      <c r="D14" s="1342" t="s">
        <v>2122</v>
      </c>
      <c r="E14" s="1343">
        <v>68951</v>
      </c>
      <c r="F14" s="1343">
        <v>14127</v>
      </c>
      <c r="G14" s="1343">
        <v>68951</v>
      </c>
      <c r="H14" s="1343"/>
      <c r="I14" s="1343">
        <v>14127</v>
      </c>
      <c r="J14" s="1343"/>
      <c r="K14" s="1343"/>
      <c r="L14" s="1340">
        <f t="shared" si="0"/>
        <v>83078</v>
      </c>
      <c r="M14" s="1343" t="s">
        <v>2127</v>
      </c>
    </row>
    <row r="15" spans="2:14" ht="20.100000000000001" customHeight="1" x14ac:dyDescent="0.2">
      <c r="B15" s="1337" t="s">
        <v>2117</v>
      </c>
      <c r="C15" s="1341">
        <v>10.553000000000001</v>
      </c>
      <c r="D15" s="1342" t="s">
        <v>2123</v>
      </c>
      <c r="E15" s="1343"/>
      <c r="F15" s="1343">
        <v>72511</v>
      </c>
      <c r="G15" s="1343"/>
      <c r="H15" s="1343"/>
      <c r="I15" s="1343">
        <v>72511</v>
      </c>
      <c r="J15" s="1343"/>
      <c r="K15" s="1343"/>
      <c r="L15" s="1340">
        <f t="shared" si="0"/>
        <v>72511</v>
      </c>
      <c r="M15" s="1343">
        <v>80000</v>
      </c>
    </row>
    <row r="16" spans="2:14" ht="20.100000000000001" customHeight="1" x14ac:dyDescent="0.2">
      <c r="B16" s="1337" t="s">
        <v>2118</v>
      </c>
      <c r="C16" s="1341">
        <v>10.555</v>
      </c>
      <c r="D16" s="1342" t="s">
        <v>2124</v>
      </c>
      <c r="E16" s="1343">
        <v>322332</v>
      </c>
      <c r="F16" s="1343">
        <v>71711</v>
      </c>
      <c r="G16" s="1343">
        <v>322332</v>
      </c>
      <c r="H16" s="1343"/>
      <c r="I16" s="1343">
        <v>71711</v>
      </c>
      <c r="J16" s="1343"/>
      <c r="K16" s="1343"/>
      <c r="L16" s="1340">
        <f t="shared" si="0"/>
        <v>394043</v>
      </c>
      <c r="M16" s="1343" t="s">
        <v>2127</v>
      </c>
    </row>
    <row r="17" spans="2:14" ht="20.100000000000001" customHeight="1" x14ac:dyDescent="0.2">
      <c r="B17" s="1337" t="s">
        <v>2118</v>
      </c>
      <c r="C17" s="1341">
        <v>10.555</v>
      </c>
      <c r="D17" s="1342" t="s">
        <v>2125</v>
      </c>
      <c r="E17" s="1343"/>
      <c r="F17" s="1343">
        <v>356810</v>
      </c>
      <c r="G17" s="1343"/>
      <c r="H17" s="1343"/>
      <c r="I17" s="1343">
        <v>356810</v>
      </c>
      <c r="J17" s="1343"/>
      <c r="K17" s="1343"/>
      <c r="L17" s="1340">
        <f t="shared" si="0"/>
        <v>356810</v>
      </c>
      <c r="M17" s="1343">
        <v>380000</v>
      </c>
    </row>
    <row r="18" spans="2:14" ht="20.100000000000001" customHeight="1" x14ac:dyDescent="0.2">
      <c r="B18" s="1337" t="s">
        <v>2119</v>
      </c>
      <c r="C18" s="1341"/>
      <c r="D18" s="1342"/>
      <c r="E18" s="1343">
        <v>391283</v>
      </c>
      <c r="F18" s="1343">
        <v>515159</v>
      </c>
      <c r="G18" s="1343">
        <v>391283</v>
      </c>
      <c r="H18" s="1343"/>
      <c r="I18" s="1343">
        <v>515159</v>
      </c>
      <c r="J18" s="1343"/>
      <c r="K18" s="1343"/>
      <c r="L18" s="1340">
        <f t="shared" si="0"/>
        <v>906442</v>
      </c>
      <c r="M18" s="1343"/>
    </row>
    <row r="19" spans="2:14" ht="20.100000000000001" customHeight="1" x14ac:dyDescent="0.2">
      <c r="B19" s="1337" t="s">
        <v>2120</v>
      </c>
      <c r="C19" s="1341">
        <v>10.55</v>
      </c>
      <c r="D19" s="1342" t="s">
        <v>2126</v>
      </c>
      <c r="E19" s="1343">
        <v>94077</v>
      </c>
      <c r="F19" s="1343">
        <v>88806</v>
      </c>
      <c r="G19" s="1343">
        <v>94077</v>
      </c>
      <c r="H19" s="1343"/>
      <c r="I19" s="1343">
        <v>88806</v>
      </c>
      <c r="J19" s="1343"/>
      <c r="K19" s="1343"/>
      <c r="L19" s="1340">
        <f t="shared" si="0"/>
        <v>182883</v>
      </c>
      <c r="M19" s="1343" t="s">
        <v>2127</v>
      </c>
    </row>
    <row r="20" spans="2:14" ht="20.100000000000001" customHeight="1" x14ac:dyDescent="0.2">
      <c r="B20" s="1337" t="s">
        <v>2121</v>
      </c>
      <c r="C20" s="1341"/>
      <c r="D20" s="1342"/>
      <c r="E20" s="1343">
        <v>485360</v>
      </c>
      <c r="F20" s="1343">
        <v>603965</v>
      </c>
      <c r="G20" s="1343">
        <v>485360</v>
      </c>
      <c r="H20" s="1343"/>
      <c r="I20" s="1343">
        <v>603965</v>
      </c>
      <c r="J20" s="1343"/>
      <c r="K20" s="1343"/>
      <c r="L20" s="1340">
        <f t="shared" si="0"/>
        <v>1089325</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40 - Page 1 of 3&amp;R&amp;8Page 40 - Page 1 of 3</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M25" sqref="M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O'Fallon CCSD 90</v>
      </c>
      <c r="C1" s="2466"/>
      <c r="D1" s="2466"/>
      <c r="E1" s="2466"/>
      <c r="F1" s="2466"/>
      <c r="G1" s="2466"/>
      <c r="H1" s="2466"/>
      <c r="I1" s="2466"/>
      <c r="J1" s="2466"/>
      <c r="K1" s="2466"/>
      <c r="L1" s="2466"/>
      <c r="M1" s="2466"/>
    </row>
    <row r="2" spans="2:14" ht="15" x14ac:dyDescent="0.2">
      <c r="B2" s="2463">
        <f>'Single Audit Cover'!E7</f>
        <v>50082090004</v>
      </c>
      <c r="C2" s="2463"/>
      <c r="D2" s="2463"/>
      <c r="E2" s="2463"/>
      <c r="F2" s="2463"/>
      <c r="G2" s="2463"/>
      <c r="H2" s="2463"/>
      <c r="I2" s="2463"/>
      <c r="J2" s="2463"/>
      <c r="K2" s="2463"/>
      <c r="L2" s="2463"/>
      <c r="M2" s="2463"/>
      <c r="N2" s="1302"/>
    </row>
    <row r="3" spans="2:14" ht="15" x14ac:dyDescent="0.2">
      <c r="B3" s="2467" t="s">
        <v>1280</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2128</v>
      </c>
      <c r="C11" s="1338"/>
      <c r="D11" s="1339"/>
      <c r="E11" s="1340"/>
      <c r="F11" s="1340"/>
      <c r="G11" s="1340"/>
      <c r="H11" s="1340"/>
      <c r="I11" s="1340"/>
      <c r="J11" s="1340"/>
      <c r="K11" s="1340"/>
      <c r="L11" s="1340">
        <f>+G11+I11+K11</f>
        <v>0</v>
      </c>
      <c r="M11" s="1340"/>
    </row>
    <row r="12" spans="2:14" ht="20.100000000000001" customHeight="1" x14ac:dyDescent="0.2">
      <c r="B12" s="1337" t="s">
        <v>2129</v>
      </c>
      <c r="C12" s="1341">
        <v>84.040999999999997</v>
      </c>
      <c r="D12" s="1342" t="s">
        <v>2141</v>
      </c>
      <c r="E12" s="1343">
        <v>284277</v>
      </c>
      <c r="F12" s="1343">
        <v>0</v>
      </c>
      <c r="G12" s="1343">
        <v>284277</v>
      </c>
      <c r="H12" s="1343"/>
      <c r="I12" s="1343">
        <v>0</v>
      </c>
      <c r="J12" s="1343">
        <v>0</v>
      </c>
      <c r="K12" s="1343"/>
      <c r="L12" s="1340">
        <f t="shared" ref="L12:L27" si="0">+G12+I12+K12</f>
        <v>284277</v>
      </c>
      <c r="M12" s="1343" t="s">
        <v>2127</v>
      </c>
    </row>
    <row r="13" spans="2:14" ht="20.100000000000001" customHeight="1" x14ac:dyDescent="0.2">
      <c r="B13" s="1337" t="s">
        <v>2129</v>
      </c>
      <c r="C13" s="1341">
        <v>84.040999999999997</v>
      </c>
      <c r="D13" s="1342" t="s">
        <v>2142</v>
      </c>
      <c r="E13" s="1343">
        <v>0</v>
      </c>
      <c r="F13" s="1343">
        <v>245614</v>
      </c>
      <c r="G13" s="1343">
        <v>0</v>
      </c>
      <c r="H13" s="1343"/>
      <c r="I13" s="1343">
        <v>245614</v>
      </c>
      <c r="J13" s="1343">
        <v>0</v>
      </c>
      <c r="K13" s="1343"/>
      <c r="L13" s="1340">
        <f t="shared" si="0"/>
        <v>245614</v>
      </c>
      <c r="M13" s="1343">
        <v>280000</v>
      </c>
    </row>
    <row r="14" spans="2:14" ht="20.100000000000001" customHeight="1" x14ac:dyDescent="0.2">
      <c r="B14" s="1337" t="s">
        <v>2130</v>
      </c>
      <c r="C14" s="1341"/>
      <c r="D14" s="1342"/>
      <c r="E14" s="1343"/>
      <c r="F14" s="1343"/>
      <c r="G14" s="1343"/>
      <c r="H14" s="1343"/>
      <c r="I14" s="1343"/>
      <c r="J14" s="1343"/>
      <c r="K14" s="1343"/>
      <c r="L14" s="1340">
        <f t="shared" si="0"/>
        <v>0</v>
      </c>
      <c r="M14" s="1343"/>
    </row>
    <row r="15" spans="2:14" ht="20.100000000000001" customHeight="1" x14ac:dyDescent="0.2">
      <c r="B15" s="1337" t="s">
        <v>2131</v>
      </c>
      <c r="C15" s="1341" t="s">
        <v>2139</v>
      </c>
      <c r="D15" s="1342" t="s">
        <v>2122</v>
      </c>
      <c r="E15" s="1343">
        <v>303652</v>
      </c>
      <c r="F15" s="1343">
        <v>71516</v>
      </c>
      <c r="G15" s="1343">
        <v>375418</v>
      </c>
      <c r="H15" s="1343"/>
      <c r="I15" s="1343">
        <v>0</v>
      </c>
      <c r="J15" s="1343">
        <v>0</v>
      </c>
      <c r="K15" s="1343"/>
      <c r="L15" s="1340">
        <f t="shared" si="0"/>
        <v>375418</v>
      </c>
      <c r="M15" s="1343" t="s">
        <v>2127</v>
      </c>
    </row>
    <row r="16" spans="2:14" ht="20.100000000000001" customHeight="1" x14ac:dyDescent="0.2">
      <c r="B16" s="1337" t="s">
        <v>2132</v>
      </c>
      <c r="C16" s="1341" t="s">
        <v>2139</v>
      </c>
      <c r="D16" s="1342" t="s">
        <v>2143</v>
      </c>
      <c r="E16" s="1343">
        <v>0</v>
      </c>
      <c r="F16" s="1343">
        <v>218789</v>
      </c>
      <c r="G16" s="1343">
        <v>0</v>
      </c>
      <c r="H16" s="1343"/>
      <c r="I16" s="1343">
        <v>278078</v>
      </c>
      <c r="J16" s="1343">
        <v>26336</v>
      </c>
      <c r="K16" s="1343"/>
      <c r="L16" s="1340">
        <f t="shared" si="0"/>
        <v>278078</v>
      </c>
      <c r="M16" s="1343">
        <v>285176</v>
      </c>
    </row>
    <row r="17" spans="2:14" ht="20.100000000000001" customHeight="1" x14ac:dyDescent="0.2">
      <c r="B17" s="1337" t="s">
        <v>2133</v>
      </c>
      <c r="C17" s="1341" t="s">
        <v>2140</v>
      </c>
      <c r="D17" s="1342" t="s">
        <v>2144</v>
      </c>
      <c r="E17" s="1343">
        <v>55850</v>
      </c>
      <c r="F17" s="1343">
        <v>21395</v>
      </c>
      <c r="G17" s="1343">
        <v>78826</v>
      </c>
      <c r="H17" s="1343"/>
      <c r="I17" s="1343">
        <v>0</v>
      </c>
      <c r="J17" s="1343">
        <v>0</v>
      </c>
      <c r="K17" s="1343"/>
      <c r="L17" s="1340">
        <f t="shared" si="0"/>
        <v>78826</v>
      </c>
      <c r="M17" s="1343" t="s">
        <v>2127</v>
      </c>
    </row>
    <row r="18" spans="2:14" ht="20.100000000000001" customHeight="1" x14ac:dyDescent="0.2">
      <c r="B18" s="1337" t="s">
        <v>2133</v>
      </c>
      <c r="C18" s="1341" t="s">
        <v>2140</v>
      </c>
      <c r="D18" s="1342" t="s">
        <v>2145</v>
      </c>
      <c r="E18" s="1343">
        <v>0</v>
      </c>
      <c r="F18" s="1343">
        <v>44700</v>
      </c>
      <c r="G18" s="1343">
        <v>0</v>
      </c>
      <c r="H18" s="1343"/>
      <c r="I18" s="1343">
        <v>59080</v>
      </c>
      <c r="J18" s="1343">
        <v>3980</v>
      </c>
      <c r="K18" s="1343"/>
      <c r="L18" s="1340">
        <f t="shared" si="0"/>
        <v>59080</v>
      </c>
      <c r="M18" s="1343">
        <v>73759</v>
      </c>
    </row>
    <row r="19" spans="2:14" ht="20.100000000000001" customHeight="1" x14ac:dyDescent="0.2">
      <c r="B19" s="1337" t="s">
        <v>2134</v>
      </c>
      <c r="C19" s="1341">
        <v>84.042000000000002</v>
      </c>
      <c r="D19" s="1342" t="s">
        <v>2146</v>
      </c>
      <c r="E19" s="1343">
        <v>0</v>
      </c>
      <c r="F19" s="1343">
        <v>1812</v>
      </c>
      <c r="G19" s="1343">
        <v>0</v>
      </c>
      <c r="H19" s="1343"/>
      <c r="I19" s="1343">
        <v>4895</v>
      </c>
      <c r="J19" s="1343">
        <v>0</v>
      </c>
      <c r="K19" s="1343"/>
      <c r="L19" s="1340">
        <f t="shared" si="0"/>
        <v>4895</v>
      </c>
      <c r="M19" s="1343">
        <v>10000</v>
      </c>
    </row>
    <row r="20" spans="2:14" ht="20.100000000000001" customHeight="1" x14ac:dyDescent="0.2">
      <c r="B20" s="1337" t="s">
        <v>2135</v>
      </c>
      <c r="C20" s="1341">
        <v>84.027000000000001</v>
      </c>
      <c r="D20" s="1342" t="s">
        <v>2147</v>
      </c>
      <c r="E20" s="1343">
        <v>0</v>
      </c>
      <c r="F20" s="1343">
        <v>19560</v>
      </c>
      <c r="G20" s="1343">
        <v>0</v>
      </c>
      <c r="H20" s="1343"/>
      <c r="I20" s="1343">
        <v>19560</v>
      </c>
      <c r="J20" s="1343">
        <v>0</v>
      </c>
      <c r="K20" s="1343"/>
      <c r="L20" s="1340">
        <f t="shared" si="0"/>
        <v>19560</v>
      </c>
      <c r="M20" s="1343" t="s">
        <v>2127</v>
      </c>
    </row>
    <row r="21" spans="2:14" ht="20.100000000000001" customHeight="1" x14ac:dyDescent="0.2">
      <c r="B21" s="1337" t="s">
        <v>2136</v>
      </c>
      <c r="C21" s="1341"/>
      <c r="D21" s="1342"/>
      <c r="E21" s="1343"/>
      <c r="F21" s="1343"/>
      <c r="G21" s="1343"/>
      <c r="H21" s="1343"/>
      <c r="I21" s="1343"/>
      <c r="J21" s="1343"/>
      <c r="K21" s="1343"/>
      <c r="L21" s="1340">
        <f t="shared" si="0"/>
        <v>0</v>
      </c>
      <c r="M21" s="1343"/>
    </row>
    <row r="22" spans="2:14" ht="20.100000000000001" customHeight="1" x14ac:dyDescent="0.2">
      <c r="B22" s="1337" t="s">
        <v>2137</v>
      </c>
      <c r="C22" s="1341">
        <v>84.027000000000001</v>
      </c>
      <c r="D22" s="1342" t="s">
        <v>2148</v>
      </c>
      <c r="E22" s="1343">
        <v>496920</v>
      </c>
      <c r="F22" s="1343">
        <v>0</v>
      </c>
      <c r="G22" s="1343">
        <v>579969</v>
      </c>
      <c r="H22" s="1343"/>
      <c r="I22" s="1343">
        <v>0</v>
      </c>
      <c r="J22" s="1343">
        <v>0</v>
      </c>
      <c r="K22" s="1343"/>
      <c r="L22" s="1340">
        <f t="shared" si="0"/>
        <v>579969</v>
      </c>
      <c r="M22" s="1343" t="s">
        <v>2127</v>
      </c>
    </row>
    <row r="23" spans="2:14" ht="20.100000000000001" customHeight="1" x14ac:dyDescent="0.2">
      <c r="B23" s="1337" t="s">
        <v>2137</v>
      </c>
      <c r="C23" s="1341">
        <v>84.027000000000001</v>
      </c>
      <c r="D23" s="1342" t="s">
        <v>2147</v>
      </c>
      <c r="E23" s="1343">
        <v>0</v>
      </c>
      <c r="F23" s="1343">
        <v>579167</v>
      </c>
      <c r="G23" s="1343">
        <v>0</v>
      </c>
      <c r="H23" s="1343"/>
      <c r="I23" s="1343">
        <v>579167</v>
      </c>
      <c r="J23" s="1343">
        <v>0</v>
      </c>
      <c r="K23" s="1343"/>
      <c r="L23" s="1340">
        <f t="shared" si="0"/>
        <v>579167</v>
      </c>
      <c r="M23" s="1343">
        <v>620647</v>
      </c>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t="s">
        <v>2138</v>
      </c>
      <c r="C25" s="1341"/>
      <c r="D25" s="1342"/>
      <c r="E25" s="1343">
        <v>1140699</v>
      </c>
      <c r="F25" s="1343">
        <v>1202553</v>
      </c>
      <c r="G25" s="1343">
        <v>1318490</v>
      </c>
      <c r="H25" s="1343"/>
      <c r="I25" s="1343">
        <v>1186394</v>
      </c>
      <c r="J25" s="1343">
        <v>30316</v>
      </c>
      <c r="K25" s="1343"/>
      <c r="L25" s="1340">
        <f t="shared" si="0"/>
        <v>2504884</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40 - Page 2 of 3&amp;R&amp;8Page 40 - Page 2 of 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topLeftCell="A7" zoomScaleNormal="100" workbookViewId="0">
      <selection activeCell="L18" sqref="L1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O'Fallon CCSD 90</v>
      </c>
      <c r="C1" s="2466"/>
      <c r="D1" s="2466"/>
      <c r="E1" s="2466"/>
      <c r="F1" s="2466"/>
      <c r="G1" s="2466"/>
      <c r="H1" s="2466"/>
      <c r="I1" s="2466"/>
      <c r="J1" s="2466"/>
      <c r="K1" s="2466"/>
      <c r="L1" s="2466"/>
      <c r="M1" s="2466"/>
    </row>
    <row r="2" spans="2:14" ht="15" x14ac:dyDescent="0.2">
      <c r="B2" s="2463">
        <f>'Single Audit Cover'!E7</f>
        <v>50082090004</v>
      </c>
      <c r="C2" s="2463"/>
      <c r="D2" s="2463"/>
      <c r="E2" s="2463"/>
      <c r="F2" s="2463"/>
      <c r="G2" s="2463"/>
      <c r="H2" s="2463"/>
      <c r="I2" s="2463"/>
      <c r="J2" s="2463"/>
      <c r="K2" s="2463"/>
      <c r="L2" s="2463"/>
      <c r="M2" s="2463"/>
      <c r="N2" s="1302"/>
    </row>
    <row r="3" spans="2:14" ht="15" x14ac:dyDescent="0.2">
      <c r="B3" s="2467" t="s">
        <v>1280</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2149</v>
      </c>
      <c r="C11" s="1338"/>
      <c r="D11" s="1339"/>
      <c r="E11" s="1340"/>
      <c r="F11" s="1340"/>
      <c r="G11" s="1340"/>
      <c r="H11" s="1340"/>
      <c r="I11" s="1340"/>
      <c r="J11" s="1340"/>
      <c r="K11" s="1340"/>
      <c r="L11" s="1340">
        <f>+G11+I11+K11</f>
        <v>0</v>
      </c>
      <c r="M11" s="1340"/>
    </row>
    <row r="12" spans="2:14" ht="20.100000000000001" customHeight="1" x14ac:dyDescent="0.2">
      <c r="B12" s="1337" t="s">
        <v>2150</v>
      </c>
      <c r="C12" s="1341"/>
      <c r="D12" s="1342"/>
      <c r="E12" s="1343"/>
      <c r="F12" s="1343"/>
      <c r="G12" s="1343"/>
      <c r="H12" s="1343"/>
      <c r="I12" s="1343"/>
      <c r="J12" s="1343"/>
      <c r="K12" s="1343"/>
      <c r="L12" s="1340">
        <f t="shared" ref="L12:L27" si="0">+G12+I12+K12</f>
        <v>0</v>
      </c>
      <c r="M12" s="1343"/>
    </row>
    <row r="13" spans="2:14" ht="20.100000000000001" customHeight="1" x14ac:dyDescent="0.2">
      <c r="B13" s="1337" t="s">
        <v>2151</v>
      </c>
      <c r="C13" s="1341">
        <v>93.778000000000006</v>
      </c>
      <c r="D13" s="1342" t="s">
        <v>2152</v>
      </c>
      <c r="E13" s="1343">
        <v>126208</v>
      </c>
      <c r="F13" s="1343">
        <v>0</v>
      </c>
      <c r="G13" s="1343">
        <v>126208</v>
      </c>
      <c r="H13" s="1343"/>
      <c r="I13" s="1343">
        <v>0</v>
      </c>
      <c r="J13" s="1343"/>
      <c r="K13" s="1343"/>
      <c r="L13" s="1340">
        <f t="shared" si="0"/>
        <v>126208</v>
      </c>
      <c r="M13" s="1343" t="s">
        <v>2127</v>
      </c>
    </row>
    <row r="14" spans="2:14" ht="20.100000000000001" customHeight="1" x14ac:dyDescent="0.2">
      <c r="B14" s="1337" t="s">
        <v>2151</v>
      </c>
      <c r="C14" s="1341">
        <v>93.778000000000006</v>
      </c>
      <c r="D14" s="1342" t="s">
        <v>2153</v>
      </c>
      <c r="E14" s="1343">
        <v>0</v>
      </c>
      <c r="F14" s="1343">
        <v>268286</v>
      </c>
      <c r="G14" s="1343">
        <v>0</v>
      </c>
      <c r="H14" s="1343"/>
      <c r="I14" s="1343">
        <v>268286</v>
      </c>
      <c r="J14" s="1343"/>
      <c r="K14" s="1343"/>
      <c r="L14" s="1340">
        <f t="shared" si="0"/>
        <v>268286</v>
      </c>
      <c r="M14" s="1343">
        <v>120000</v>
      </c>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t="s">
        <v>2154</v>
      </c>
      <c r="C16" s="1341"/>
      <c r="D16" s="1342"/>
      <c r="E16" s="1343">
        <v>126208</v>
      </c>
      <c r="F16" s="1343">
        <v>268286</v>
      </c>
      <c r="G16" s="1343">
        <v>126208</v>
      </c>
      <c r="H16" s="1343"/>
      <c r="I16" s="1343">
        <v>268286</v>
      </c>
      <c r="J16" s="1343"/>
      <c r="K16" s="1343"/>
      <c r="L16" s="1340">
        <f t="shared" si="0"/>
        <v>394494</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2155</v>
      </c>
      <c r="C18" s="1341"/>
      <c r="D18" s="1342"/>
      <c r="E18" s="1343">
        <v>1752267</v>
      </c>
      <c r="F18" s="1343">
        <v>2074804</v>
      </c>
      <c r="G18" s="1343">
        <v>1930058</v>
      </c>
      <c r="H18" s="1343"/>
      <c r="I18" s="1343">
        <v>2058645</v>
      </c>
      <c r="J18" s="1343">
        <v>30316</v>
      </c>
      <c r="K18" s="1343"/>
      <c r="L18" s="1340">
        <f t="shared" si="0"/>
        <v>3988703</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40 - Page 3 of 3&amp;R&amp;8Page 40 - Page 3 of 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D46" sqref="D46"/>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O'Fallon CCSD 90</v>
      </c>
      <c r="C1" s="2481"/>
      <c r="D1" s="2481"/>
      <c r="E1" s="2481"/>
      <c r="F1" s="2481"/>
      <c r="G1" s="2481"/>
      <c r="H1" s="2481"/>
      <c r="I1" s="2481"/>
      <c r="J1" s="1422"/>
    </row>
    <row r="2" spans="2:10" s="317" customFormat="1" ht="12.75" customHeight="1" x14ac:dyDescent="0.2">
      <c r="B2" s="2482">
        <f>'Single Audit Cover'!E7</f>
        <v>50082090004</v>
      </c>
      <c r="C2" s="2483"/>
      <c r="D2" s="2483"/>
      <c r="E2" s="2483"/>
      <c r="F2" s="2483"/>
      <c r="G2" s="2483"/>
      <c r="H2" s="2483"/>
      <c r="I2" s="2483"/>
      <c r="J2" s="1422"/>
    </row>
    <row r="3" spans="2:10" s="317" customFormat="1" ht="12.75" customHeight="1" x14ac:dyDescent="0.2">
      <c r="B3" s="2484" t="s">
        <v>1346</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1345</v>
      </c>
      <c r="C7" s="2485"/>
      <c r="D7" s="2485"/>
      <c r="E7" s="2485"/>
      <c r="F7" s="2485"/>
      <c r="G7" s="2485"/>
      <c r="H7" s="2485"/>
      <c r="I7" s="2485"/>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6" t="s">
        <v>2156</v>
      </c>
      <c r="D11" s="2486"/>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2073</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2073</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2073</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2073</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7"/>
      <c r="E29" s="2487"/>
      <c r="F29" s="2487"/>
      <c r="G29" s="2487"/>
      <c r="H29" s="2487"/>
      <c r="I29" s="2487"/>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2073</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88" t="s">
        <v>1850</v>
      </c>
      <c r="D37" s="2489"/>
      <c r="E37" s="2489"/>
      <c r="F37" s="2490"/>
      <c r="G37" s="2488" t="s">
        <v>1673</v>
      </c>
      <c r="H37" s="2489"/>
      <c r="I37" s="2490"/>
    </row>
    <row r="38" spans="2:9" ht="16.5" customHeight="1" x14ac:dyDescent="0.2">
      <c r="B38" s="1444">
        <v>84.027000000000001</v>
      </c>
      <c r="C38" s="2476" t="s">
        <v>2157</v>
      </c>
      <c r="D38" s="2477"/>
      <c r="E38" s="2477"/>
      <c r="F38" s="2478"/>
      <c r="G38" s="2491">
        <v>598727</v>
      </c>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1674</v>
      </c>
      <c r="D43" s="2470"/>
      <c r="E43" s="2470"/>
      <c r="F43" s="2471"/>
      <c r="G43" s="2472">
        <f>SUM(G38:I42)</f>
        <v>598727</v>
      </c>
      <c r="H43" s="2472"/>
      <c r="I43" s="2472"/>
    </row>
    <row r="44" spans="2:9" ht="12.75" customHeight="1" x14ac:dyDescent="0.2"/>
    <row r="45" spans="2:9" ht="12.75" customHeight="1" x14ac:dyDescent="0.2">
      <c r="B45" s="1435" t="s">
        <v>1948</v>
      </c>
      <c r="D45" s="2473">
        <v>2058645</v>
      </c>
      <c r="E45" s="2474"/>
    </row>
    <row r="46" spans="2:9" ht="5.25" customHeight="1" x14ac:dyDescent="0.2">
      <c r="B46" s="1445"/>
      <c r="D46" s="1446"/>
      <c r="E46" s="1447"/>
    </row>
    <row r="47" spans="2:9" ht="12.75" customHeight="1" x14ac:dyDescent="0.2">
      <c r="B47" s="1300" t="s">
        <v>1675</v>
      </c>
      <c r="C47" s="1300"/>
      <c r="D47" s="1448">
        <f>+G43/D45</f>
        <v>0.29083547673348248</v>
      </c>
      <c r="E47" s="1449"/>
      <c r="F47" s="1450"/>
      <c r="I47" s="1451"/>
    </row>
    <row r="48" spans="2:9" ht="9.9499999999999993" customHeight="1" x14ac:dyDescent="0.2"/>
    <row r="49" spans="1:9" x14ac:dyDescent="0.2">
      <c r="B49" s="1368" t="s">
        <v>1334</v>
      </c>
      <c r="C49" s="1282"/>
      <c r="D49" s="1282"/>
      <c r="E49" s="2475">
        <v>750000</v>
      </c>
      <c r="F49" s="2475"/>
      <c r="G49" s="2475"/>
      <c r="H49" s="322"/>
    </row>
    <row r="51" spans="1:9" ht="13.5" customHeight="1" x14ac:dyDescent="0.2">
      <c r="B51" s="1368" t="s">
        <v>1333</v>
      </c>
      <c r="C51" s="1282"/>
      <c r="E51" s="1438" t="s">
        <v>2073</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4" zoomScale="1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O'Fallon CCSD 90</v>
      </c>
      <c r="C1" s="2480"/>
      <c r="D1" s="2480"/>
      <c r="E1" s="2480"/>
      <c r="F1" s="2480"/>
      <c r="G1" s="2480"/>
      <c r="H1" s="2480"/>
      <c r="I1" s="2480"/>
      <c r="J1" s="2480"/>
      <c r="K1" s="2480"/>
      <c r="L1" s="1374"/>
      <c r="M1" s="1374"/>
    </row>
    <row r="2" spans="1:13" ht="12" customHeight="1" x14ac:dyDescent="0.2">
      <c r="B2" s="2482">
        <f>'Single Audit Cover'!E7</f>
        <v>50082090004</v>
      </c>
      <c r="C2" s="2482"/>
      <c r="D2" s="2482"/>
      <c r="E2" s="2482"/>
      <c r="F2" s="2482"/>
      <c r="G2" s="2482"/>
      <c r="H2" s="2482"/>
      <c r="I2" s="2482"/>
      <c r="J2" s="2482"/>
      <c r="K2" s="2482"/>
      <c r="L2" s="1375"/>
      <c r="M2" s="1376"/>
    </row>
    <row r="3" spans="1:13" ht="10.35" customHeight="1" x14ac:dyDescent="0.2">
      <c r="B3" s="2496" t="s">
        <v>1346</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1362</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t="s">
        <v>2127</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5" t="s">
        <v>2127</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5" t="s">
        <v>2127</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499" t="s">
        <v>2127</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5" t="s">
        <v>2127</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5" t="s">
        <v>2127</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4" t="s">
        <v>2127</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4" t="s">
        <v>2127</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9" zoomScale="110" zoomScaleNormal="110" workbookViewId="0">
      <selection activeCell="B42" sqref="B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O'Fallon CCSD 90</v>
      </c>
      <c r="C1" s="2503"/>
      <c r="D1" s="2503"/>
      <c r="E1" s="2503"/>
      <c r="F1" s="2503"/>
      <c r="G1" s="2503"/>
      <c r="H1" s="2503"/>
      <c r="I1" s="2503"/>
      <c r="J1" s="2503"/>
      <c r="K1" s="2503"/>
      <c r="L1" s="1465"/>
    </row>
    <row r="2" spans="1:12" ht="12.75" customHeight="1" x14ac:dyDescent="0.2">
      <c r="B2" s="2504">
        <f>'Single Audit Cover'!E7</f>
        <v>50082090004</v>
      </c>
      <c r="C2" s="2504"/>
      <c r="D2" s="2504"/>
      <c r="E2" s="2504"/>
      <c r="F2" s="2504"/>
      <c r="G2" s="2504"/>
      <c r="H2" s="2504"/>
      <c r="I2" s="2504"/>
      <c r="J2" s="2504"/>
      <c r="K2" s="2504"/>
      <c r="L2" s="1466"/>
    </row>
    <row r="3" spans="1:12" ht="12.75" customHeight="1" x14ac:dyDescent="0.2">
      <c r="B3" s="2496" t="s">
        <v>1346</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1230</v>
      </c>
      <c r="C5" s="1260"/>
      <c r="L5" s="322"/>
    </row>
    <row r="6" spans="1:12" ht="30.75" customHeight="1" x14ac:dyDescent="0.2">
      <c r="A6" s="322"/>
      <c r="B6" s="2505" t="s">
        <v>1374</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t="s">
        <v>2127</v>
      </c>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0"/>
      <c r="E14" s="2500"/>
      <c r="F14" s="2500"/>
      <c r="H14" s="1475" t="s">
        <v>1369</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1"/>
      <c r="E16" s="2501"/>
      <c r="F16" s="2501"/>
      <c r="G16" s="2501"/>
      <c r="H16" s="2501"/>
      <c r="I16" s="2501"/>
      <c r="J16" s="2501"/>
      <c r="K16" s="2501"/>
      <c r="L16" s="322"/>
    </row>
    <row r="17" spans="2:12" ht="13.5" customHeight="1" x14ac:dyDescent="0.2">
      <c r="B17" s="1387" t="s">
        <v>1367</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5" t="s">
        <v>2127</v>
      </c>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5" t="s">
        <v>2127</v>
      </c>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5" t="s">
        <v>2127</v>
      </c>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5" t="s">
        <v>2127</v>
      </c>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5" t="s">
        <v>2127</v>
      </c>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5" t="s">
        <v>2127</v>
      </c>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5" t="s">
        <v>2127</v>
      </c>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5" t="s">
        <v>2127</v>
      </c>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7" sqref="D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O'Fallon CCSD 90</v>
      </c>
      <c r="C1" s="2480"/>
      <c r="D1" s="2480"/>
      <c r="E1" s="1491"/>
    </row>
    <row r="2" spans="2:5" s="1282" customFormat="1" ht="12.75" customHeight="1" x14ac:dyDescent="0.2">
      <c r="B2" s="2482">
        <f>'Single Audit Cover'!E7</f>
        <v>50082090004</v>
      </c>
      <c r="C2" s="2482"/>
      <c r="D2" s="2482"/>
      <c r="E2" s="1492"/>
    </row>
    <row r="3" spans="2:5" ht="12.75" customHeight="1" x14ac:dyDescent="0.2">
      <c r="B3" s="2496" t="s">
        <v>1865</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t="s">
        <v>2158</v>
      </c>
      <c r="C7" s="1955" t="s">
        <v>2158</v>
      </c>
      <c r="D7" s="1955" t="s">
        <v>2158</v>
      </c>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www.w3.org/XML/1998/namespace"/>
    <ds:schemaRef ds:uri="http://purl.org/dc/terms/"/>
    <ds:schemaRef ds:uri="http://purl.org/dc/elements/1.1/"/>
    <ds:schemaRef ds:uri="6ce3111e-7420-4802-b50a-75d4e9a0b980"/>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d21dc803-237d-4c68-8692-8d731fd29118"/>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AC32</vt:lpstr>
      <vt:lpstr>Itemization 33</vt:lpstr>
      <vt:lpstr>Shared Outsourced Services 31</vt:lpstr>
      <vt:lpstr>REF 34</vt:lpstr>
      <vt:lpstr>Opinion-Notes 35</vt:lpstr>
      <vt:lpstr>DeficitAFRSum Calc 36</vt:lpstr>
      <vt:lpstr>AUDITCHECK</vt:lpstr>
      <vt:lpstr>AFR18</vt:lpstr>
      <vt:lpstr>Single Audit Cover</vt:lpstr>
      <vt:lpstr>Single Audit Checklist</vt:lpstr>
      <vt:lpstr>SEFA Reconcile</vt:lpstr>
      <vt:lpstr>SEFA NOTES</vt:lpstr>
      <vt:lpstr> SEFA page 1 of 3</vt:lpstr>
      <vt:lpstr> SEFA page 2 of 3</vt:lpstr>
      <vt:lpstr> SEFA page 3 of 3</vt:lpstr>
      <vt:lpstr>SF&amp;QC Sec-1</vt:lpstr>
      <vt:lpstr>SF&amp;QC Sec-2</vt:lpstr>
      <vt:lpstr>SF&amp;QC Sec-3</vt:lpstr>
      <vt:lpstr>SSPAF</vt:lpstr>
      <vt:lpstr>' SEFA page 1 of 3'!Print_Area</vt:lpstr>
      <vt:lpstr>' SEFA page 2 of 3'!Print_Area</vt:lpstr>
      <vt:lpstr>' SEFA page 3 of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2018-11-08T22:28:25Z</cp:lastPrinted>
  <dcterms:created xsi:type="dcterms:W3CDTF">2003-10-29T19:06:34Z</dcterms:created>
  <dcterms:modified xsi:type="dcterms:W3CDTF">2018-11-21T17:23:16Z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