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25" i="127" l="1"/>
  <c r="L21" i="127"/>
  <c r="L9" i="127"/>
  <c r="K39" i="3" l="1"/>
  <c r="J39" i="3"/>
  <c r="I39" i="3"/>
  <c r="H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J12" i="12"/>
  <c r="B7718" i="106" s="1"/>
  <c r="D7718" i="106" s="1"/>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6833" i="106" s="1"/>
  <c r="D6833" i="106" s="1"/>
  <c r="B7761" i="106"/>
  <c r="D7761" i="106" s="1"/>
  <c r="L127" i="29"/>
  <c r="L129" i="29" s="1"/>
  <c r="L139" i="29"/>
  <c r="L149" i="29"/>
  <c r="I7" i="145"/>
  <c r="I6" i="145"/>
  <c r="D78" i="36"/>
  <c r="K75" i="29"/>
  <c r="F52" i="34" s="1"/>
  <c r="K130" i="29"/>
  <c r="F56" i="34" s="1"/>
  <c r="K185" i="29"/>
  <c r="K122" i="29"/>
  <c r="K67" i="29"/>
  <c r="K64" i="29"/>
  <c r="K59" i="29"/>
  <c r="D26" i="108" s="1"/>
  <c r="K56" i="29"/>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c r="B6308" i="106"/>
  <c r="D6308" i="106" s="1"/>
  <c r="B6309" i="106"/>
  <c r="D6309" i="106" s="1"/>
  <c r="B6310" i="106"/>
  <c r="D6310" i="106"/>
  <c r="B6311" i="106"/>
  <c r="D6311" i="106" s="1"/>
  <c r="B6312" i="106"/>
  <c r="D6312" i="106" s="1"/>
  <c r="B6313" i="106"/>
  <c r="D6313" i="106" s="1"/>
  <c r="B6314" i="106"/>
  <c r="D6314" i="106" s="1"/>
  <c r="B6315" i="106"/>
  <c r="D6315" i="106"/>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c r="B6328" i="106"/>
  <c r="D6328" i="106" s="1"/>
  <c r="B6329" i="106"/>
  <c r="D6329" i="106" s="1"/>
  <c r="B6330" i="106"/>
  <c r="D6330" i="106"/>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s="1"/>
  <c r="B6344" i="106"/>
  <c r="D6344" i="106"/>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c r="B6358" i="106"/>
  <c r="D6358" i="106" s="1"/>
  <c r="B6359" i="106"/>
  <c r="D6359" i="106" s="1"/>
  <c r="B6360" i="106"/>
  <c r="D6360" i="106" s="1"/>
  <c r="B6361" i="106"/>
  <c r="D6361" i="106"/>
  <c r="B6362" i="106"/>
  <c r="D6362" i="106"/>
  <c r="B6363" i="106"/>
  <c r="D6363" i="106" s="1"/>
  <c r="B6364" i="106"/>
  <c r="D6364" i="106" s="1"/>
  <c r="B6365" i="106"/>
  <c r="D6365" i="106"/>
  <c r="B6366" i="106"/>
  <c r="D6366" i="106"/>
  <c r="B6367" i="106"/>
  <c r="D6367" i="106" s="1"/>
  <c r="B6368" i="106"/>
  <c r="D6368" i="106" s="1"/>
  <c r="B6369" i="106"/>
  <c r="D6369" i="106"/>
  <c r="B6370" i="106"/>
  <c r="D6370" i="106"/>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s="1"/>
  <c r="B6390" i="106"/>
  <c r="D6390" i="106" s="1"/>
  <c r="B6391" i="106"/>
  <c r="D6391" i="106" s="1"/>
  <c r="B6392" i="106"/>
  <c r="D6392" i="106" s="1"/>
  <c r="B6393" i="106"/>
  <c r="D6393" i="106"/>
  <c r="B6394" i="106"/>
  <c r="D6394" i="106"/>
  <c r="B6395" i="106"/>
  <c r="D6395" i="106" s="1"/>
  <c r="B6398" i="106"/>
  <c r="D6398" i="106" s="1"/>
  <c r="B6399" i="106"/>
  <c r="D6399" i="106"/>
  <c r="B6401" i="106"/>
  <c r="D6401" i="106"/>
  <c r="B6402" i="106"/>
  <c r="D6402" i="106" s="1"/>
  <c r="B6403" i="106"/>
  <c r="D6403" i="106" s="1"/>
  <c r="B6404" i="106"/>
  <c r="D6404" i="106"/>
  <c r="B6405" i="106"/>
  <c r="D6405" i="106"/>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c r="B6662" i="106"/>
  <c r="D6662" i="106" s="1"/>
  <c r="B6663" i="106"/>
  <c r="D6663" i="106" s="1"/>
  <c r="B6664" i="106"/>
  <c r="D6664" i="106"/>
  <c r="B6665" i="106"/>
  <c r="D6665" i="106" s="1"/>
  <c r="B6666" i="106"/>
  <c r="D6666" i="106" s="1"/>
  <c r="B6667" i="106"/>
  <c r="D6667" i="106" s="1"/>
  <c r="B6668" i="106"/>
  <c r="D6668" i="106" s="1"/>
  <c r="B6669" i="106"/>
  <c r="D6669" i="106"/>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c r="B6725" i="106"/>
  <c r="D6725" i="106"/>
  <c r="B6726" i="106"/>
  <c r="D6726" i="106" s="1"/>
  <c r="B6727" i="106"/>
  <c r="D6727" i="106" s="1"/>
  <c r="B6728" i="106"/>
  <c r="D6728" i="106"/>
  <c r="B6729" i="106"/>
  <c r="D6729" i="106"/>
  <c r="B6730" i="106"/>
  <c r="D6730" i="106" s="1"/>
  <c r="B6731" i="106"/>
  <c r="D6731" i="106" s="1"/>
  <c r="B6732" i="106"/>
  <c r="D6732" i="106" s="1"/>
  <c r="B6733" i="106"/>
  <c r="D6733" i="106" s="1"/>
  <c r="B6734" i="106"/>
  <c r="D6734" i="106" s="1"/>
  <c r="B6735" i="106"/>
  <c r="D6735" i="106"/>
  <c r="B6736" i="106"/>
  <c r="D6736" i="106"/>
  <c r="B6737" i="106"/>
  <c r="D6737" i="106"/>
  <c r="B6738" i="106"/>
  <c r="D6738" i="106" s="1"/>
  <c r="B6739" i="106"/>
  <c r="D6739" i="106" s="1"/>
  <c r="B6740" i="106"/>
  <c r="D6740" i="106" s="1"/>
  <c r="B6741" i="106"/>
  <c r="D6741" i="106" s="1"/>
  <c r="B6742" i="106"/>
  <c r="D6742" i="106" s="1"/>
  <c r="B6743" i="106"/>
  <c r="D6743" i="106" s="1"/>
  <c r="B6744" i="106"/>
  <c r="D6744" i="106"/>
  <c r="B6745" i="106"/>
  <c r="D6745" i="106" s="1"/>
  <c r="B6746" i="106"/>
  <c r="D6746" i="106" s="1"/>
  <c r="B6747" i="106"/>
  <c r="D6747" i="106"/>
  <c r="B6748" i="106"/>
  <c r="D6748" i="106" s="1"/>
  <c r="B6749" i="106"/>
  <c r="D6749" i="106" s="1"/>
  <c r="B6750" i="106"/>
  <c r="D6750" i="106" s="1"/>
  <c r="B6751" i="106"/>
  <c r="D6751" i="106"/>
  <c r="B6752" i="106"/>
  <c r="D6752" i="106"/>
  <c r="B6753" i="106"/>
  <c r="D6753" i="106"/>
  <c r="B6754" i="106"/>
  <c r="D6754" i="106" s="1"/>
  <c r="B6755" i="106"/>
  <c r="D6755" i="106" s="1"/>
  <c r="B6756" i="106"/>
  <c r="D6756" i="106" s="1"/>
  <c r="B6757" i="106"/>
  <c r="D6757" i="106" s="1"/>
  <c r="B6758" i="106"/>
  <c r="D6758" i="106" s="1"/>
  <c r="B6759" i="106"/>
  <c r="D6759" i="106" s="1"/>
  <c r="B6760" i="106"/>
  <c r="D6760" i="106"/>
  <c r="B6761" i="106"/>
  <c r="D6761" i="106" s="1"/>
  <c r="B6762" i="106"/>
  <c r="D6762" i="106" s="1"/>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c r="B6773" i="106"/>
  <c r="D6773" i="106" s="1"/>
  <c r="B6774" i="106"/>
  <c r="D6774" i="106" s="1"/>
  <c r="B6775" i="106"/>
  <c r="D6775" i="106"/>
  <c r="B6776" i="106"/>
  <c r="D6776" i="106"/>
  <c r="B6777" i="106"/>
  <c r="D6777" i="106"/>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c r="B6789" i="106"/>
  <c r="D6789" i="106" s="1"/>
  <c r="B6790" i="106"/>
  <c r="D6790" i="106" s="1"/>
  <c r="B6791" i="106"/>
  <c r="D6791" i="106"/>
  <c r="B6792" i="106"/>
  <c r="D6792" i="106"/>
  <c r="B6793" i="106"/>
  <c r="D6793" i="106"/>
  <c r="B6794" i="106"/>
  <c r="D6794" i="106" s="1"/>
  <c r="B6795" i="106"/>
  <c r="D6795" i="106" s="1"/>
  <c r="B6796" i="106"/>
  <c r="D6796" i="106" s="1"/>
  <c r="B6797" i="106"/>
  <c r="D6797" i="106" s="1"/>
  <c r="B6798" i="106"/>
  <c r="D6798" i="106" s="1"/>
  <c r="B6799" i="106"/>
  <c r="D6799" i="106"/>
  <c r="B6800" i="106"/>
  <c r="D6800" i="106"/>
  <c r="B6801" i="106"/>
  <c r="D6801" i="106"/>
  <c r="B6802" i="106"/>
  <c r="D6802" i="106" s="1"/>
  <c r="B6803" i="106"/>
  <c r="D6803" i="106" s="1"/>
  <c r="B6804" i="106"/>
  <c r="D6804" i="106" s="1"/>
  <c r="B6805" i="106"/>
  <c r="D6805" i="106" s="1"/>
  <c r="B6806" i="106"/>
  <c r="D6806" i="106" s="1"/>
  <c r="B6807" i="106"/>
  <c r="D6807" i="106" s="1"/>
  <c r="B6808" i="106"/>
  <c r="D6808" i="106"/>
  <c r="B6809" i="106"/>
  <c r="D6809" i="106" s="1"/>
  <c r="B6810" i="106"/>
  <c r="D6810" i="106" s="1"/>
  <c r="B6811" i="106"/>
  <c r="D6811" i="106"/>
  <c r="B6812" i="106"/>
  <c r="D6812" i="106" s="1"/>
  <c r="B6813" i="106"/>
  <c r="D6813" i="106" s="1"/>
  <c r="B6814" i="106"/>
  <c r="D6814" i="106" s="1"/>
  <c r="B6815" i="106"/>
  <c r="D6815" i="106"/>
  <c r="B6816" i="106"/>
  <c r="D6816" i="106"/>
  <c r="B6817" i="106"/>
  <c r="D6817" i="106"/>
  <c r="B6818" i="106"/>
  <c r="D6818" i="106" s="1"/>
  <c r="B6819" i="106"/>
  <c r="D6819" i="106" s="1"/>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C65" i="127"/>
  <c r="C66" i="127"/>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F106" i="34"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c r="D5232" i="106" s="1"/>
  <c r="D184" i="5"/>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14" i="4"/>
  <c r="B2609" i="106" s="1"/>
  <c r="D2609" i="106" s="1"/>
  <c r="C14" i="4"/>
  <c r="B2558" i="106" s="1"/>
  <c r="D2558" i="106" s="1"/>
  <c r="F14" i="4"/>
  <c r="B2597" i="106" s="1"/>
  <c r="D2597" i="106" s="1"/>
  <c r="B2633" i="106"/>
  <c r="D2633" i="106" s="1"/>
  <c r="D7" i="118"/>
  <c r="D8" i="118"/>
  <c r="D9" i="118"/>
  <c r="H14" i="118"/>
  <c r="H19" i="118"/>
  <c r="H24" i="118"/>
  <c r="D22" i="37"/>
  <c r="L22" i="37"/>
  <c r="D5" i="7"/>
  <c r="B1761" i="106" s="1"/>
  <c r="D1761" i="106" s="1"/>
  <c r="D9" i="7"/>
  <c r="B1767" i="106" s="1"/>
  <c r="D1767" i="106" s="1"/>
  <c r="B5752" i="106"/>
  <c r="D5752" i="106" s="1"/>
  <c r="D7" i="7"/>
  <c r="B1763" i="106" s="1"/>
  <c r="D1763" i="106" s="1"/>
  <c r="D15" i="7"/>
  <c r="B1772" i="106" s="1"/>
  <c r="D1772" i="106" s="1"/>
  <c r="E15" i="145" l="1"/>
  <c r="J129" i="29"/>
  <c r="B7038" i="106" s="1"/>
  <c r="D7038" i="106" s="1"/>
  <c r="B1746" i="106"/>
  <c r="D1746" i="106" s="1"/>
  <c r="J22" i="37"/>
  <c r="F127" i="34"/>
  <c r="I173" i="5"/>
  <c r="B4216" i="106" s="1"/>
  <c r="D4216" i="106" s="1"/>
  <c r="G172" i="5"/>
  <c r="B5770" i="106" s="1"/>
  <c r="D5770" i="106" s="1"/>
  <c r="L312" i="29"/>
  <c r="F70" i="34"/>
  <c r="F49" i="34"/>
  <c r="F42" i="34"/>
  <c r="E38" i="108"/>
  <c r="D69" i="36"/>
  <c r="B7235" i="106"/>
  <c r="D7235" i="106" s="1"/>
  <c r="G173" i="5"/>
  <c r="B5778" i="106" s="1"/>
  <c r="D5778" i="106" s="1"/>
  <c r="B5425" i="106"/>
  <c r="D5425" i="106" s="1"/>
  <c r="L342" i="29"/>
  <c r="B3668" i="106"/>
  <c r="D3668" i="106" s="1"/>
  <c r="K350" i="29"/>
  <c r="H149" i="29"/>
  <c r="B1272" i="106" s="1"/>
  <c r="D1272" i="106" s="1"/>
  <c r="B7047" i="106"/>
  <c r="D7047" i="106" s="1"/>
  <c r="F15" i="145"/>
  <c r="F19" i="145" s="1"/>
  <c r="B1274" i="106"/>
  <c r="D1274" i="106" s="1"/>
  <c r="B7733" i="106"/>
  <c r="D7733" i="106" s="1"/>
  <c r="K26" i="12"/>
  <c r="B7743" i="106" s="1"/>
  <c r="D7743" i="106" s="1"/>
  <c r="J77" i="4"/>
  <c r="B6262" i="106" s="1"/>
  <c r="D6262" i="106" s="1"/>
  <c r="F136" i="34"/>
  <c r="B3647" i="106"/>
  <c r="D3647" i="106" s="1"/>
  <c r="G352" i="29"/>
  <c r="B1223" i="106"/>
  <c r="D1223" i="106" s="1"/>
  <c r="C129" i="29"/>
  <c r="C151" i="29" s="1"/>
  <c r="B1226" i="106" s="1"/>
  <c r="D1226" i="106" s="1"/>
  <c r="B1995" i="106"/>
  <c r="D1995" i="106" s="1"/>
  <c r="I24" i="12"/>
  <c r="D17" i="7"/>
  <c r="B4104" i="106" s="1"/>
  <c r="D4104" i="106" s="1"/>
  <c r="B4373" i="106"/>
  <c r="D4373" i="106" s="1"/>
  <c r="K173" i="5"/>
  <c r="K6" i="4" s="1"/>
  <c r="B3570" i="106" s="1"/>
  <c r="D3570" i="106" s="1"/>
  <c r="B5383" i="106"/>
  <c r="D5383" i="106" s="1"/>
  <c r="F172" i="5"/>
  <c r="B5644" i="106" s="1"/>
  <c r="D5644" i="106" s="1"/>
  <c r="F45" i="34"/>
  <c r="D6103" i="106"/>
  <c r="B3619" i="106"/>
  <c r="D3619" i="106" s="1"/>
  <c r="L13" i="11"/>
  <c r="B2060" i="106" s="1"/>
  <c r="D2060" i="106" s="1"/>
  <c r="K285" i="29"/>
  <c r="B3724" i="106" s="1"/>
  <c r="D3724" i="106" s="1"/>
  <c r="G210" i="29"/>
  <c r="E174" i="29"/>
  <c r="B1309" i="106" s="1"/>
  <c r="D1309" i="106" s="1"/>
  <c r="F128" i="34"/>
  <c r="D11" i="37"/>
  <c r="B4268" i="106"/>
  <c r="D4268" i="106" s="1"/>
  <c r="N22" i="3"/>
  <c r="B283" i="106" s="1"/>
  <c r="D283" i="106" s="1"/>
  <c r="C342" i="29"/>
  <c r="B7216" i="106" s="1"/>
  <c r="D7216" i="106" s="1"/>
  <c r="F72" i="34"/>
  <c r="B7074" i="106"/>
  <c r="D7074" i="106" s="1"/>
  <c r="E29" i="108"/>
  <c r="F28" i="108"/>
  <c r="F41" i="108" s="1"/>
  <c r="G43" i="108" s="1"/>
  <c r="D11" i="7"/>
  <c r="B1768" i="106" s="1"/>
  <c r="D1768" i="106" s="1"/>
  <c r="D13" i="7"/>
  <c r="B3726" i="106" s="1"/>
  <c r="D3726" i="106" s="1"/>
  <c r="C109" i="5"/>
  <c r="B5121" i="106" s="1"/>
  <c r="D5121" i="106" s="1"/>
  <c r="D12" i="7"/>
  <c r="B1769" i="106" s="1"/>
  <c r="D1769" i="106" s="1"/>
  <c r="L367" i="29"/>
  <c r="B6887" i="106"/>
  <c r="D6887" i="106" s="1"/>
  <c r="F44" i="34"/>
  <c r="B5741" i="106"/>
  <c r="D5741" i="106" s="1"/>
  <c r="G5" i="4"/>
  <c r="B3409" i="106" s="1"/>
  <c r="D3409" i="106" s="1"/>
  <c r="B3621" i="106"/>
  <c r="D3621" i="106" s="1"/>
  <c r="C367" i="29"/>
  <c r="B3622" i="106" s="1"/>
  <c r="D3622" i="106" s="1"/>
  <c r="H28" i="118"/>
  <c r="D109" i="5"/>
  <c r="G39" i="108"/>
  <c r="F111" i="34"/>
  <c r="H33" i="118"/>
  <c r="B4412" i="106"/>
  <c r="D4412" i="106" s="1"/>
  <c r="F131" i="34"/>
  <c r="F34" i="34"/>
  <c r="B3670" i="106"/>
  <c r="D3670" i="106" s="1"/>
  <c r="K352" i="29"/>
  <c r="K13" i="4" s="1"/>
  <c r="B3572" i="106" s="1"/>
  <c r="D3572" i="106" s="1"/>
  <c r="H109" i="5"/>
  <c r="C172" i="5"/>
  <c r="B5214" i="106" s="1"/>
  <c r="D5214" i="106" s="1"/>
  <c r="D4" i="7"/>
  <c r="B1760" i="106" s="1"/>
  <c r="D1760" i="106" s="1"/>
  <c r="J210" i="29"/>
  <c r="B7072" i="106" s="1"/>
  <c r="D7072" i="106" s="1"/>
  <c r="B6899" i="106"/>
  <c r="D6899" i="106" s="1"/>
  <c r="F50" i="34"/>
  <c r="B1128" i="106"/>
  <c r="D1128" i="106" s="1"/>
  <c r="E28" i="108"/>
  <c r="E13" i="145"/>
  <c r="G13" i="145" s="1"/>
  <c r="B2724" i="106"/>
  <c r="D2724" i="106" s="1"/>
  <c r="B2805" i="106"/>
  <c r="D2805" i="106" s="1"/>
  <c r="E14" i="145"/>
  <c r="G14" i="145" s="1"/>
  <c r="B1124" i="106"/>
  <c r="D1124" i="106" s="1"/>
  <c r="B6853" i="106"/>
  <c r="D6853" i="106" s="1"/>
  <c r="F35" i="34"/>
  <c r="B3649" i="106"/>
  <c r="D3649" i="106" s="1"/>
  <c r="G367" i="29"/>
  <c r="H29" i="118"/>
  <c r="D5" i="4"/>
  <c r="B3406" i="106" s="1"/>
  <c r="D3406" i="106" s="1"/>
  <c r="H173" i="5"/>
  <c r="L5" i="11"/>
  <c r="B2056" i="106" s="1"/>
  <c r="D2056" i="106" s="1"/>
  <c r="G109" i="5"/>
  <c r="I210" i="29"/>
  <c r="K41" i="3"/>
  <c r="B1329" i="106"/>
  <c r="D1329" i="106" s="1"/>
  <c r="F61" i="34"/>
  <c r="F19" i="7"/>
  <c r="B1807" i="106" s="1"/>
  <c r="D1807" i="106" s="1"/>
  <c r="B279" i="106"/>
  <c r="D279" i="106" s="1"/>
  <c r="D54" i="36"/>
  <c r="B6079" i="106"/>
  <c r="D6079" i="106" s="1"/>
  <c r="D24" i="37"/>
  <c r="B4270" i="106" s="1"/>
  <c r="D4270" i="106" s="1"/>
  <c r="K274" i="5"/>
  <c r="K7" i="4" s="1"/>
  <c r="B3718" i="106" s="1"/>
  <c r="D3718" i="106" s="1"/>
  <c r="F130" i="34"/>
  <c r="D14" i="4"/>
  <c r="B2570" i="106" s="1"/>
  <c r="D2570" i="106" s="1"/>
  <c r="E109" i="5"/>
  <c r="E4" i="4" s="1"/>
  <c r="B2630" i="106" s="1"/>
  <c r="D2630" i="106" s="1"/>
  <c r="G29" i="108"/>
  <c r="I342" i="29"/>
  <c r="B7222" i="106" s="1"/>
  <c r="D7222" i="106" s="1"/>
  <c r="B6881" i="106"/>
  <c r="D6881" i="106" s="1"/>
  <c r="F41" i="34"/>
  <c r="J41" i="3"/>
  <c r="D51" i="36" s="1"/>
  <c r="F77" i="4"/>
  <c r="B3255" i="106" s="1"/>
  <c r="D3255" i="106" s="1"/>
  <c r="K184" i="29"/>
  <c r="F13" i="4" s="1"/>
  <c r="B2596" i="106" s="1"/>
  <c r="D2596" i="106" s="1"/>
  <c r="B1126" i="106"/>
  <c r="D1126" i="106" s="1"/>
  <c r="F21" i="8"/>
  <c r="H342" i="29"/>
  <c r="B3689" i="106"/>
  <c r="D368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1328" i="106" l="1"/>
  <c r="D1328" i="106" s="1"/>
  <c r="D7252" i="106"/>
  <c r="B1365" i="106"/>
  <c r="D1365" i="106" s="1"/>
  <c r="F65" i="34"/>
  <c r="D7256" i="106"/>
  <c r="D7251" i="106"/>
  <c r="B6022" i="106"/>
  <c r="D6022" i="106" s="1"/>
  <c r="F73" i="34"/>
  <c r="G15" i="4"/>
  <c r="B6032" i="106" s="1"/>
  <c r="D6032" i="106" s="1"/>
  <c r="B3672" i="106"/>
  <c r="D3672" i="106" s="1"/>
  <c r="D7250" i="106"/>
  <c r="B6216" i="106"/>
  <c r="D6216" i="106" s="1"/>
  <c r="K28" i="118"/>
  <c r="O27" i="118" s="1"/>
  <c r="O29" i="118" s="1"/>
  <c r="I26" i="12"/>
  <c r="B7741" i="106" s="1"/>
  <c r="D7741" i="106" s="1"/>
  <c r="B1996" i="106"/>
  <c r="D1996" i="106" s="1"/>
  <c r="G15" i="145"/>
  <c r="N23" i="3"/>
  <c r="B284" i="106" s="1"/>
  <c r="D284" i="106" s="1"/>
  <c r="D44" i="36"/>
  <c r="C173" i="5"/>
  <c r="B5223" i="106" s="1"/>
  <c r="D5223" i="106" s="1"/>
  <c r="C114" i="29"/>
  <c r="B757" i="106" s="1"/>
  <c r="D757" i="106" s="1"/>
  <c r="C6" i="4"/>
  <c r="B2553" i="106" s="1"/>
  <c r="D2553" i="106" s="1"/>
  <c r="C4" i="4"/>
  <c r="B2551" i="106" s="1"/>
  <c r="D2551" i="106" s="1"/>
  <c r="B1879" i="106"/>
  <c r="D1879" i="106" s="1"/>
  <c r="H22" i="37"/>
  <c r="B5906" i="106"/>
  <c r="D5906" i="106" s="1"/>
  <c r="H6" i="4"/>
  <c r="B2656" i="106" s="1"/>
  <c r="D2656" i="106" s="1"/>
  <c r="H275" i="5"/>
  <c r="B5915" i="106" s="1"/>
  <c r="D5915" i="106" s="1"/>
  <c r="B1381" i="106"/>
  <c r="D1381" i="106" s="1"/>
  <c r="D7255" i="106"/>
  <c r="F6" i="4"/>
  <c r="B2593" i="106" s="1"/>
  <c r="D2593" i="106" s="1"/>
  <c r="B3568" i="106"/>
  <c r="D3568" i="106" s="1"/>
  <c r="D52" i="36"/>
  <c r="D19" i="7"/>
  <c r="B1775" i="106" s="1"/>
  <c r="D1775" i="106" s="1"/>
  <c r="B7071" i="106"/>
  <c r="D7071" i="106" s="1"/>
  <c r="F66" i="34"/>
  <c r="B6025" i="106"/>
  <c r="D6025" i="106" s="1"/>
  <c r="H4" i="4"/>
  <c r="B1317" i="106"/>
  <c r="D1317" i="106" s="1"/>
  <c r="F274" i="5"/>
  <c r="F275" i="5" s="1"/>
  <c r="B5720" i="106" s="1"/>
  <c r="D5720" i="106" s="1"/>
  <c r="L16" i="11"/>
  <c r="B2061" i="106" s="1"/>
  <c r="D2061" i="106" s="1"/>
  <c r="D7253" i="106"/>
  <c r="B6024" i="106"/>
  <c r="D6024" i="106" s="1"/>
  <c r="G4" i="4"/>
  <c r="B2603" i="106" s="1"/>
  <c r="D2603" i="106" s="1"/>
  <c r="H367" i="29"/>
  <c r="B3660" i="106" s="1"/>
  <c r="D3660" i="106" s="1"/>
  <c r="B5356" i="106"/>
  <c r="D5356" i="106" s="1"/>
  <c r="D4" i="4"/>
  <c r="B2564" i="106" s="1"/>
  <c r="D2564" i="106" s="1"/>
  <c r="B5527" i="106"/>
  <c r="D5527"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E19" i="145"/>
  <c r="B6222" i="106"/>
  <c r="D6222" i="106" s="1"/>
  <c r="D7" i="4"/>
  <c r="D275" i="5"/>
  <c r="B5507" i="106"/>
  <c r="D5507" i="106" s="1"/>
  <c r="B7298" i="106"/>
  <c r="B7299" i="106"/>
  <c r="G19" i="145" l="1"/>
  <c r="J20" i="145" s="1"/>
  <c r="B7224" i="106"/>
  <c r="D7224" i="106" s="1"/>
  <c r="G41" i="108"/>
  <c r="G44" i="108" s="1"/>
  <c r="G45" i="108" s="1"/>
  <c r="J8" i="4"/>
  <c r="J10" i="4" s="1"/>
  <c r="B6225" i="106" s="1"/>
  <c r="D6225" i="106" s="1"/>
  <c r="E41" i="108"/>
  <c r="E44" i="108" s="1"/>
  <c r="E45" i="108" s="1"/>
  <c r="B2655" i="106"/>
  <c r="D2655" i="106" s="1"/>
  <c r="H8" i="4"/>
  <c r="F8" i="4"/>
  <c r="F10" i="4" s="1"/>
  <c r="B4125" i="106" s="1"/>
  <c r="D4125" i="106" s="1"/>
  <c r="J17" i="4"/>
  <c r="J19" i="4" s="1"/>
  <c r="B6229" i="106" s="1"/>
  <c r="D6229" i="106" s="1"/>
  <c r="B1145" i="106"/>
  <c r="D114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6227" i="106" l="1"/>
  <c r="D6227" i="106" s="1"/>
  <c r="J20" i="4"/>
  <c r="B6230" i="106" s="1"/>
  <c r="D6230" i="106" s="1"/>
  <c r="D8" i="146"/>
  <c r="B2595" i="106"/>
  <c r="D2595"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2574" i="106"/>
  <c r="D2574" i="106" s="1"/>
  <c r="F179" i="34" l="1"/>
  <c r="F79" i="34"/>
  <c r="J81" i="4"/>
  <c r="B6266" i="106" s="1"/>
  <c r="D6266"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81" i="4"/>
  <c r="B3239" i="106"/>
  <c r="D3239" i="106" s="1"/>
  <c r="F181" i="34" l="1"/>
  <c r="F183" i="34" s="1"/>
  <c r="J82" i="4"/>
  <c r="J83" i="4" s="1"/>
  <c r="B6283" i="106" s="1"/>
  <c r="D6283" i="106" s="1"/>
  <c r="D64" i="3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B6274" i="106" l="1"/>
  <c r="D627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<sst xmlns="http://schemas.openxmlformats.org/spreadsheetml/2006/main" count="5090" uniqueCount="2141">
  <si>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</si>
  <si>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</si>
  <si>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</si>
  <si>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</si>
  <si>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</si>
  <si>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</si>
  <si>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</si>
  <si>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</si>
  <si>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</si>
  <si>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</si>
  <si>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</si>
  <si>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</si>
  <si>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</si>
  <si>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</si>
  <si>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</si>
  <si>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</si>
  <si>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</si>
  <si>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</si>
  <si>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</si>
  <si>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</si>
  <si>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</si>
  <si>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</si>
  <si>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</si>
  <si>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</si>
  <si>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</si>
  <si>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</si>
  <si>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</si>
  <si>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</si>
  <si>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</si>
  <si>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</si>
  <si>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</si>
  <si>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</si>
  <si>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</si>
  <si>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</si>
  <si>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</si>
  <si>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</si>
  <si>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</si>
  <si>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</si>
  <si>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</si>
  <si>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</si>
  <si>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</si>
  <si>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</si>
  <si>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</si>
  <si>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</si>
  <si>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</si>
  <si>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</si>
  <si>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</si>
  <si>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</si>
  <si>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</si>
  <si>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</si>
  <si>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</si>
  <si>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</si>
  <si>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</si>
  <si>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</si>
  <si>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</si>
  <si>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</si>
  <si>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</si>
  <si>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</si>
  <si>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</si>
  <si>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</si>
  <si>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</si>
  <si>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</si>
  <si>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</si>
  <si>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</si>
  <si>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</si>
  <si>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</si>
  <si>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</si>
  <si>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</si>
  <si>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</si>
  <si>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</si>
  <si>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</si>
  <si>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</si>
  <si>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</si>
  <si>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</si>
  <si>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</si>
  <si>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</si>
  <si>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</si>
  <si>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</si>
  <si>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</si>
  <si>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</si>
  <si>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</si>
  <si>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</si>
  <si>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</si>
  <si>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</si>
  <si>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</si>
  <si>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</si>
  <si>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</si>
  <si>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</si>
  <si>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</si>
  <si>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</si>
  <si>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</si>
  <si>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</si>
  <si>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</si>
  <si>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</si>
  <si>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</si>
  <si>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</si>
  <si>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</si>
  <si>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</si>
  <si>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</si>
  <si>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</si>
  <si>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</si>
  <si>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</si>
  <si>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</si>
  <si>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</si>
  <si>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</si>
  <si>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</si>
  <si>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</si>
  <si>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</si>
  <si>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</si>
  <si>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</si>
  <si>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</si>
  <si>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</si>
  <si>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</si>
  <si>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</si>
  <si>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</si>
  <si>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</si>
  <si>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</si>
  <si>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</si>
  <si>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</si>
  <si>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</si>
  <si>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</si>
  <si>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</si>
  <si>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</si>
  <si>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</si>
  <si>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</si>
  <si>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</si>
  <si>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</si>
  <si>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</si>
  <si>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</si>
  <si>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</si>
  <si>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</si>
  <si>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</si>
  <si>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</si>
  <si>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</si>
  <si>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</si>
  <si>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</si>
  <si>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</si>
  <si>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</si>
  <si>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</si>
  <si>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</si>
  <si>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</si>
  <si>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</si>
  <si>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</si>
  <si>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</si>
  <si>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</si>
  <si>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</si>
  <si>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</si>
  <si>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</si>
  <si>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</si>
  <si>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</si>
  <si>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</si>
  <si>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</si>
  <si>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</si>
  <si>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</si>
  <si>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</si>
  <si>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</si>
  <si>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</si>
  <si>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</si>
  <si>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</si>
  <si>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</si>
  <si>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</si>
  <si>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</si>
  <si>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</si>
  <si>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</si>
  <si>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</si>
  <si>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</si>
  <si>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</si>
  <si>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</si>
  <si>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</si>
  <si>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</si>
  <si>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</si>
  <si>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</si>
  <si>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</si>
  <si>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</si>
  <si>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</si>
  <si>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</si>
  <si>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</si>
  <si>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</si>
  <si>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</si>
  <si>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</si>
  <si>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</si>
  <si>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</si>
  <si>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</si>
  <si>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</si>
  <si>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</si>
  <si>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</si>
  <si>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</si>
  <si>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</si>
  <si>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</si>
  <si>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</si>
  <si>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</si>
  <si>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</si>
  <si>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</si>
  <si>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</si>
  <si>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</si>
  <si>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</si>
  <si>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</si>
  <si>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</si>
  <si>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</si>
  <si>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</si>
  <si>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</si>
  <si>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</si>
  <si>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</si>
  <si>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</si>
  <si>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</si>
  <si>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</si>
  <si>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</si>
  <si>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</si>
  <si>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</si>
  <si>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</si>
  <si>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</si>
  <si>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</si>
  <si>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</si>
  <si>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</si>
  <si>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</si>
  <si>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</si>
  <si>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</si>
  <si>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</si>
  <si>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</si>
  <si>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</si>
  <si>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</si>
  <si>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</si>
  <si>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</si>
  <si>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</si>
  <si>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</si>
  <si>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</si>
  <si>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</si>
  <si>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</si>
  <si>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</si>
  <si>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</si>
  <si>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</si>
  <si>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</si>
  <si>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</si>
  <si>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</si>
  <si>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</si>
  <si>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</si>
  <si>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</si>
  <si>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</si>
  <si>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</si>
  <si>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</si>
  <si>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</si>
  <si>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</si>
  <si>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</si>
  <si>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</si>
  <si>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</si>
  <si>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</si>
  <si>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</si>
  <si>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</si>
  <si>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</si>
  <si>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</si>
  <si>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</si>
  <si>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</si>
  <si>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</si>
  <si>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</si>
  <si>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</si>
  <si>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</si>
  <si>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</si>
  <si>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</si>
  <si>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</si>
  <si>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</si>
  <si>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</si>
  <si>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</si>
  <si>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</si>
  <si>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</si>
  <si>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</si>
  <si>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</si>
  <si>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</si>
  <si>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</si>
  <si>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</si>
  <si>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</si>
  <si>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</si>
  <si>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</si>
  <si>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</si>
  <si>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</si>
  <si>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</si>
  <si>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</si>
  <si>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</si>
  <si>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</si>
  <si>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</si>
  <si>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</si>
  <si>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</si>
  <si>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</si>
  <si>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</si>
  <si>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</si>
  <si>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</si>
  <si>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</si>
  <si>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</si>
  <si>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</si>
  <si>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</si>
  <si>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</si>
  <si>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</si>
  <si>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</si>
  <si>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</si>
  <si>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</si>
  <si>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</si>
  <si>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</si>
  <si>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</si>
  <si>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</si>
  <si>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</si>
  <si>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</si>
  <si>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</si>
  <si>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</si>
  <si>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</si>
  <si>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</si>
  <si>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</si>
  <si>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</si>
  <si>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</si>
  <si>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</si>
  <si>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</si>
  <si>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</si>
  <si>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</si>
  <si>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</si>
  <si>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</si>
  <si>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</si>
  <si>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</si>
  <si>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</si>
  <si>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</si>
  <si>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</si>
  <si>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</si>
  <si>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</si>
  <si>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</si>
  <si>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</si>
  <si>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</si>
  <si>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</si>
  <si>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</si>
  <si>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</si>
  <si>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</si>
  <si>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</si>
  <si>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</si>
  <si>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</si>
  <si>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</si>
  <si>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</si>
  <si>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</si>
  <si>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</si>
  <si>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</si>
  <si>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</si>
  <si>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</si>
  <si>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</si>
  <si>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</si>
  <si>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</si>
  <si>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</si>
  <si>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</si>
  <si>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</si>
  <si>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</si>
  <si>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</si>
  <si>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</si>
  <si>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</si>
  <si>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</si>
  <si>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</si>
  <si>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</si>
  <si>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</si>
  <si>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</si>
  <si>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</si>
  <si>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</si>
  <si>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</si>
  <si>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</si>
  <si>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</si>
  <si>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</si>
  <si>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</si>
  <si>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</si>
  <si>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</si>
  <si>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</si>
  <si>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</si>
  <si>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</si>
  <si>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</si>
  <si>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</si>
  <si>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</si>
  <si>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</si>
  <si>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</si>
  <si>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</si>
  <si>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</si>
  <si>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</si>
  <si>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</si>
  <si>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</si>
  <si>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</si>
  <si>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</si>
  <si>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</si>
  <si>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</si>
  <si>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</si>
  <si>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</si>
  <si>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</si>
  <si>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</si>
  <si>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</si>
  <si>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</si>
  <si>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</si>
  <si>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</si>
  <si>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</si>
  <si>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</si>
  <si>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</si>
  <si>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</si>
  <si>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</si>
  <si>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</si>
  <si>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</si>
  <si>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</si>
  <si>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</si>
  <si>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</si>
  <si>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</si>
  <si>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</si>
  <si>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</si>
  <si>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</si>
  <si>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</si>
  <si>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</si>
  <si>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</si>
  <si>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</si>
  <si>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</si>
  <si>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</si>
  <si>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</si>
  <si>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</si>
  <si>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</si>
  <si>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</si>
  <si>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</si>
  <si>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</si>
  <si>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</si>
  <si>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</si>
  <si>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</si>
  <si>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</si>
  <si>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</si>
  <si>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</si>
  <si>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</si>
  <si>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</si>
  <si>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</si>
  <si>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</si>
  <si>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</si>
  <si>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</si>
  <si>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</si>
  <si>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</si>
  <si>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</si>
  <si>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</si>
  <si>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</si>
  <si>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</si>
  <si>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</si>
  <si>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</si>
  <si>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</si>
  <si>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</si>
  <si>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</si>
  <si>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</si>
  <si>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</si>
  <si>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</si>
  <si>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</si>
  <si>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</si>
  <si>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</si>
  <si>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</si>
  <si>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</si>
  <si>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</si>
  <si>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</si>
  <si>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</si>
  <si>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</si>
  <si>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</si>
  <si>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</si>
  <si>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</si>
  <si>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</si>
  <si>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</si>
  <si>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</si>
  <si>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</si>
  <si>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</si>
  <si>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</si>
  <si>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</si>
  <si>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</si>
  <si>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</si>
  <si>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</si>
  <si>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</si>
  <si>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</si>
  <si>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</si>
  <si>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</si>
  <si>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</si>
  <si>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</si>
  <si>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</si>
  <si>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</si>
  <si>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</si>
  <si>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</si>
  <si>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</si>
  <si>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</si>
  <si>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</si>
  <si>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</si>
  <si>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</si>
  <si>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</si>
  <si>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</si>
  <si>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</si>
  <si>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</si>
  <si>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</si>
  <si>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</si>
  <si>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</si>
  <si>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</si>
  <si>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</si>
  <si>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</si>
  <si>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</si>
  <si>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</si>
  <si>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</si>
  <si>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</si>
  <si>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</si>
  <si>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</si>
  <si>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</si>
  <si>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</si>
  <si>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</si>
  <si>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</si>
  <si>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</si>
  <si>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</si>
  <si>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</si>
  <si>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</si>
  <si>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</si>
  <si>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</si>
  <si>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</si>
  <si>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</si>
  <si>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</si>
  <si>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</si>
  <si>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</si>
  <si>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</si>
  <si>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</si>
  <si>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</si>
  <si>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</si>
  <si>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</si>
  <si>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</si>
  <si>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</si>
  <si>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</si>
  <si>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</si>
  <si>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</si>
  <si>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</si>
  <si>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</si>
  <si>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</si>
  <si>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</si>
  <si>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</si>
  <si>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</si>
  <si>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</si>
  <si>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</si>
  <si>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</si>
  <si>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</si>
  <si>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</si>
  <si>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</si>
  <si>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</si>
  <si>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</si>
  <si>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</si>
  <si>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</si>
  <si>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</si>
  <si>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</si>
  <si>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</si>
  <si>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</si>
  <si>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</si>
  <si>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</si>
  <si>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</si>
  <si>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</si>
  <si>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</si>
  <si>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</si>
  <si>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</si>
  <si>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</si>
  <si>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</si>
  <si>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</si>
  <si>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</si>
  <si>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</si>
  <si>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</si>
  <si>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</si>
  <si>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</si>
  <si>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</si>
  <si>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</si>
  <si>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</si>
  <si>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</si>
  <si>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</si>
  <si>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</si>
  <si>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</si>
  <si>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</si>
  <si>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</si>
  <si>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</si>
  <si>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</si>
  <si>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</si>
  <si>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</si>
  <si>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</si>
  <si>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</si>
  <si>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</si>
  <si>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</si>
  <si>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</si>
  <si>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</si>
  <si>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</si>
  <si>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</si>
  <si>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</si>
  <si>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</si>
  <si>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</si>
  <si>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</si>
  <si>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</si>
  <si>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</si>
  <si>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</si>
  <si>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</si>
  <si>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</si>
  <si>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</si>
  <si>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</si>
  <si>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</si>
  <si>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</si>
  <si>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</si>
  <si>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</si>
  <si>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</si>
  <si>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</si>
  <si>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</si>
  <si>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</si>
  <si>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</si>
  <si>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</si>
  <si>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</si>
  <si>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</si>
  <si>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</si>
  <si>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</si>
  <si>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</si>
  <si>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</si>
  <si>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</si>
  <si>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</si>
  <si>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</si>
  <si>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</si>
  <si>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</si>
  <si>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</si>
  <si>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</si>
  <si>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</si>
  <si>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</si>
  <si>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</si>
  <si>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</si>
  <si>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</si>
  <si>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</si>
  <si>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</si>
  <si>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</si>
  <si>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</si>
  <si>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</si>
  <si>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</si>
  <si>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</si>
  <si>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</si>
  <si>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</si>
  <si>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</si>
  <si>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</si>
  <si>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</si>
  <si>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</si>
  <si>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</si>
  <si>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</si>
  <si>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</si>
  <si>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</si>
  <si>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</si>
  <si>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</si>
  <si>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</si>
  <si>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</si>
  <si>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</si>
  <si>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</si>
  <si>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</si>
  <si>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</si>
  <si>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</si>
  <si>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</si>
  <si>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</si>
  <si>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</si>
  <si>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</si>
  <si>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</si>
  <si>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</si>
  <si>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</si>
  <si>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</si>
  <si>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</si>
  <si>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</si>
  <si>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</si>
  <si>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</si>
  <si>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</si>
  <si>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</si>
  <si>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</si>
  <si>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</si>
  <si>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</si>
  <si>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</si>
  <si>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</si>
  <si>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</si>
  <si>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</si>
  <si>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</si>
  <si>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</si>
  <si>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</si>
  <si>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</si>
  <si>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</si>
  <si>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</si>
  <si>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</si>
  <si>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</si>
  <si>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</si>
  <si>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</si>
  <si>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</si>
  <si>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</si>
  <si>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</si>
  <si>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</si>
  <si>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</si>
  <si>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</si>
  <si>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</si>
  <si>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</si>
  <si>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</si>
  <si>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</si>
  <si>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</si>
  <si>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</si>
  <si>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</si>
  <si>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</si>
  <si>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</si>
  <si>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</si>
  <si>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</si>
  <si>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</si>
  <si>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</si>
  <si>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</si>
  <si>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</si>
  <si>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</si>
  <si>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</si>
  <si>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</si>
  <si>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</si>
  <si>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</si>
  <si>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</si>
  <si>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</si>
  <si>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</si>
  <si>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</si>
  <si>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</si>
  <si>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</si>
  <si>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</si>
  <si>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</si>
  <si>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</si>
  <si>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</si>
  <si>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</si>
  <si>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</si>
  <si>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</si>
  <si>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</si>
  <si>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</si>
  <si>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</si>
  <si>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</si>
  <si>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</si>
  <si>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</si>
  <si>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</si>
  <si>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</si>
  <si>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</si>
  <si>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</si>
  <si>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</si>
  <si>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</si>
  <si>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</si>
  <si>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</si>
  <si>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</si>
  <si>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</si>
  <si>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</si>
  <si>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</si>
  <si>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</si>
  <si>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</si>
  <si>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</si>
  <si>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</si>
  <si>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</si>
  <si>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</si>
  <si>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</si>
  <si>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</si>
  <si>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</si>
  <si>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</si>
  <si>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</si>
  <si>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</si>
  <si>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</si>
  <si>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</si>
  <si>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</si>
  <si>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</si>
  <si>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</si>
  <si>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</si>
  <si>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</si>
  <si>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</si>
  <si>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</si>
  <si>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</si>
  <si>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</si>
  <si>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</si>
  <si>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</si>
  <si>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</si>
  <si>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</si>
  <si>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</si>
  <si>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</si>
  <si>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</si>
  <si>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</si>
  <si>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</si>
  <si>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</si>
  <si>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</si>
  <si>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</si>
  <si>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</si>
  <si>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</si>
  <si>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</si>
  <si>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</si>
  <si>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</si>
  <si>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</si>
  <si>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</si>
  <si>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</si>
  <si>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</si>
  <si>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</si>
  <si>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</si>
  <si>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</si>
  <si>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</si>
  <si>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</si>
  <si>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</si>
  <si>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</si>
  <si>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</si>
  <si>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</si>
  <si>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</si>
  <si>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</si>
  <si>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</si>
  <si>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</si>
  <si>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</si>
  <si>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</si>
  <si>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</si>
  <si>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</si>
  <si>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</si>
  <si>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</si>
  <si>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</si>
  <si>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</si>
  <si>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</si>
  <si>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</si>
  <si>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</si>
  <si>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</si>
  <si>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</si>
  <si>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</si>
  <si>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</si>
  <si>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</si>
  <si>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</si>
  <si>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</si>
  <si>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</si>
  <si>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</si>
  <si>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</si>
  <si>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</si>
  <si>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</si>
  <si>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</si>
  <si>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</si>
  <si>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</si>
  <si>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</si>
  <si>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</si>
  <si>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</si>
  <si>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</si>
  <si>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</si>
  <si>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</si>
  <si>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</si>
  <si>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</si>
  <si>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</si>
  <si>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</si>
  <si>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</si>
  <si>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</si>
  <si>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</si>
  <si>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</si>
  <si>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</si>
  <si>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</si>
  <si>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</si>
  <si>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</si>
  <si>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</si>
  <si>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</si>
  <si>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</si>
  <si>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</si>
  <si>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</si>
  <si>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</si>
  <si>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</si>
  <si>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</si>
  <si>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</si>
  <si>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</si>
  <si>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</si>
  <si>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</si>
  <si>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</si>
  <si>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</si>
  <si>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</si>
  <si>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</si>
  <si>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</si>
  <si>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</si>
  <si>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</si>
  <si>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</si>
  <si>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</si>
  <si>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</si>
  <si>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</si>
  <si>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</si>
  <si>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</si>
  <si>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</si>
  <si>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</si>
  <si>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</si>
  <si>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</si>
  <si>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</si>
  <si>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</si>
  <si>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</si>
  <si>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</si>
  <si>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</si>
  <si>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</si>
  <si>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</si>
  <si>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</si>
  <si>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</si>
  <si>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</si>
  <si>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</si>
  <si>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</si>
  <si>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</si>
  <si>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</si>
  <si>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</si>
  <si>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</si>
  <si>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</si>
  <si>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</si>
  <si>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</si>
  <si>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</si>
  <si>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</si>
  <si>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</si>
  <si>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</si>
  <si>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</si>
  <si>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</si>
  <si>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</si>
  <si>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</si>
  <si>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</si>
  <si>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</si>
  <si>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</si>
  <si>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</si>
  <si>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</si>
  <si>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</si>
  <si>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</si>
  <si>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</si>
  <si>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</si>
  <si>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</si>
  <si>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</si>
  <si>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</si>
  <si>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</si>
  <si>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</si>
  <si>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</si>
  <si>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</si>
  <si>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</si>
  <si>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</si>
  <si>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</si>
  <si>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</si>
  <si>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</si>
  <si>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</si>
  <si>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</si>
  <si>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</si>
  <si>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</si>
  <si>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</si>
  <si>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</si>
  <si>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</si>
  <si>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</si>
  <si>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</si>
  <si>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</si>
  <si>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</si>
  <si>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</si>
  <si>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</si>
  <si>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</si>
  <si>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</si>
  <si>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</si>
  <si>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</si>
  <si>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</si>
  <si>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</si>
  <si>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</si>
  <si>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</si>
  <si>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</si>
  <si>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</si>
  <si>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</si>
  <si>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</si>
  <si>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</si>
  <si>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</si>
  <si>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</si>
  <si>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</si>
  <si>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</si>
  <si>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</si>
  <si>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</si>
  <si>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</si>
  <si>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</si>
  <si>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</si>
  <si>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</si>
  <si>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</si>
  <si>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</si>
  <si>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</si>
  <si>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</si>
  <si>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</si>
  <si>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</si>
  <si>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</si>
  <si>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</si>
  <si>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</si>
  <si>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</si>
  <si>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</si>
  <si>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</si>
  <si>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</si>
  <si>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</si>
  <si>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</si>
  <si>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</si>
  <si>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</si>
  <si>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</si>
  <si>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</si>
  <si>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</si>
  <si>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</si>
  <si>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</si>
  <si>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</si>
  <si>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</si>
  <si>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</si>
  <si>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</si>
  <si>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</si>
  <si>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</si>
  <si>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</si>
  <si>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</si>
  <si>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</si>
  <si>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</si>
  <si>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</si>
  <si>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</si>
  <si>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</si>
  <si>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</si>
  <si>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</si>
  <si>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</si>
  <si>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</si>
  <si>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</si>
  <si>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</si>
  <si>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</si>
  <si>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</si>
  <si>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</si>
  <si>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</si>
  <si>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</si>
  <si>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</si>
  <si>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</si>
  <si>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</si>
  <si>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</si>
  <si>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</si>
  <si>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</si>
  <si>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</si>
  <si>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</si>
  <si>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</si>
  <si>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</si>
  <si>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</si>
  <si>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</si>
  <si>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</si>
  <si>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</si>
  <si>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</si>
  <si>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</si>
  <si>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</si>
  <si>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</si>
  <si>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</si>
  <si>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</si>
  <si>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</si>
  <si>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</si>
  <si>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</si>
  <si>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</si>
  <si>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</si>
  <si>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</si>
  <si>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</si>
  <si>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</si>
  <si>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</si>
  <si>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</si>
  <si>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</si>
  <si>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</si>
  <si>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</si>
  <si>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</si>
  <si>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</si>
  <si>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</si>
  <si>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</si>
  <si>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</si>
  <si>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</si>
  <si>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</si>
  <si>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</si>
  <si>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</si>
  <si>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</si>
  <si>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</si>
  <si>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</si>
  <si>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</si>
  <si>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</si>
  <si>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</si>
  <si>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</si>
  <si>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</si>
  <si>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</si>
  <si>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</si>
  <si>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</si>
  <si>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</si>
  <si>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</si>
  <si>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</si>
  <si>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</si>
  <si>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</si>
  <si>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</si>
  <si>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</si>
  <si>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</si>
  <si>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</si>
  <si>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</si>
  <si>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</si>
  <si>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</si>
  <si>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</si>
  <si>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</si>
  <si>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</si>
  <si>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</si>
  <si>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</si>
  <si>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</si>
  <si>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</si>
  <si>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</si>
  <si>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</si>
  <si>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</si>
  <si>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</si>
  <si>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</si>
  <si>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</si>
  <si>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</si>
  <si>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</si>
  <si>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</si>
  <si>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</si>
  <si>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</si>
  <si>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</si>
  <si>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</si>
  <si>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</si>
  <si>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</si>
  <si>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</si>
  <si>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</si>
  <si>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</si>
  <si>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</si>
  <si>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</si>
  <si>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</si>
  <si>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</si>
  <si>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</si>
  <si>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</si>
  <si>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</si>
  <si>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</si>
  <si>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</si>
  <si>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</si>
  <si>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</si>
  <si>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</si>
  <si>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</si>
  <si>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</si>
  <si>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</si>
  <si>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</si>
  <si>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</si>
  <si>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</si>
  <si>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</si>
  <si>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</si>
  <si>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</si>
  <si>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</si>
  <si>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</si>
  <si>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</si>
  <si>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</si>
  <si>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</si>
  <si>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</si>
  <si>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</si>
  <si>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</si>
  <si>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</si>
  <si>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</si>
  <si>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</si>
  <si>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</si>
  <si>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</si>
  <si>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</si>
  <si>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</si>
  <si>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</si>
  <si>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</si>
  <si>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</si>
  <si>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</si>
  <si>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</si>
  <si>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</si>
  <si>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</si>
  <si>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</si>
  <si>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</si>
  <si>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</si>
  <si>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</si>
  <si>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</si>
  <si>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</si>
  <si>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</si>
  <si>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</si>
  <si>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</si>
  <si>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</si>
  <si>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</si>
  <si>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</si>
  <si>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</si>
  <si>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</si>
  <si>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</si>
  <si>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</si>
  <si>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</si>
  <si>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</si>
  <si>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</si>
  <si>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</si>
  <si>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</si>
  <si>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</si>
  <si>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</si>
  <si>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</si>
  <si>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</si>
  <si>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</si>
  <si>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</si>
  <si>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</si>
  <si>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</si>
  <si>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</si>
  <si>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</si>
  <si>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</si>
  <si>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</si>
  <si>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</si>
  <si>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</si>
  <si>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</si>
  <si>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</si>
  <si>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</si>
  <si>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</si>
  <si>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</si>
  <si>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</si>
  <si>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</si>
  <si>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</si>
  <si>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</si>
  <si>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</si>
  <si>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</si>
  <si>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</si>
  <si>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</si>
  <si>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</si>
  <si>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</si>
  <si>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</si>
  <si>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</si>
  <si>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</si>
  <si>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</si>
  <si>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</si>
  <si>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</si>
  <si>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</si>
  <si>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</si>
  <si>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</si>
  <si>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</si>
  <si>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</si>
  <si>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</si>
  <si>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</si>
  <si>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</si>
  <si>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</si>
  <si>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</si>
  <si>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</si>
  <si>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</si>
  <si>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</si>
  <si>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</si>
  <si>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</si>
  <si>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</si>
  <si>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</si>
  <si>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</si>
  <si>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</si>
  <si>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</si>
  <si>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</si>
  <si>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</si>
  <si>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</si>
  <si>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</si>
  <si>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</si>
  <si>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</si>
  <si>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</si>
  <si>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</si>
  <si>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</si>
  <si>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</si>
  <si>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</si>
  <si>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</si>
  <si>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</si>
  <si>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</si>
  <si>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</si>
  <si>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</si>
  <si>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</si>
  <si>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</si>
  <si>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</si>
  <si>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</si>
  <si>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</si>
  <si>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</si>
  <si>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</si>
  <si>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</si>
  <si>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</si>
  <si>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</si>
  <si>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</si>
  <si>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</si>
  <si>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</si>
  <si>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</si>
  <si>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</si>
  <si>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</si>
  <si>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</si>
  <si>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</si>
  <si>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</si>
  <si>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</si>
  <si>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</si>
  <si>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</si>
  <si>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</si>
  <si>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</si>
  <si>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</si>
  <si>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</si>
  <si>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</si>
  <si>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</si>
  <si>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</si>
  <si>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</si>
  <si>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</si>
  <si>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</si>
  <si>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</si>
  <si>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</si>
  <si>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</si>
  <si>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</si>
  <si>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</si>
  <si>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</si>
  <si>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</si>
  <si>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</si>
  <si>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</si>
  <si>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</si>
  <si>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</si>
  <si>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</si>
  <si>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</si>
  <si>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</si>
  <si>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</si>
  <si>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</si>
  <si>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</si>
  <si>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</si>
  <si>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</si>
  <si>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</si>
  <si>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</si>
  <si>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</si>
  <si>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</si>
  <si>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</si>
  <si>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</si>
  <si>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</si>
  <si>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</si>
  <si>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</si>
  <si>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</si>
  <si>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</si>
  <si>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</si>
  <si>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</si>
  <si>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</si>
  <si>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</si>
  <si>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</si>
  <si>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</si>
  <si>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</si>
  <si>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</si>
  <si>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</si>
  <si>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</si>
  <si>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</si>
  <si>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</si>
  <si>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</si>
  <si>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</si>
  <si>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</si>
  <si>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</si>
  <si>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</si>
  <si>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</si>
  <si>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</si>
  <si>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</si>
  <si>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</si>
  <si>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</si>
  <si>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</si>
  <si>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</si>
  <si>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</si>
  <si>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</si>
  <si>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</si>
  <si>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</si>
  <si>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</si>
  <si>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</si>
  <si>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</si>
  <si>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</si>
  <si>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</si>
  <si>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</si>
  <si>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</si>
  <si>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</si>
  <si>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</si>
  <si>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</si>
  <si>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</si>
  <si>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</si>
  <si>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</si>
  <si>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</si>
  <si>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</si>
  <si>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</si>
  <si>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</si>
  <si>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</si>
  <si>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</si>
  <si>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</si>
  <si>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</si>
  <si>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</si>
  <si>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</si>
  <si>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</si>
  <si>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</si>
  <si>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</si>
  <si>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</si>
  <si>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</si>
  <si>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</si>
  <si>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</si>
  <si>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</si>
  <si>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</si>
  <si>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</si>
  <si>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</si>
  <si>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</si>
  <si>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</si>
  <si>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</si>
  <si>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</si>
  <si>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</si>
  <si>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</si>
  <si>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</si>
  <si>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</si>
  <si>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</si>
  <si>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</si>
  <si>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</si>
  <si>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</si>
  <si>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</si>
  <si>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</si>
  <si>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</si>
  <si>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</si>
  <si>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</si>
  <si>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</si>
  <si>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</si>
  <si>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</si>
  <si>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</si>
  <si>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</si>
  <si>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</si>
  <si>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</si>
  <si>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</si>
  <si>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</si>
  <si>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</si>
  <si>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</si>
  <si>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</si>
  <si>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</si>
  <si>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</si>
  <si>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</si>
  <si>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</si>
  <si>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</si>
  <si>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</si>
  <si>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</si>
  <si>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</si>
  <si>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</si>
  <si>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</si>
  <si>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</si>
  <si>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</si>
  <si>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</si>
  <si>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</si>
  <si>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</si>
  <si>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</si>
  <si>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</si>
  <si>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</si>
  <si>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</si>
  <si>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</si>
  <si>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</si>
  <si>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</si>
  <si>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</si>
  <si>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</si>
  <si>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</si>
  <si>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</si>
  <si>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</si>
  <si>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</si>
  <si>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</si>
  <si>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</si>
  <si>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</si>
  <si>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</si>
  <si>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</si>
  <si>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</si>
  <si>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</si>
  <si>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</si>
  <si>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</si>
  <si>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</si>
  <si>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</si>
  <si>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</si>
  <si>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</si>
  <si>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</si>
  <si>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</si>
  <si>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</si>
  <si>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</si>
  <si>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</si>
  <si>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</si>
  <si>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</si>
  <si>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</si>
  <si>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</si>
  <si>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</si>
  <si>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</si>
  <si>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</si>
  <si>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</si>
  <si>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</si>
  <si>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</si>
  <si>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</si>
  <si>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</si>
  <si>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</si>
  <si>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</si>
  <si>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</si>
  <si>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</si>
  <si>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</si>
  <si>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</si>
  <si>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</si>
  <si>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</si>
  <si>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</si>
  <si>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</si>
  <si>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</si>
  <si>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</si>
  <si>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</si>
  <si>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</si>
  <si>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</si>
  <si>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</si>
  <si>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</si>
  <si>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</si>
  <si>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</si>
  <si>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</si>
  <si>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</si>
  <si>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</si>
  <si>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</si>
  <si>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</si>
  <si>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</si>
  <si>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</si>
  <si>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</si>
  <si>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</si>
  <si>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</si>
  <si>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</si>
  <si>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</si>
  <si>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</si>
  <si>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</si>
  <si>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</si>
  <si>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</si>
  <si>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</si>
  <si>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</si>
  <si>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</si>
  <si>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</si>
  <si>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</si>
  <si>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</si>
  <si>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</si>
  <si>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</si>
  <si>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</si>
  <si>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</si>
  <si>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</si>
  <si>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</si>
  <si>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</si>
  <si>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</si>
  <si>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</si>
  <si>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</si>
  <si>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</si>
  <si>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</si>
  <si>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</si>
  <si>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</si>
  <si>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</si>
  <si>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</si>
  <si>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</si>
  <si>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</si>
  <si>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</si>
  <si>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</si>
  <si>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</si>
  <si>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</si>
  <si>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</si>
  <si>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</si>
  <si>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</si>
  <si>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</si>
  <si>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</si>
  <si>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</si>
  <si>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</si>
  <si>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</si>
  <si>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</si>
  <si>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</si>
  <si>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</si>
  <si>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</si>
  <si>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</si>
  <si>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</si>
  <si>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</si>
  <si>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</si>
  <si>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</si>
  <si>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</si>
  <si>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</si>
  <si>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</si>
  <si>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</si>
  <si>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</si>
  <si>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</si>
  <si>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</si>
  <si>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</si>
  <si>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</si>
  <si>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</si>
  <si>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</si>
  <si>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</si>
  <si>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</si>
  <si>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</si>
  <si>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</si>
  <si>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</si>
  <si>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</si>
  <si>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</si>
  <si>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</si>
  <si>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</si>
  <si>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</si>
  <si>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</si>
  <si>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</si>
  <si>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</si>
  <si>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</si>
  <si>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</si>
  <si>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</si>
  <si>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</si>
  <si>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</si>
  <si>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</si>
  <si>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</si>
  <si>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</si>
  <si>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</si>
  <si>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</si>
  <si>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</si>
  <si>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</si>
  <si>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</si>
  <si>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</si>
  <si>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</si>
  <si>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</si>
  <si>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</si>
  <si>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</si>
  <si>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</si>
  <si>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</si>
  <si>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</si>
  <si>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</si>
  <si>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</si>
  <si>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</si>
  <si>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</si>
  <si>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</si>
  <si>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</si>
  <si>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</si>
  <si>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</si>
  <si>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</si>
  <si>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</si>
  <si>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</si>
  <si>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</si>
  <si>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</si>
  <si>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</si>
  <si>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</si>
  <si>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</si>
  <si>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</si>
  <si>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</si>
  <si>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</si>
  <si>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</si>
  <si>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</si>
  <si>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</si>
  <si>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</si>
  <si>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</si>
  <si>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</si>
  <si>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</si>
  <si>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</si>
  <si>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</si>
  <si>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</si>
  <si>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</si>
  <si>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</si>
  <si>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</si>
  <si>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</si>
  <si>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</si>
  <si>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</si>
  <si>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</si>
  <si>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</si>
  <si>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</si>
  <si>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</si>
  <si>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</si>
  <si>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</si>
  <si>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</si>
  <si>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</si>
  <si>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</si>
  <si>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</si>
  <si>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</si>
  <si>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</si>
  <si>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</si>
  <si>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</si>
  <si>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</si>
  <si>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</si>
  <si>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</si>
  <si>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</si>
  <si>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</si>
  <si>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</si>
  <si>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</si>
  <si>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</si>
  <si>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</si>
  <si>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</si>
  <si>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</si>
  <si>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</si>
  <si>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</si>
  <si>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</si>
  <si>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</si>
  <si>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</si>
  <si>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</si>
  <si>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</si>
  <si>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</si>
  <si>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</si>
  <si>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</si>
  <si>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</si>
  <si>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</si>
  <si>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</si>
  <si>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</si>
  <si>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</si>
  <si>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</si>
  <si>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</si>
  <si>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</si>
  <si>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</si>
  <si>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</si>
  <si>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</si>
  <si>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</si>
  <si>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</si>
  <si>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</si>
  <si>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</si>
  <si>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</si>
  <si>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</si>
  <si>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</si>
  <si>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</si>
  <si>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</si>
  <si>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</si>
  <si>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</si>
  <si>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</si>
  <si>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</si>
  <si>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</si>
  <si>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</si>
  <si>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</si>
  <si>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</si>
  <si>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</si>
  <si>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</si>
  <si>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</si>
  <si>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</si>
  <si>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</si>
  <si>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</si>
  <si>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</si>
  <si>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</si>
  <si>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</si>
  <si>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</si>
  <si>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</si>
  <si>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</si>
  <si>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</si>
  <si>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</si>
  <si>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</si>
  <si>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</si>
  <si>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</si>
  <si>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</si>
  <si>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</si>
  <si>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</si>
  <si>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</si>
  <si>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</si>
  <si>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</si>
  <si>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</si>
  <si>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</si>
  <si>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</si>
  <si>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</si>
  <si>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</si>
  <si>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</si>
  <si>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</si>
  <si>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</si>
  <si>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</si>
  <si>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</si>
  <si>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</si>
  <si>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</si>
  <si>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</si>
  <si>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</si>
  <si>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</si>
  <si>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</si>
  <si>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</si>
  <si>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</si>
  <si>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</si>
  <si>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</si>
  <si>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</si>
  <si>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</si>
  <si>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</si>
  <si>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</si>
  <si>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</si>
  <si>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</si>
  <si>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</si>
  <si>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</si>
  <si>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</si>
  <si>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</si>
  <si>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</si>
  <si>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</si>
  <si>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</si>
  <si>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</si>
  <si>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</si>
  <si>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</si>
  <si>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</si>
  <si>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</si>
  <si>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</si>
  <si>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</si>
  <si>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</si>
  <si>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</si>
  <si>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</si>
  <si>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</si>
  <si>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</si>
  <si>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</si>
  <si>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</si>
  <si>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</si>
  <si>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</si>
  <si>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</si>
  <si>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</si>
  <si>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</si>
  <si>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</si>
  <si>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</si>
  <si>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</si>
  <si>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</si>
  <si>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</si>
  <si>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</si>
  <si>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</si>
  <si>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</si>
  <si>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</si>
  <si>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</si>
  <si>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</si>
  <si>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</si>
  <si>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</si>
  <si>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</si>
  <si>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</si>
  <si>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</si>
  <si>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</si>
  <si>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</si>
  <si>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</si>
  <si>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</si>
  <si>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</si>
  <si>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</si>
  <si>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</si>
  <si>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</si>
  <si>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</si>
  <si>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</si>
  <si>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</si>
  <si>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</si>
  <si>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</si>
  <si>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</si>
  <si>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</si>
  <si>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</si>
  <si>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</si>
  <si>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</si>
  <si>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</si>
  <si>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</si>
  <si>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</si>
  <si>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</si>
  <si>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</si>
  <si>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</si>
  <si>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</si>
  <si>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</si>
  <si>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</si>
  <si>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</si>
  <si>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</si>
  <si>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</si>
  <si>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</si>
  <si>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</si>
  <si>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</si>
  <si>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</si>
  <si>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</si>
  <si>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</si>
  <si>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</si>
  <si>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</si>
  <si>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</si>
  <si>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</si>
  <si>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</si>
  <si>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</si>
  <si>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</si>
  <si>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</si>
  <si>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</si>
  <si>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</si>
  <si>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</si>
  <si>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</si>
  <si>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</si>
  <si>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</si>
  <si>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</si>
  <si>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</si>
  <si>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</si>
  <si>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</si>
  <si>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</si>
  <si>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</si>
  <si>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</si>
  <si>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</si>
  <si>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</si>
  <si>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</si>
  <si>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</si>
  <si>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</si>
  <si>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</si>
  <si>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</si>
  <si>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</si>
  <si>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</si>
  <si>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</si>
  <si>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</si>
  <si>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</si>
  <si>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</si>
  <si>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</si>
  <si>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</si>
  <si>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</si>
  <si>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</si>
  <si>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</si>
  <si>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</si>
  <si>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</si>
  <si>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</si>
  <si>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</si>
  <si>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</si>
  <si>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</si>
  <si>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</si>
  <si>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</si>
  <si>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</si>
  <si>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</si>
  <si>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</si>
  <si>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</si>
  <si>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</si>
  <si>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</si>
  <si>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</si>
  <si>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</si>
  <si>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</si>
  <si>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</si>
  <si>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</si>
  <si>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</si>
  <si>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</si>
  <si>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</si>
  <si>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</si>
  <si>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</si>
  <si>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</si>
  <si>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</si>
  <si>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</si>
  <si>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</si>
  <si>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</si>
  <si>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</si>
  <si>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</si>
  <si>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</si>
  <si>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</si>
  <si>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</si>
  <si>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</si>
  <si>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</si>
  <si>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</si>
  <si>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</si>
  <si>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</si>
  <si>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</si>
  <si>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</si>
  <si>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</si>
  <si>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</si>
  <si>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</si>
  <si>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</si>
  <si>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</si>
  <si>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</si>
  <si>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</si>
  <si>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</si>
  <si>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</si>
  <si>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</si>
  <si>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</si>
  <si>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</si>
  <si>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</si>
  <si>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</si>
  <si>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</si>
  <si>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</si>
  <si>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</si>
  <si>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</si>
  <si>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</si>
  <si>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</si>
  <si>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</si>
  <si>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</si>
  <si>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</si>
  <si>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</si>
  <si>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</si>
  <si>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</si>
  <si>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</si>
  <si>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</si>
  <si>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</si>
  <si>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</si>
  <si>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</si>
  <si>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</si>
  <si>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</si>
  <si>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</si>
  <si>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</si>
  <si>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</si>
  <si>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</si>
  <si>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</si>
  <si>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</si>
  <si>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</si>
  <si>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</si>
  <si>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</si>
  <si>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</si>
  <si>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</si>
  <si>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</si>
  <si>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</si>
  <si>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</si>
  <si>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</si>
  <si>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</si>
  <si>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</si>
  <si>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</si>
  <si>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</si>
  <si>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</si>
  <si>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</si>
  <si>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</si>
  <si>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</si>
  <si>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</si>
  <si>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</si>
  <si>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</si>
  <si>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</si>
  <si>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</si>
  <si>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</si>
  <si>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</si>
  <si>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</si>
  <si>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</si>
  <si>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</si>
  <si>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</si>
  <si>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</si>
  <si>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</si>
  <si>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</si>
  <si>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</si>
  <si>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</si>
  <si>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</si>
  <si>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</si>
  <si>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</si>
  <si>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</si>
  <si>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</si>
  <si>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</si>
  <si>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</si>
  <si>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</si>
  <si>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</si>
  <si>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</si>
  <si>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</si>
  <si>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</si>
  <si>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</si>
  <si>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</si>
  <si>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</si>
  <si>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</si>
  <si>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</si>
  <si>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</si>
  <si>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</si>
  <si>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</si>
  <si>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</si>
  <si>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</si>
  <si>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</si>
  <si>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</si>
  <si>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</si>
  <si>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</si>
  <si>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</si>
  <si>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</si>
  <si>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</si>
  <si>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</si>
  <si>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</si>
  <si>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</si>
  <si>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</si>
  <si>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</si>
  <si>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</si>
  <si>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</si>
  <si>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</si>
  <si>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</si>
  <si>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</si>
  <si>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</si>
  <si>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</si>
  <si>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</si>
  <si>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</si>
  <si>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</si>
  <si>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</si>
  <si>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</si>
  <si>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</si>
  <si>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</si>
  <si>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</si>
  <si>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</si>
  <si>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</si>
  <si>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</si>
  <si>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</si>
  <si>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</si>
  <si>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</si>
  <si>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</si>
  <si>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</si>
  <si>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</si>
  <si>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</si>
  <si>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</si>
  <si>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</si>
  <si>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</si>
  <si>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</si>
  <si>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</si>
  <si>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</si>
  <si>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</si>
  <si>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</si>
  <si>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</si>
  <si>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</si>
  <si>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</si>
  <si>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</si>
  <si>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</si>
  <si>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</si>
  <si>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</si>
  <si>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</si>
  <si>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</si>
  <si>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</si>
  <si>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</si>
  <si>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</si>
  <si>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</si>
  <si>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</si>
  <si>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</si>
  <si>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</si>
  <si>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</si>
  <si>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</si>
  <si>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</si>
  <si>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</si>
  <si>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</si>
  <si>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</si>
  <si>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</si>
  <si>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</si>
  <si>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</si>
  <si>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</si>
  <si>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</si>
  <si>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</si>
  <si>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</si>
  <si>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</si>
  <si>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</si>
  <si>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</si>
  <si>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</si>
  <si>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</si>
  <si>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</si>
  <si>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</si>
  <si>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</si>
  <si>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</si>
  <si>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</si>
  <si>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</si>
  <si>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</si>
  <si>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</si>
  <si>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</si>
  <si>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</si>
  <si>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</si>
  <si>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</si>
  <si>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</si>
  <si>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</si>
  <si>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</si>
  <si>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</si>
  <si>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</si>
  <si>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</si>
  <si>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</si>
  <si>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</si>
  <si>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</si>
  <si>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</si>
  <si>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</si>
  <si>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</si>
  <si>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</si>
  <si>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</si>
  <si>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</si>
  <si>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</si>
  <si>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</si>
  <si>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</si>
  <si>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</si>
  <si>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</si>
  <si>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</si>
  <si>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</si>
  <si>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</si>
  <si>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</si>
  <si>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</si>
  <si>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</si>
  <si>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</si>
  <si>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</si>
  <si>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</si>
  <si>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</si>
  <si>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</si>
  <si>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</si>
  <si>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</si>
  <si>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</si>
  <si>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</si>
  <si>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</si>
  <si>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</si>
  <si>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</si>
  <si>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</si>
  <si>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</si>
  <si>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</si>
  <si>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</si>
  <si>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 CLAIR</t>
  </si>
  <si>
    <t>125 DIAMOND COURT</t>
  </si>
  <si>
    <t>SHILOH</t>
  </si>
  <si>
    <t>www.shiloh.stclair.k12.il.us</t>
  </si>
  <si>
    <t>DALE F. SAUER</t>
  </si>
  <si>
    <t>dsauer@shi85.org</t>
  </si>
  <si>
    <t>618-632-7434</t>
  </si>
  <si>
    <t>618-632-8343</t>
  </si>
  <si>
    <t>SCHEFFEL BOYLE</t>
  </si>
  <si>
    <t>SUSAN SARFATY</t>
  </si>
  <si>
    <t>ssarfaty@stclair.k12.il.us</t>
  </si>
  <si>
    <t>618-825-3900</t>
  </si>
  <si>
    <t>618-825-3999</t>
  </si>
  <si>
    <t>General Obligation Refunding Bonds, Series 2012</t>
  </si>
  <si>
    <t>Taxable General Obligation School Bonds, Series 2016</t>
  </si>
  <si>
    <t>BRAIN A. OTTEN</t>
  </si>
  <si>
    <t>222 EAST MAIN STREET</t>
  </si>
  <si>
    <t>BELLEVILLE</t>
  </si>
  <si>
    <t>IL</t>
  </si>
  <si>
    <t>618-277-8100</t>
  </si>
  <si>
    <t>618-277-9307</t>
  </si>
  <si>
    <t>065-023476</t>
  </si>
  <si>
    <t>brain.otten@scheffelboyle.com</t>
  </si>
  <si>
    <t>Belleville Area Special Service Cooperative</t>
  </si>
  <si>
    <t>O'Fallon Dist. #90; O'Fallon Dist. #203; Central District #104</t>
  </si>
  <si>
    <t>Page #</t>
  </si>
  <si>
    <t>After School Programs</t>
  </si>
  <si>
    <t>Creative Learning Program - parent payments</t>
  </si>
  <si>
    <t>Other miscellaneous refunds &amp; reimbursements</t>
  </si>
  <si>
    <t>Field Trip Activities</t>
  </si>
  <si>
    <t>Creative Learning Program - State Revenue</t>
  </si>
  <si>
    <t>State Library Grant</t>
  </si>
  <si>
    <t>Service Charges - 2012 G.O. Refunding Bonds</t>
  </si>
  <si>
    <t>-----</t>
  </si>
  <si>
    <t xml:space="preserve">Special Education </t>
  </si>
  <si>
    <t>10-2300-300</t>
  </si>
  <si>
    <t>Scheffel Boyle</t>
  </si>
  <si>
    <t>ATIS Elevator Inspections LLC</t>
  </si>
  <si>
    <t>80-2300-300</t>
  </si>
  <si>
    <t>10-2560-300</t>
  </si>
  <si>
    <t>Belleville District #118 Food Service</t>
  </si>
  <si>
    <t>10-2540-300</t>
  </si>
  <si>
    <t>10-3000-400</t>
  </si>
  <si>
    <t>Illinois Central School Bus</t>
  </si>
  <si>
    <t>40-2550-300</t>
  </si>
  <si>
    <t>10-1000-400</t>
  </si>
  <si>
    <t>Brechts Database Solutions</t>
  </si>
  <si>
    <t>Century Elevator Service</t>
  </si>
  <si>
    <t>Tort-Support Svcs General Admin.-Purchased Svcs</t>
  </si>
  <si>
    <t>ED-Support Svcs General Admin. - Purchased Svcs</t>
  </si>
  <si>
    <t>ED-Business Food Services-Purchased Svcs</t>
  </si>
  <si>
    <t>ED-Business Oper. &amp; Maint. Plant Svcs-Purchased Svcs</t>
  </si>
  <si>
    <t>ED-Community Svcs-Supplies &amp; Materials</t>
  </si>
  <si>
    <t>Transportation-Business Pupil Transportation-Purchased Svcs</t>
  </si>
  <si>
    <t>ED-Instruction-Supplies &amp; Materials</t>
  </si>
  <si>
    <t>ED-Instruction-Employee Benefits</t>
  </si>
  <si>
    <t>10-1000-200</t>
  </si>
  <si>
    <t>Cigna Health Care</t>
  </si>
  <si>
    <t>Belleville School District #118</t>
  </si>
  <si>
    <t>Special Education Cooperatives: O'Fallon District #90; Belle Valley School District #119; Whiteside District #115; Regional Office of Education; Grant-Illini District #110</t>
  </si>
  <si>
    <t>Disclosure filing fees - 2012 G.O. Refunding Bonds</t>
  </si>
  <si>
    <t>Mobile home privilege taxes</t>
  </si>
  <si>
    <t>Shiloh Village SD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</si>
</sst>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0" fontId="3" fillId="0" borderId="0"/>
    <xf numFmtId="0" fontId="3" fillId="0" borderId="0"/>
  </cellStyleXfs>
  <cellXfs count="25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81" fontId="57" fillId="0" borderId="166" xfId="19" applyNumberFormat="1" applyFont="1" applyBorder="1"/>
    <xf numFmtId="181" fontId="57" fillId="0" borderId="0" xfId="1" applyNumberFormat="1" applyFont="1"/>
    <xf numFmtId="181" fontId="57" fillId="0" borderId="0" xfId="19" applyNumberFormat="1" applyFont="1"/>
    <xf numFmtId="0" fontId="57" fillId="0" borderId="0" xfId="0" applyFont="1" applyAlignment="1">
      <alignment horizontal="center"/>
    </xf>
    <xf numFmtId="181" fontId="57" fillId="0" borderId="0" xfId="0" applyNumberFormat="1" applyFont="1"/>
    <xf numFmtId="0" fontId="0" fillId="0" borderId="0" xfId="0"/>
    <xf numFmtId="164" fontId="11" fillId="0" borderId="0" xfId="0" applyNumberFormat="1" applyFont="1"/>
    <xf numFmtId="0" fontId="10" fillId="0" borderId="78" xfId="0" applyFont="1" applyBorder="1" applyAlignment="1">
      <alignment horizontal="center"/>
    </xf>
    <xf numFmtId="182" fontId="57" fillId="0" borderId="0" xfId="1" applyNumberFormat="1" applyFont="1"/>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top"/>
      <protection locked="0"/>
    </xf>
    <xf numFmtId="0" fontId="10" fillId="0" borderId="0" xfId="3" quotePrefix="1" applyFont="1" applyAlignment="1">
      <alignment horizontal="center"/>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
    <cellStyle name="Comma" xfId="1" builtinId="3"/>
    <cellStyle name="Currency" xfId="19" builtinId="4"/>
    <cellStyle name="Currency 2" xfId="25"/>
    <cellStyle name="Hyperlink" xfId="2" builtinId="8"/>
    <cellStyle name="Hyperlink 2" xfId="15"/>
    <cellStyle name="Normal" xfId="0" builtinId="0"/>
    <cellStyle name="Normal 2" xfId="3"/>
    <cellStyle name="Normal 3" xfId="4"/>
    <cellStyle name="Normal 3 2" xfId="14"/>
    <cellStyle name="Normal 3 2 2" xfId="18"/>
    <cellStyle name="Normal 3 2 2 2" xfId="24"/>
    <cellStyle name="Normal 3 2 3" xfId="27"/>
    <cellStyle name="Normal 3 2 4" xfId="21"/>
    <cellStyle name="Normal 3 3" xfId="23"/>
    <cellStyle name="Normal 3 4" xfId="26"/>
    <cellStyle name="Normal 3 5" xfId="20"/>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7" t="s">
        <v>425</v>
      </c>
      <c r="J1" s="2048"/>
      <c r="K1" s="2048"/>
      <c r="L1" s="2048"/>
      <c r="M1" s="2048"/>
      <c r="N1" s="2048"/>
      <c r="O1" s="2048"/>
      <c r="P1" s="2048"/>
      <c r="Q1" s="2048"/>
      <c r="R1" s="2048"/>
      <c r="S1" s="2048"/>
    </row>
    <row r="2" spans="1:28" ht="12" customHeight="1" x14ac:dyDescent="0.2">
      <c r="A2" s="47" t="s">
        <v>1684</v>
      </c>
      <c r="D2" s="48"/>
      <c r="I2" s="2049" t="s">
        <v>1036</v>
      </c>
      <c r="J2" s="2048"/>
      <c r="K2" s="2048"/>
      <c r="L2" s="2048"/>
      <c r="M2" s="2048"/>
      <c r="N2" s="2048"/>
      <c r="O2" s="2048"/>
      <c r="P2" s="2048"/>
      <c r="Q2" s="2048"/>
      <c r="R2" s="2048"/>
      <c r="S2" s="2048"/>
    </row>
    <row r="3" spans="1:28" ht="12" customHeight="1" x14ac:dyDescent="0.2">
      <c r="A3" s="155" t="s">
        <v>1685</v>
      </c>
      <c r="B3" s="156"/>
      <c r="C3" s="156"/>
      <c r="D3" s="157"/>
      <c r="I3" s="2049" t="s">
        <v>54</v>
      </c>
      <c r="J3" s="2048"/>
      <c r="K3" s="2048"/>
      <c r="L3" s="2048"/>
      <c r="M3" s="2048"/>
      <c r="N3" s="2048"/>
      <c r="O3" s="2048"/>
      <c r="P3" s="2048"/>
      <c r="Q3" s="2048"/>
      <c r="R3" s="2048"/>
      <c r="S3" s="2048"/>
    </row>
    <row r="4" spans="1:28" ht="12" customHeight="1" x14ac:dyDescent="0.2">
      <c r="A4" s="37"/>
      <c r="I4" s="2049" t="s">
        <v>545</v>
      </c>
      <c r="J4" s="2048"/>
      <c r="K4" s="2048"/>
      <c r="L4" s="2048"/>
      <c r="M4" s="2048"/>
      <c r="N4" s="2048"/>
      <c r="O4" s="2048"/>
      <c r="P4" s="2048"/>
      <c r="Q4" s="2048"/>
      <c r="R4" s="2048"/>
      <c r="S4" s="2048"/>
    </row>
    <row r="5" spans="1:28" ht="14.1" customHeight="1" x14ac:dyDescent="0.2">
      <c r="B5" s="104" t="s">
        <v>2077</v>
      </c>
      <c r="C5" s="26" t="s">
        <v>966</v>
      </c>
      <c r="D5" s="84"/>
      <c r="E5" s="84"/>
      <c r="H5" s="38"/>
      <c r="I5" s="2056" t="s">
        <v>701</v>
      </c>
      <c r="J5" s="2001"/>
      <c r="K5" s="2001"/>
      <c r="L5" s="2001"/>
      <c r="M5" s="2001"/>
      <c r="N5" s="2001"/>
      <c r="O5" s="2001"/>
      <c r="P5" s="2001"/>
      <c r="Q5" s="2001"/>
      <c r="R5" s="2001"/>
      <c r="S5" s="2001"/>
    </row>
    <row r="6" spans="1:28" ht="14.1" customHeight="1" x14ac:dyDescent="0.2">
      <c r="B6" s="104"/>
      <c r="C6" s="26" t="s">
        <v>967</v>
      </c>
      <c r="D6" s="84"/>
      <c r="E6" s="84"/>
      <c r="I6" s="2055" t="s">
        <v>938</v>
      </c>
      <c r="J6" s="2001"/>
      <c r="K6" s="2001"/>
      <c r="L6" s="2001"/>
      <c r="M6" s="2001"/>
      <c r="N6" s="2001"/>
      <c r="O6" s="2001"/>
      <c r="P6" s="2001"/>
      <c r="Q6" s="2001"/>
      <c r="R6" s="2001"/>
      <c r="S6" s="2001"/>
    </row>
    <row r="7" spans="1:28" ht="12.2" customHeight="1" x14ac:dyDescent="0.2">
      <c r="I7" s="2050">
        <v>43281</v>
      </c>
      <c r="J7" s="2051"/>
      <c r="K7" s="2051"/>
      <c r="L7" s="2051"/>
      <c r="M7" s="2051"/>
      <c r="N7" s="2051"/>
      <c r="O7" s="2051"/>
      <c r="P7" s="2051"/>
      <c r="Q7" s="2051"/>
      <c r="R7" s="2051"/>
      <c r="S7" s="205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2" t="s">
        <v>695</v>
      </c>
      <c r="J9" s="2053"/>
      <c r="K9" s="2053"/>
      <c r="L9" s="2053"/>
      <c r="M9" s="2053"/>
      <c r="N9" s="2053"/>
      <c r="O9" s="2053"/>
      <c r="P9" s="2053"/>
      <c r="Q9" s="2053"/>
      <c r="R9" s="2053"/>
      <c r="S9" s="2054"/>
      <c r="T9" s="1997" t="s">
        <v>554</v>
      </c>
      <c r="U9" s="1998"/>
      <c r="V9" s="1998"/>
      <c r="W9" s="1998"/>
      <c r="X9" s="1998"/>
      <c r="Y9" s="1998"/>
      <c r="Z9" s="1998"/>
      <c r="AA9" s="1999"/>
    </row>
    <row r="10" spans="1:28" ht="13.5" customHeight="1" x14ac:dyDescent="0.2">
      <c r="A10" s="2006" t="s">
        <v>696</v>
      </c>
      <c r="B10" s="2007"/>
      <c r="C10" s="2007"/>
      <c r="D10" s="2007"/>
      <c r="E10" s="2007"/>
      <c r="F10" s="2007"/>
      <c r="G10" s="2007"/>
      <c r="H10" s="2008"/>
      <c r="I10" s="29"/>
      <c r="J10" s="30"/>
      <c r="K10" s="28"/>
      <c r="R10" s="30"/>
      <c r="S10" s="30"/>
      <c r="T10" s="2000"/>
      <c r="U10" s="2001"/>
      <c r="V10" s="2001"/>
      <c r="W10" s="2001"/>
      <c r="X10" s="2001"/>
      <c r="Y10" s="2001"/>
      <c r="Z10" s="2001"/>
      <c r="AA10" s="2002"/>
    </row>
    <row r="11" spans="1:28" ht="14.25" customHeight="1" x14ac:dyDescent="0.2">
      <c r="A11" s="2009" t="s">
        <v>1012</v>
      </c>
      <c r="B11" s="2010"/>
      <c r="C11" s="2010"/>
      <c r="D11" s="2010"/>
      <c r="E11" s="2010"/>
      <c r="F11" s="2010"/>
      <c r="G11" s="2010"/>
      <c r="H11" s="2011"/>
      <c r="I11" s="27"/>
      <c r="J11" s="74"/>
      <c r="K11" s="27"/>
      <c r="O11" s="148" t="s">
        <v>2077</v>
      </c>
      <c r="P11" s="100" t="s">
        <v>210</v>
      </c>
      <c r="Q11" s="30"/>
      <c r="R11" s="28"/>
      <c r="S11" s="27"/>
      <c r="T11" s="2003"/>
      <c r="U11" s="2004"/>
      <c r="V11" s="2004"/>
      <c r="W11" s="2004"/>
      <c r="X11" s="2004"/>
      <c r="Y11" s="2004"/>
      <c r="Z11" s="2004"/>
      <c r="AA11" s="200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7">
        <v>50082085002</v>
      </c>
      <c r="B13" s="2018"/>
      <c r="C13" s="2018"/>
      <c r="D13" s="2018"/>
      <c r="E13" s="2018"/>
      <c r="F13" s="2018"/>
      <c r="G13" s="2018"/>
      <c r="H13" s="2019"/>
      <c r="I13" s="31"/>
      <c r="J13" s="30"/>
      <c r="K13" s="28"/>
      <c r="L13" s="30"/>
      <c r="M13" s="30"/>
      <c r="N13" s="30"/>
      <c r="O13" s="30"/>
      <c r="P13" s="30"/>
      <c r="Q13" s="30"/>
      <c r="R13" s="30"/>
      <c r="S13" s="30"/>
      <c r="T13" s="2022" t="s">
        <v>2086</v>
      </c>
      <c r="U13" s="2023"/>
      <c r="V13" s="2023"/>
      <c r="W13" s="2023"/>
      <c r="X13" s="2023"/>
      <c r="Y13" s="2024"/>
      <c r="Z13" s="2024"/>
      <c r="AA13" s="202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5" t="s">
        <v>2078</v>
      </c>
      <c r="B15" s="2020"/>
      <c r="C15" s="2020"/>
      <c r="D15" s="2020"/>
      <c r="E15" s="2020"/>
      <c r="F15" s="2020"/>
      <c r="G15" s="2020"/>
      <c r="H15" s="2021"/>
      <c r="T15" s="1983" t="s">
        <v>2093</v>
      </c>
      <c r="U15" s="1984"/>
      <c r="V15" s="1984"/>
      <c r="W15" s="1984"/>
      <c r="X15" s="1984"/>
      <c r="Y15" s="2026"/>
      <c r="Z15" s="2026"/>
      <c r="AA15" s="202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5" t="s">
        <v>2140</v>
      </c>
      <c r="B17" s="2045"/>
      <c r="C17" s="2045"/>
      <c r="D17" s="2045"/>
      <c r="E17" s="2045"/>
      <c r="F17" s="2045"/>
      <c r="G17" s="2045"/>
      <c r="H17" s="2046"/>
      <c r="T17" s="2032" t="s">
        <v>2094</v>
      </c>
      <c r="U17" s="2033"/>
      <c r="V17" s="2033"/>
      <c r="W17" s="2033"/>
      <c r="X17" s="2033"/>
      <c r="Y17" s="2033"/>
      <c r="Z17" s="2033"/>
      <c r="AA17" s="2034"/>
    </row>
    <row r="18" spans="1:27" ht="13.5" customHeight="1" x14ac:dyDescent="0.2">
      <c r="A18" s="85" t="s">
        <v>551</v>
      </c>
      <c r="B18" s="76"/>
      <c r="C18" s="72"/>
      <c r="D18" s="76"/>
      <c r="E18" s="76"/>
      <c r="F18" s="76"/>
      <c r="G18" s="76"/>
      <c r="H18" s="56"/>
      <c r="I18" s="2042" t="s">
        <v>697</v>
      </c>
      <c r="J18" s="2043"/>
      <c r="K18" s="2043"/>
      <c r="L18" s="2043"/>
      <c r="M18" s="2043"/>
      <c r="N18" s="2043"/>
      <c r="O18" s="2043"/>
      <c r="P18" s="2043"/>
      <c r="Q18" s="2043"/>
      <c r="R18" s="2043"/>
      <c r="S18" s="2044"/>
      <c r="T18" s="85" t="s">
        <v>735</v>
      </c>
      <c r="U18" s="51"/>
      <c r="V18" s="72"/>
      <c r="W18" s="50"/>
      <c r="X18" s="85" t="s">
        <v>284</v>
      </c>
      <c r="Y18" s="81"/>
      <c r="Z18" s="159" t="s">
        <v>698</v>
      </c>
      <c r="AA18" s="46"/>
    </row>
    <row r="19" spans="1:27" ht="13.5" customHeight="1" x14ac:dyDescent="0.2">
      <c r="A19" s="2015" t="s">
        <v>2079</v>
      </c>
      <c r="B19" s="2016"/>
      <c r="C19" s="2016"/>
      <c r="D19" s="2016"/>
      <c r="E19" s="2016"/>
      <c r="F19" s="2016"/>
      <c r="G19" s="2016"/>
      <c r="H19" s="2014"/>
      <c r="I19" s="30"/>
      <c r="J19" s="99"/>
      <c r="K19" s="40"/>
      <c r="L19" s="38"/>
      <c r="M19" s="112" t="s">
        <v>333</v>
      </c>
      <c r="P19" s="27"/>
      <c r="Q19" s="27"/>
      <c r="R19" s="27"/>
      <c r="S19" s="31"/>
      <c r="T19" s="2015" t="s">
        <v>2095</v>
      </c>
      <c r="U19" s="2013"/>
      <c r="V19" s="2013"/>
      <c r="W19" s="2014"/>
      <c r="X19" s="2030" t="s">
        <v>2096</v>
      </c>
      <c r="Y19" s="2031"/>
      <c r="Z19" s="2028">
        <v>62220</v>
      </c>
      <c r="AA19" s="202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2" t="s">
        <v>2080</v>
      </c>
      <c r="B21" s="2013"/>
      <c r="C21" s="2013"/>
      <c r="D21" s="2013"/>
      <c r="E21" s="2013"/>
      <c r="F21" s="2013"/>
      <c r="G21" s="2013"/>
      <c r="H21" s="2014"/>
      <c r="I21" s="2038" t="s">
        <v>699</v>
      </c>
      <c r="J21" s="2001"/>
      <c r="K21" s="2001"/>
      <c r="L21" s="2001"/>
      <c r="M21" s="2001"/>
      <c r="N21" s="2001"/>
      <c r="O21" s="2001"/>
      <c r="P21" s="2001"/>
      <c r="Q21" s="2001"/>
      <c r="R21" s="2001"/>
      <c r="S21" s="2002"/>
      <c r="T21" s="1980" t="s">
        <v>2097</v>
      </c>
      <c r="U21" s="1981"/>
      <c r="V21" s="1981"/>
      <c r="W21" s="1981"/>
      <c r="X21" s="1994" t="s">
        <v>2098</v>
      </c>
      <c r="Y21" s="1995"/>
      <c r="Z21" s="1995"/>
      <c r="AA21" s="1996"/>
    </row>
    <row r="22" spans="1:27" ht="13.5" customHeight="1" x14ac:dyDescent="0.2">
      <c r="A22" s="87" t="s">
        <v>552</v>
      </c>
      <c r="B22" s="59"/>
      <c r="C22" s="59"/>
      <c r="D22" s="59"/>
      <c r="E22" s="59"/>
      <c r="F22" s="59"/>
      <c r="G22" s="59"/>
      <c r="H22" s="60"/>
      <c r="I22" s="2039" t="s">
        <v>1504</v>
      </c>
      <c r="J22" s="2040"/>
      <c r="K22" s="2040"/>
      <c r="L22" s="2040"/>
      <c r="M22" s="2040"/>
      <c r="N22" s="2040"/>
      <c r="O22" s="2040"/>
      <c r="P22" s="2040"/>
      <c r="Q22" s="2040"/>
      <c r="R22" s="2040"/>
      <c r="S22" s="2041"/>
      <c r="T22" s="85" t="s">
        <v>1596</v>
      </c>
      <c r="U22" s="51"/>
      <c r="V22" s="72"/>
      <c r="W22" s="51"/>
      <c r="X22" s="160" t="s">
        <v>1385</v>
      </c>
      <c r="Z22" s="45"/>
      <c r="AA22" s="46"/>
    </row>
    <row r="23" spans="1:27" ht="13.5" customHeight="1" x14ac:dyDescent="0.2">
      <c r="A23" s="2035" t="s">
        <v>2081</v>
      </c>
      <c r="B23" s="2036"/>
      <c r="C23" s="2036"/>
      <c r="D23" s="2036"/>
      <c r="E23" s="2036"/>
      <c r="F23" s="2036"/>
      <c r="G23" s="2036"/>
      <c r="H23" s="2037"/>
      <c r="T23" s="1975" t="s">
        <v>2099</v>
      </c>
      <c r="U23" s="1976"/>
      <c r="V23" s="1976"/>
      <c r="W23" s="1976"/>
      <c r="X23" s="1991">
        <v>44469</v>
      </c>
      <c r="Y23" s="1992"/>
      <c r="Z23" s="1992"/>
      <c r="AA23" s="1993"/>
    </row>
    <row r="24" spans="1:27" ht="14.1" customHeight="1" x14ac:dyDescent="0.2">
      <c r="A24" s="88" t="s">
        <v>698</v>
      </c>
      <c r="B24" s="49"/>
      <c r="C24" s="49"/>
      <c r="D24" s="49"/>
      <c r="E24" s="49"/>
      <c r="F24" s="49"/>
      <c r="G24" s="49"/>
      <c r="H24" s="61"/>
      <c r="J24" s="2077">
        <f>IF(B5="x",IF(AUDITCHECK!D29="AFR form Incomplete.","",IF(AUDITCHECK!D29="Deficit reduction plan is required.","School District must complete a deficit reduction plan in the 2018-2019 Budget",)),"")</f>
        <v>0</v>
      </c>
      <c r="K24" s="2077"/>
      <c r="L24" s="2077"/>
      <c r="M24" s="2077"/>
      <c r="N24" s="2077"/>
      <c r="O24" s="2077"/>
      <c r="P24" s="2077"/>
      <c r="Q24" s="2077"/>
      <c r="R24" s="2077"/>
      <c r="S24" s="2078"/>
      <c r="T24" s="105" t="s">
        <v>552</v>
      </c>
      <c r="U24" s="106"/>
      <c r="V24" s="106"/>
      <c r="W24" s="106"/>
      <c r="X24" s="107"/>
      <c r="Y24" s="107"/>
      <c r="Z24" s="107"/>
      <c r="AA24" s="108"/>
    </row>
    <row r="25" spans="1:27" ht="14.1" customHeight="1" x14ac:dyDescent="0.2">
      <c r="A25" s="2012">
        <v>62269</v>
      </c>
      <c r="B25" s="2013"/>
      <c r="C25" s="2013"/>
      <c r="D25" s="2013"/>
      <c r="E25" s="2013"/>
      <c r="F25" s="2013"/>
      <c r="G25" s="2013"/>
      <c r="H25" s="2014"/>
      <c r="I25" s="113"/>
      <c r="J25" s="2079"/>
      <c r="K25" s="2079"/>
      <c r="L25" s="2079"/>
      <c r="M25" s="2079"/>
      <c r="N25" s="2079"/>
      <c r="O25" s="2079"/>
      <c r="P25" s="2079"/>
      <c r="Q25" s="2079"/>
      <c r="R25" s="2079"/>
      <c r="S25" s="2080"/>
      <c r="T25" s="1972" t="s">
        <v>2100</v>
      </c>
      <c r="U25" s="1973"/>
      <c r="V25" s="1973"/>
      <c r="W25" s="1973"/>
      <c r="X25" s="1973"/>
      <c r="Y25" s="1973"/>
      <c r="Z25" s="1973"/>
      <c r="AA25" s="19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0" t="s">
        <v>1591</v>
      </c>
      <c r="J27" s="2043"/>
      <c r="K27" s="2043"/>
      <c r="L27" s="2043"/>
      <c r="M27" s="2043"/>
      <c r="N27" s="2043"/>
      <c r="O27" s="2043"/>
      <c r="P27" s="2043"/>
      <c r="Q27" s="2043"/>
      <c r="R27" s="2043"/>
      <c r="S27" s="204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6"/>
      <c r="Q35" s="2013"/>
      <c r="R35" s="20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5" t="s">
        <v>2082</v>
      </c>
      <c r="B38" s="2045"/>
      <c r="C38" s="2045"/>
      <c r="D38" s="2045"/>
      <c r="E38" s="2045"/>
      <c r="F38" s="2013"/>
      <c r="G38" s="2013"/>
      <c r="H38" s="2014"/>
      <c r="I38" s="2064"/>
      <c r="J38" s="1984"/>
      <c r="K38" s="1984"/>
      <c r="L38" s="1984"/>
      <c r="M38" s="1984"/>
      <c r="N38" s="1984"/>
      <c r="O38" s="1984"/>
      <c r="P38" s="1985"/>
      <c r="Q38" s="1985"/>
      <c r="R38" s="1985"/>
      <c r="S38" s="1986"/>
      <c r="T38" s="1983" t="s">
        <v>2087</v>
      </c>
      <c r="U38" s="1984"/>
      <c r="V38" s="1984"/>
      <c r="W38" s="1984"/>
      <c r="X38" s="1985"/>
      <c r="Y38" s="1985"/>
      <c r="Z38" s="1985"/>
      <c r="AA38" s="1986"/>
    </row>
    <row r="39" spans="1:27" ht="12" customHeight="1" x14ac:dyDescent="0.2">
      <c r="A39" s="2068" t="s">
        <v>552</v>
      </c>
      <c r="B39" s="2069"/>
      <c r="C39" s="72"/>
      <c r="D39" s="69"/>
      <c r="E39" s="69"/>
      <c r="F39" s="79"/>
      <c r="G39" s="69"/>
      <c r="H39" s="56"/>
      <c r="I39" s="2068" t="s">
        <v>552</v>
      </c>
      <c r="J39" s="2069"/>
      <c r="K39" s="2069"/>
      <c r="L39" s="2069"/>
      <c r="M39" s="2069"/>
      <c r="N39" s="67"/>
      <c r="O39" s="72"/>
      <c r="P39" s="72"/>
      <c r="Q39" s="78"/>
      <c r="R39" s="72"/>
      <c r="S39" s="56"/>
      <c r="T39" s="72" t="s">
        <v>552</v>
      </c>
      <c r="U39" s="51"/>
      <c r="V39" s="72"/>
      <c r="W39" s="50"/>
      <c r="X39" s="78"/>
      <c r="Y39" s="45"/>
      <c r="Z39" s="45"/>
      <c r="AA39" s="46"/>
    </row>
    <row r="40" spans="1:27" ht="13.5" customHeight="1" x14ac:dyDescent="0.2">
      <c r="A40" s="2071" t="s">
        <v>2083</v>
      </c>
      <c r="B40" s="2072"/>
      <c r="C40" s="2073"/>
      <c r="D40" s="2073"/>
      <c r="E40" s="2073"/>
      <c r="F40" s="2074"/>
      <c r="G40" s="2074"/>
      <c r="H40" s="2075"/>
      <c r="I40" s="1987"/>
      <c r="J40" s="1989"/>
      <c r="K40" s="1989"/>
      <c r="L40" s="1989"/>
      <c r="M40" s="1989"/>
      <c r="N40" s="1989"/>
      <c r="O40" s="1989"/>
      <c r="P40" s="1989"/>
      <c r="Q40" s="1989"/>
      <c r="R40" s="1989"/>
      <c r="S40" s="1990"/>
      <c r="T40" s="1987" t="s">
        <v>2088</v>
      </c>
      <c r="U40" s="1988"/>
      <c r="V40" s="1989"/>
      <c r="W40" s="1989"/>
      <c r="X40" s="1989"/>
      <c r="Y40" s="1989"/>
      <c r="Z40" s="1989"/>
      <c r="AA40" s="199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1" t="s">
        <v>2084</v>
      </c>
      <c r="B42" s="2062"/>
      <c r="C42" s="2063"/>
      <c r="D42" s="2076" t="s">
        <v>2085</v>
      </c>
      <c r="E42" s="2062"/>
      <c r="F42" s="2062"/>
      <c r="G42" s="2062"/>
      <c r="H42" s="2063"/>
      <c r="I42" s="1982"/>
      <c r="J42" s="1978"/>
      <c r="K42" s="1978"/>
      <c r="L42" s="1978"/>
      <c r="M42" s="1978"/>
      <c r="N42" s="1978"/>
      <c r="O42" s="1979"/>
      <c r="P42" s="1977"/>
      <c r="Q42" s="1978"/>
      <c r="R42" s="1978"/>
      <c r="S42" s="1979"/>
      <c r="T42" s="1982" t="s">
        <v>2089</v>
      </c>
      <c r="U42" s="1978"/>
      <c r="V42" s="1978"/>
      <c r="W42" s="1979"/>
      <c r="X42" s="1977" t="s">
        <v>2090</v>
      </c>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5"/>
      <c r="B44" s="2066"/>
      <c r="C44" s="2066"/>
      <c r="D44" s="2066"/>
      <c r="E44" s="2066"/>
      <c r="F44" s="2066"/>
      <c r="G44" s="2066"/>
      <c r="H44" s="2067"/>
      <c r="I44" s="2057"/>
      <c r="J44" s="2059"/>
      <c r="K44" s="2059"/>
      <c r="L44" s="2059"/>
      <c r="M44" s="2059"/>
      <c r="N44" s="2059"/>
      <c r="O44" s="2059"/>
      <c r="P44" s="2059"/>
      <c r="Q44" s="2059"/>
      <c r="R44" s="2059"/>
      <c r="S44" s="2060"/>
      <c r="T44" s="2057"/>
      <c r="U44" s="2058"/>
      <c r="V44" s="2058"/>
      <c r="W44" s="2058"/>
      <c r="X44" s="2058"/>
      <c r="Y44" s="2058"/>
      <c r="Z44" s="2059"/>
      <c r="AA44" s="206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8" sqref="A2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4" t="s">
        <v>1905</v>
      </c>
      <c r="B2" s="1549" t="s">
        <v>2037</v>
      </c>
      <c r="C2" s="715" t="s">
        <v>1910</v>
      </c>
      <c r="D2" s="715" t="s">
        <v>1911</v>
      </c>
      <c r="E2" s="715" t="s">
        <v>1912</v>
      </c>
      <c r="F2" s="715" t="s">
        <v>1913</v>
      </c>
    </row>
    <row r="3" spans="1:6" ht="12" customHeight="1" x14ac:dyDescent="0.2">
      <c r="A3" s="2215"/>
      <c r="B3" s="1546"/>
      <c r="C3" s="1547"/>
      <c r="D3" s="1548" t="s">
        <v>274</v>
      </c>
      <c r="E3" s="1547"/>
      <c r="F3" s="1548" t="s">
        <v>275</v>
      </c>
    </row>
    <row r="4" spans="1:6" ht="13.7" customHeight="1" x14ac:dyDescent="0.2">
      <c r="A4" s="716" t="s">
        <v>1217</v>
      </c>
      <c r="B4" s="1770">
        <f>'Revenues 9-14'!C5</f>
        <v>1512040</v>
      </c>
      <c r="C4" s="1545">
        <v>387393</v>
      </c>
      <c r="D4" s="1773">
        <f>B4-C4</f>
        <v>1124647</v>
      </c>
      <c r="E4" s="1545">
        <v>1346193</v>
      </c>
      <c r="F4" s="1773">
        <f>E4-C4</f>
        <v>958800</v>
      </c>
    </row>
    <row r="5" spans="1:6" ht="13.7" customHeight="1" x14ac:dyDescent="0.2">
      <c r="A5" s="716" t="s">
        <v>925</v>
      </c>
      <c r="B5" s="1771">
        <f>'Revenues 9-14'!D5</f>
        <v>526341</v>
      </c>
      <c r="C5" s="585">
        <v>134851</v>
      </c>
      <c r="D5" s="1774">
        <f t="shared" ref="D5:D18" si="0">B5-C5</f>
        <v>391490</v>
      </c>
      <c r="E5" s="585">
        <v>468611</v>
      </c>
      <c r="F5" s="1774">
        <f>E5-C5</f>
        <v>333760</v>
      </c>
    </row>
    <row r="6" spans="1:6" ht="13.7" customHeight="1" x14ac:dyDescent="0.2">
      <c r="A6" s="716" t="s">
        <v>431</v>
      </c>
      <c r="B6" s="1771">
        <f>'Revenues 9-14'!E5</f>
        <v>703216</v>
      </c>
      <c r="C6" s="585">
        <v>180187</v>
      </c>
      <c r="D6" s="1774">
        <f t="shared" si="0"/>
        <v>523029</v>
      </c>
      <c r="E6" s="585">
        <v>626150</v>
      </c>
      <c r="F6" s="1774">
        <f t="shared" ref="F6:F18" si="1">E6-C6</f>
        <v>445963</v>
      </c>
    </row>
    <row r="7" spans="1:6" ht="13.7" customHeight="1" x14ac:dyDescent="0.2">
      <c r="A7" s="716" t="s">
        <v>157</v>
      </c>
      <c r="B7" s="1771">
        <f>'Revenues 9-14'!F5</f>
        <v>114839</v>
      </c>
      <c r="C7" s="585">
        <v>29422</v>
      </c>
      <c r="D7" s="1774">
        <f t="shared" si="0"/>
        <v>85417</v>
      </c>
      <c r="E7" s="585">
        <v>102243</v>
      </c>
      <c r="F7" s="1774">
        <f t="shared" si="1"/>
        <v>72821</v>
      </c>
    </row>
    <row r="8" spans="1:6" ht="13.7" customHeight="1" x14ac:dyDescent="0.2">
      <c r="A8" s="716" t="s">
        <v>1241</v>
      </c>
      <c r="B8" s="1771">
        <f>'Revenues 9-14'!G5</f>
        <v>128909</v>
      </c>
      <c r="C8" s="585">
        <v>31678</v>
      </c>
      <c r="D8" s="1774">
        <f t="shared" si="0"/>
        <v>97231</v>
      </c>
      <c r="E8" s="585">
        <v>110081</v>
      </c>
      <c r="F8" s="1774">
        <f t="shared" si="1"/>
        <v>78403</v>
      </c>
    </row>
    <row r="9" spans="1:6" ht="13.7" customHeight="1" x14ac:dyDescent="0.2">
      <c r="A9" s="716" t="s">
        <v>428</v>
      </c>
      <c r="B9" s="1771">
        <f>'Revenues 9-14'!H5</f>
        <v>0</v>
      </c>
      <c r="C9" s="585">
        <v>0</v>
      </c>
      <c r="D9" s="1774">
        <f t="shared" si="0"/>
        <v>0</v>
      </c>
      <c r="E9" s="585">
        <v>0</v>
      </c>
      <c r="F9" s="1774">
        <f t="shared" si="1"/>
        <v>0</v>
      </c>
    </row>
    <row r="10" spans="1:6" ht="13.7" customHeight="1" x14ac:dyDescent="0.2">
      <c r="A10" s="716" t="s">
        <v>427</v>
      </c>
      <c r="B10" s="1771">
        <f>'Revenues 9-14'!I5</f>
        <v>47849</v>
      </c>
      <c r="C10" s="585">
        <v>12259</v>
      </c>
      <c r="D10" s="1774">
        <f t="shared" si="0"/>
        <v>35590</v>
      </c>
      <c r="E10" s="585">
        <v>42601</v>
      </c>
      <c r="F10" s="1774">
        <f t="shared" si="1"/>
        <v>30342</v>
      </c>
    </row>
    <row r="11" spans="1:6" x14ac:dyDescent="0.2">
      <c r="A11" s="716" t="s">
        <v>429</v>
      </c>
      <c r="B11" s="1771">
        <f>'Revenues 9-14'!J5</f>
        <v>248826</v>
      </c>
      <c r="C11" s="585">
        <v>63331</v>
      </c>
      <c r="D11" s="1774">
        <f t="shared" si="0"/>
        <v>185495</v>
      </c>
      <c r="E11" s="585">
        <v>220077</v>
      </c>
      <c r="F11" s="1774">
        <f t="shared" si="1"/>
        <v>156746</v>
      </c>
    </row>
    <row r="12" spans="1:6" ht="13.7" customHeight="1" x14ac:dyDescent="0.2">
      <c r="A12" s="716" t="s">
        <v>159</v>
      </c>
      <c r="B12" s="1771">
        <f>'Revenues 9-14'!K5</f>
        <v>47849</v>
      </c>
      <c r="C12" s="585">
        <v>12259</v>
      </c>
      <c r="D12" s="1774">
        <f t="shared" si="0"/>
        <v>35590</v>
      </c>
      <c r="E12" s="585">
        <v>42601</v>
      </c>
      <c r="F12" s="1774">
        <f t="shared" si="1"/>
        <v>30342</v>
      </c>
    </row>
    <row r="13" spans="1:6" ht="13.7" customHeight="1" x14ac:dyDescent="0.2">
      <c r="A13" s="716" t="s">
        <v>993</v>
      </c>
      <c r="B13" s="1771">
        <f>SUM('Revenues 9-14'!C6:D6)</f>
        <v>47948</v>
      </c>
      <c r="C13" s="585">
        <v>12259</v>
      </c>
      <c r="D13" s="1774">
        <f t="shared" si="0"/>
        <v>35689</v>
      </c>
      <c r="E13" s="585">
        <v>42601</v>
      </c>
      <c r="F13" s="1774">
        <f t="shared" si="1"/>
        <v>30342</v>
      </c>
    </row>
    <row r="14" spans="1:6" ht="13.7" customHeight="1" x14ac:dyDescent="0.2">
      <c r="A14" s="716" t="s">
        <v>430</v>
      </c>
      <c r="B14" s="1771">
        <f>SUM('Revenues 9-14'!C7:D7,'Revenues 9-14'!F7:H7)</f>
        <v>19039</v>
      </c>
      <c r="C14" s="585">
        <v>4904</v>
      </c>
      <c r="D14" s="1774">
        <f t="shared" si="0"/>
        <v>14135</v>
      </c>
      <c r="E14" s="585">
        <v>17040</v>
      </c>
      <c r="F14" s="1774">
        <f t="shared" si="1"/>
        <v>12136</v>
      </c>
    </row>
    <row r="15" spans="1:6" ht="13.7" customHeight="1" x14ac:dyDescent="0.2">
      <c r="A15" s="716" t="s">
        <v>1220</v>
      </c>
      <c r="B15" s="1771">
        <f>'Revenues 9-14'!E9</f>
        <v>0</v>
      </c>
      <c r="C15" s="585">
        <v>0</v>
      </c>
      <c r="D15" s="1774">
        <f t="shared" si="0"/>
        <v>0</v>
      </c>
      <c r="E15" s="585">
        <v>0</v>
      </c>
      <c r="F15" s="1774">
        <f t="shared" si="1"/>
        <v>0</v>
      </c>
    </row>
    <row r="16" spans="1:6" ht="13.7" customHeight="1" x14ac:dyDescent="0.2">
      <c r="A16" s="716" t="s">
        <v>1221</v>
      </c>
      <c r="B16" s="1771">
        <f>'Revenues 9-14'!G8</f>
        <v>128909</v>
      </c>
      <c r="C16" s="585">
        <v>31678</v>
      </c>
      <c r="D16" s="1774">
        <f t="shared" si="0"/>
        <v>97231</v>
      </c>
      <c r="E16" s="585">
        <v>110081</v>
      </c>
      <c r="F16" s="1774">
        <f t="shared" si="1"/>
        <v>78403</v>
      </c>
    </row>
    <row r="17" spans="1:6" ht="13.7" customHeight="1" x14ac:dyDescent="0.2">
      <c r="A17" s="716" t="s">
        <v>1222</v>
      </c>
      <c r="B17" s="1771">
        <f>'Revenues 9-14'!C10</f>
        <v>0</v>
      </c>
      <c r="C17" s="585">
        <v>0</v>
      </c>
      <c r="D17" s="1774">
        <f t="shared" si="0"/>
        <v>0</v>
      </c>
      <c r="E17" s="585">
        <v>0</v>
      </c>
      <c r="F17" s="1774">
        <f t="shared" si="1"/>
        <v>0</v>
      </c>
    </row>
    <row r="18" spans="1:6" ht="13.7" customHeight="1" x14ac:dyDescent="0.2">
      <c r="A18" s="716" t="s">
        <v>786</v>
      </c>
      <c r="B18" s="1771">
        <f>SUM('Revenues 9-14'!C11:K11)</f>
        <v>0</v>
      </c>
      <c r="C18" s="585">
        <v>0</v>
      </c>
      <c r="D18" s="1774">
        <f t="shared" si="0"/>
        <v>0</v>
      </c>
      <c r="E18" s="585">
        <v>0</v>
      </c>
      <c r="F18" s="1774">
        <f t="shared" si="1"/>
        <v>0</v>
      </c>
    </row>
    <row r="19" spans="1:6" ht="13.7" customHeight="1" thickBot="1" x14ac:dyDescent="0.25">
      <c r="A19" s="1775" t="s">
        <v>1223</v>
      </c>
      <c r="B19" s="1772">
        <f>SUM(B4:B18)</f>
        <v>3525765</v>
      </c>
      <c r="C19" s="1772">
        <f>SUM(C4:C18)</f>
        <v>900221</v>
      </c>
      <c r="D19" s="1772">
        <f>SUM(D4:D18)</f>
        <v>2625544</v>
      </c>
      <c r="E19" s="1772">
        <f>SUM(E4:E18)</f>
        <v>3128279</v>
      </c>
      <c r="F19" s="1772">
        <f>SUM(F4:F18)</f>
        <v>2228058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0" colorId="8" zoomScale="110" zoomScaleNormal="110" workbookViewId="0">
      <selection activeCell="A7" sqref="A7:D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21"/>
      <c r="C1" s="722"/>
    </row>
    <row r="2" spans="1:7" ht="33.75" x14ac:dyDescent="0.2">
      <c r="A2" s="2229" t="s">
        <v>1905</v>
      </c>
      <c r="B2" s="2230"/>
      <c r="C2" s="1907" t="s">
        <v>2038</v>
      </c>
      <c r="D2" s="724" t="s">
        <v>2045</v>
      </c>
      <c r="E2" s="724" t="s">
        <v>2046</v>
      </c>
      <c r="F2" s="1907" t="s">
        <v>2039</v>
      </c>
    </row>
    <row r="3" spans="1:7" ht="15.75" customHeight="1" x14ac:dyDescent="0.2">
      <c r="A3" s="2233" t="s">
        <v>1176</v>
      </c>
      <c r="B3" s="2234"/>
      <c r="C3" s="2222"/>
      <c r="D3" s="2223"/>
      <c r="E3" s="2223"/>
      <c r="F3" s="2224"/>
    </row>
    <row r="4" spans="1:7" ht="12.75" customHeight="1" thickBot="1" x14ac:dyDescent="0.25">
      <c r="A4" s="2231" t="s">
        <v>651</v>
      </c>
      <c r="B4" s="2232"/>
      <c r="C4" s="581"/>
      <c r="D4" s="581"/>
      <c r="E4" s="581"/>
      <c r="F4" s="1776">
        <f>SUM(C4+D4)-E4</f>
        <v>0</v>
      </c>
    </row>
    <row r="5" spans="1:7" ht="15.75" customHeight="1" thickTop="1" x14ac:dyDescent="0.2">
      <c r="A5" s="2216" t="s">
        <v>1172</v>
      </c>
      <c r="B5" s="2217"/>
      <c r="C5" s="2225"/>
      <c r="D5" s="2226"/>
      <c r="E5" s="2226"/>
      <c r="F5" s="2227"/>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8" t="s">
        <v>652</v>
      </c>
      <c r="B15" s="2219"/>
      <c r="C15" s="1776">
        <f>SUM(C6:C14)</f>
        <v>0</v>
      </c>
      <c r="D15" s="1776">
        <f>SUM(D6:D14)</f>
        <v>0</v>
      </c>
      <c r="E15" s="1776">
        <f>SUM(E6:E14)</f>
        <v>0</v>
      </c>
      <c r="F15" s="1776">
        <f>SUM(F6:F14)</f>
        <v>0</v>
      </c>
      <c r="G15" s="552"/>
    </row>
    <row r="16" spans="1:7" s="202" customFormat="1" ht="15.75" customHeight="1" thickTop="1" x14ac:dyDescent="0.2">
      <c r="A16" s="2228" t="s">
        <v>1173</v>
      </c>
      <c r="B16" s="2217"/>
      <c r="C16" s="2225"/>
      <c r="D16" s="2226"/>
      <c r="E16" s="2226"/>
      <c r="F16" s="2227"/>
    </row>
    <row r="17" spans="1:11" ht="12.75" customHeight="1" thickBot="1" x14ac:dyDescent="0.25">
      <c r="A17" s="2241" t="s">
        <v>66</v>
      </c>
      <c r="B17" s="2242"/>
      <c r="C17" s="727"/>
      <c r="D17" s="585"/>
      <c r="E17" s="727"/>
      <c r="F17" s="1776">
        <f>SUM(C17+D17)-E17</f>
        <v>0</v>
      </c>
    </row>
    <row r="18" spans="1:11" ht="12.75" customHeight="1" thickTop="1" thickBot="1" x14ac:dyDescent="0.25">
      <c r="A18" s="2241" t="s">
        <v>6</v>
      </c>
      <c r="B18" s="2242"/>
      <c r="C18" s="727"/>
      <c r="D18" s="585"/>
      <c r="E18" s="727"/>
      <c r="F18" s="1776">
        <f>SUM(C18+D18)-E18</f>
        <v>0</v>
      </c>
    </row>
    <row r="19" spans="1:11" ht="12.75" customHeight="1" thickTop="1" thickBot="1" x14ac:dyDescent="0.25">
      <c r="A19" s="2241" t="s">
        <v>406</v>
      </c>
      <c r="B19" s="2242"/>
      <c r="C19" s="727"/>
      <c r="D19" s="585"/>
      <c r="E19" s="727"/>
      <c r="F19" s="1776">
        <f>SUM(C19+D19)-E19</f>
        <v>0</v>
      </c>
    </row>
    <row r="20" spans="1:11" ht="12.75" customHeight="1" thickTop="1" thickBot="1" x14ac:dyDescent="0.25">
      <c r="A20" s="2241" t="s">
        <v>468</v>
      </c>
      <c r="B20" s="2242"/>
      <c r="C20" s="727"/>
      <c r="D20" s="585"/>
      <c r="E20" s="727"/>
      <c r="F20" s="1776">
        <f>SUM(C20+D20)-E20</f>
        <v>0</v>
      </c>
    </row>
    <row r="21" spans="1:11" ht="14.25" thickTop="1" thickBot="1" x14ac:dyDescent="0.25">
      <c r="A21" s="2218" t="s">
        <v>653</v>
      </c>
      <c r="B21" s="2219"/>
      <c r="C21" s="1776">
        <f>SUM(C17:C20)</f>
        <v>0</v>
      </c>
      <c r="D21" s="1776">
        <f>SUM(D17:D20)</f>
        <v>0</v>
      </c>
      <c r="E21" s="1776">
        <f>SUM(E17:E20)</f>
        <v>0</v>
      </c>
      <c r="F21" s="1776">
        <f>SUM(F17:F20)</f>
        <v>0</v>
      </c>
      <c r="G21" s="552"/>
    </row>
    <row r="22" spans="1:11" ht="15.75" customHeight="1" thickTop="1" x14ac:dyDescent="0.2">
      <c r="A22" s="2243" t="s">
        <v>1174</v>
      </c>
      <c r="B22" s="2217"/>
      <c r="C22" s="2225"/>
      <c r="D22" s="2226"/>
      <c r="E22" s="2226"/>
      <c r="F22" s="2227"/>
    </row>
    <row r="23" spans="1:11" ht="13.5" thickBot="1" x14ac:dyDescent="0.25">
      <c r="A23" s="2231" t="s">
        <v>654</v>
      </c>
      <c r="B23" s="2232"/>
      <c r="C23" s="581"/>
      <c r="D23" s="581"/>
      <c r="E23" s="581"/>
      <c r="F23" s="1776">
        <f>SUM(C23+D23)-E23</f>
        <v>0</v>
      </c>
      <c r="G23" s="552"/>
    </row>
    <row r="24" spans="1:11" ht="15.75" customHeight="1" thickTop="1" x14ac:dyDescent="0.2">
      <c r="A24" s="2243" t="s">
        <v>1175</v>
      </c>
      <c r="B24" s="2217"/>
      <c r="C24" s="2225"/>
      <c r="D24" s="2226"/>
      <c r="E24" s="2226"/>
      <c r="F24" s="2227"/>
    </row>
    <row r="25" spans="1:11" ht="13.5" thickBot="1" x14ac:dyDescent="0.25">
      <c r="A25" s="2231" t="s">
        <v>655</v>
      </c>
      <c r="B25" s="2232"/>
      <c r="C25" s="581"/>
      <c r="D25" s="581"/>
      <c r="E25" s="581"/>
      <c r="F25" s="1776">
        <f>SUM(C25+D25)-E25</f>
        <v>0</v>
      </c>
      <c r="G25" s="552"/>
    </row>
    <row r="26" spans="1:11" ht="15.75" customHeight="1" thickTop="1" x14ac:dyDescent="0.2">
      <c r="A26" s="2216" t="s">
        <v>678</v>
      </c>
      <c r="B26" s="2217"/>
      <c r="C26" s="728"/>
      <c r="D26" s="728"/>
      <c r="E26" s="728"/>
      <c r="F26" s="729"/>
    </row>
    <row r="27" spans="1:11" ht="13.5" thickBot="1" x14ac:dyDescent="0.25">
      <c r="A27" s="2218" t="s">
        <v>1130</v>
      </c>
      <c r="B27" s="2219"/>
      <c r="C27" s="585"/>
      <c r="D27" s="585"/>
      <c r="E27" s="585"/>
      <c r="F27" s="1776">
        <f>SUM(C27+D27)-E27</f>
        <v>0</v>
      </c>
      <c r="G27" s="552"/>
    </row>
    <row r="28" spans="1:11" ht="7.5" customHeight="1" thickTop="1" x14ac:dyDescent="0.2">
      <c r="A28" s="594"/>
    </row>
    <row r="29" spans="1:11" ht="23.25" customHeight="1" x14ac:dyDescent="0.2">
      <c r="A29" s="2244" t="s">
        <v>603</v>
      </c>
      <c r="B29" s="2221"/>
      <c r="C29" s="730"/>
      <c r="D29" s="730"/>
      <c r="E29" s="730"/>
      <c r="F29" s="730"/>
      <c r="G29" s="730"/>
      <c r="H29" s="730"/>
      <c r="I29" s="730"/>
      <c r="J29" s="730"/>
    </row>
    <row r="30" spans="1:11" ht="33.75" x14ac:dyDescent="0.2">
      <c r="A30" s="1550"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2091</v>
      </c>
      <c r="B31" s="734">
        <v>41156</v>
      </c>
      <c r="C31" s="735">
        <v>5045000</v>
      </c>
      <c r="D31" s="736">
        <v>3</v>
      </c>
      <c r="E31" s="735">
        <v>3130000</v>
      </c>
      <c r="F31" s="735"/>
      <c r="G31" s="735"/>
      <c r="H31" s="735">
        <v>535000</v>
      </c>
      <c r="I31" s="1777">
        <f>((E31+F31)-H31)+G31</f>
        <v>2595000</v>
      </c>
      <c r="J31" s="735">
        <v>2212439</v>
      </c>
      <c r="K31" s="737"/>
    </row>
    <row r="32" spans="1:11" ht="12" customHeight="1" x14ac:dyDescent="0.2">
      <c r="A32" s="733" t="s">
        <v>2092</v>
      </c>
      <c r="B32" s="734">
        <v>42426</v>
      </c>
      <c r="C32" s="735">
        <v>1000000</v>
      </c>
      <c r="D32" s="736">
        <v>1</v>
      </c>
      <c r="E32" s="735">
        <v>510000</v>
      </c>
      <c r="F32" s="735"/>
      <c r="G32" s="735"/>
      <c r="H32" s="735">
        <v>510000</v>
      </c>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6045000</v>
      </c>
      <c r="D49" s="746"/>
      <c r="E49" s="1777">
        <f t="shared" ref="E49:J49" si="2">SUM(E31:E48)</f>
        <v>3640000</v>
      </c>
      <c r="F49" s="1777">
        <f t="shared" si="2"/>
        <v>0</v>
      </c>
      <c r="G49" s="1777">
        <f t="shared" si="2"/>
        <v>0</v>
      </c>
      <c r="H49" s="1777">
        <f t="shared" si="2"/>
        <v>1045000</v>
      </c>
      <c r="I49" s="1777">
        <f t="shared" si="2"/>
        <v>2595000</v>
      </c>
      <c r="J49" s="1777">
        <f t="shared" si="2"/>
        <v>2212439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5" t="s">
        <v>605</v>
      </c>
      <c r="C52" s="2236"/>
      <c r="D52" s="2236"/>
      <c r="E52" s="750" t="s">
        <v>900</v>
      </c>
      <c r="F52" s="2237"/>
      <c r="G52" s="2238"/>
      <c r="H52" s="737"/>
      <c r="I52" s="737"/>
      <c r="J52" s="747"/>
    </row>
    <row r="53" spans="1:11" ht="11.25" customHeight="1" x14ac:dyDescent="0.2">
      <c r="A53" s="751" t="s">
        <v>969</v>
      </c>
      <c r="B53" s="752" t="s">
        <v>1008</v>
      </c>
      <c r="C53" s="747"/>
      <c r="D53" s="738"/>
      <c r="E53" s="750" t="s">
        <v>518</v>
      </c>
      <c r="F53" s="2239"/>
      <c r="G53" s="2240"/>
      <c r="H53" s="737"/>
      <c r="I53" s="737"/>
      <c r="J53" s="747"/>
    </row>
    <row r="54" spans="1:11" ht="11.25" customHeight="1" x14ac:dyDescent="0.2">
      <c r="A54" s="753" t="s">
        <v>970</v>
      </c>
      <c r="B54" s="748" t="s">
        <v>1009</v>
      </c>
      <c r="C54" s="747"/>
      <c r="D54" s="738"/>
      <c r="E54" s="750" t="s">
        <v>519</v>
      </c>
      <c r="F54" s="2239"/>
      <c r="G54" s="224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9" t="s">
        <v>911</v>
      </c>
      <c r="B1" s="2270"/>
      <c r="C1" s="2270"/>
      <c r="D1" s="2270"/>
      <c r="E1" s="2270"/>
      <c r="F1" s="2270"/>
      <c r="G1" s="2271"/>
      <c r="H1" s="1551"/>
      <c r="I1" s="761"/>
      <c r="J1" s="433"/>
    </row>
    <row r="2" spans="1:11" ht="26.25" x14ac:dyDescent="0.2">
      <c r="A2" s="2248" t="s">
        <v>1776</v>
      </c>
      <c r="B2" s="2249"/>
      <c r="C2" s="2249"/>
      <c r="D2" s="2249"/>
      <c r="E2" s="2250"/>
      <c r="F2" s="762" t="s">
        <v>960</v>
      </c>
      <c r="G2" s="763" t="s">
        <v>1773</v>
      </c>
      <c r="H2" s="763" t="s">
        <v>430</v>
      </c>
      <c r="I2" s="763" t="s">
        <v>1220</v>
      </c>
      <c r="J2" s="763" t="s">
        <v>1919</v>
      </c>
      <c r="K2" s="763" t="s">
        <v>140</v>
      </c>
    </row>
    <row r="3" spans="1:11" x14ac:dyDescent="0.2">
      <c r="A3" s="2251" t="s">
        <v>1698</v>
      </c>
      <c r="B3" s="2252"/>
      <c r="C3" s="2252"/>
      <c r="D3" s="2252"/>
      <c r="E3" s="2253"/>
      <c r="F3" s="764"/>
      <c r="G3" s="765">
        <v>0</v>
      </c>
      <c r="H3" s="765">
        <v>0</v>
      </c>
      <c r="I3" s="765">
        <v>0</v>
      </c>
      <c r="J3" s="766">
        <v>0</v>
      </c>
      <c r="K3" s="766">
        <v>0</v>
      </c>
    </row>
    <row r="4" spans="1:11" x14ac:dyDescent="0.2">
      <c r="A4" s="2254" t="s">
        <v>387</v>
      </c>
      <c r="B4" s="2255"/>
      <c r="C4" s="2255"/>
      <c r="D4" s="2255"/>
      <c r="E4" s="2236"/>
      <c r="F4" s="767"/>
      <c r="G4" s="768"/>
      <c r="H4" s="769"/>
      <c r="I4" s="768"/>
      <c r="J4" s="770"/>
      <c r="K4" s="770"/>
    </row>
    <row r="5" spans="1:11" x14ac:dyDescent="0.2">
      <c r="A5" s="2272" t="s">
        <v>1129</v>
      </c>
      <c r="B5" s="2245"/>
      <c r="C5" s="2245"/>
      <c r="D5" s="2245"/>
      <c r="E5" s="2273"/>
      <c r="F5" s="771" t="s">
        <v>903</v>
      </c>
      <c r="G5" s="772"/>
      <c r="H5" s="765">
        <v>19039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72" t="s">
        <v>1920</v>
      </c>
      <c r="B10" s="2245"/>
      <c r="C10" s="2245"/>
      <c r="D10" s="2245"/>
      <c r="E10" s="2274"/>
      <c r="F10" s="784" t="s">
        <v>917</v>
      </c>
      <c r="G10" s="783"/>
      <c r="H10" s="785">
        <v>167</v>
      </c>
      <c r="I10" s="765"/>
      <c r="J10" s="766"/>
      <c r="K10" s="766"/>
    </row>
    <row r="11" spans="1:11" x14ac:dyDescent="0.2">
      <c r="A11" s="2272" t="s">
        <v>162</v>
      </c>
      <c r="B11" s="2245"/>
      <c r="C11" s="2245"/>
      <c r="D11" s="2245"/>
      <c r="E11" s="2273"/>
      <c r="F11" s="771" t="s">
        <v>907</v>
      </c>
      <c r="G11" s="772"/>
      <c r="H11" s="765"/>
      <c r="I11" s="765"/>
      <c r="J11" s="766"/>
      <c r="K11" s="774"/>
    </row>
    <row r="12" spans="1:11" ht="13.5" thickBot="1" x14ac:dyDescent="0.25">
      <c r="A12" s="2262" t="s">
        <v>961</v>
      </c>
      <c r="B12" s="2263"/>
      <c r="C12" s="2263"/>
      <c r="D12" s="2263"/>
      <c r="E12" s="2264"/>
      <c r="F12" s="1778"/>
      <c r="G12" s="1779">
        <f>SUM(G5:G11)</f>
        <v>0</v>
      </c>
      <c r="H12" s="1779">
        <f>SUM(H5:H11)</f>
        <v>19206</v>
      </c>
      <c r="I12" s="1779">
        <f>SUM(I5:I11)</f>
        <v>0</v>
      </c>
      <c r="J12" s="1779">
        <f>SUM(J5:J11)</f>
        <v>0</v>
      </c>
      <c r="K12" s="1779">
        <f>SUM(K5:K11)</f>
        <v>0</v>
      </c>
    </row>
    <row r="13" spans="1:11" ht="13.5" thickTop="1" x14ac:dyDescent="0.2">
      <c r="A13" s="2256" t="s">
        <v>388</v>
      </c>
      <c r="B13" s="2257"/>
      <c r="C13" s="2257"/>
      <c r="D13" s="2257"/>
      <c r="E13" s="2258"/>
      <c r="F13" s="786"/>
      <c r="G13" s="787"/>
      <c r="H13" s="788"/>
      <c r="I13" s="789"/>
      <c r="J13" s="789"/>
      <c r="K13" s="789"/>
    </row>
    <row r="14" spans="1:11" x14ac:dyDescent="0.2">
      <c r="A14" s="2278" t="s">
        <v>476</v>
      </c>
      <c r="B14" s="2278"/>
      <c r="C14" s="2278"/>
      <c r="D14" s="2278"/>
      <c r="E14" s="2279"/>
      <c r="F14" s="790" t="s">
        <v>909</v>
      </c>
      <c r="G14" s="783"/>
      <c r="H14" s="765">
        <v>19206</v>
      </c>
      <c r="I14" s="772"/>
      <c r="J14" s="774"/>
      <c r="K14" s="766"/>
    </row>
    <row r="15" spans="1:11" x14ac:dyDescent="0.2">
      <c r="A15" s="2245" t="s">
        <v>4</v>
      </c>
      <c r="B15" s="2245"/>
      <c r="C15" s="2245"/>
      <c r="D15" s="2245"/>
      <c r="E15" s="2273"/>
      <c r="F15" s="790" t="s">
        <v>910</v>
      </c>
      <c r="G15" s="772"/>
      <c r="H15" s="765"/>
      <c r="I15" s="765"/>
      <c r="J15" s="766"/>
      <c r="K15" s="766"/>
    </row>
    <row r="16" spans="1:11" x14ac:dyDescent="0.2">
      <c r="A16" s="2245" t="s">
        <v>316</v>
      </c>
      <c r="B16" s="2245"/>
      <c r="C16" s="2245"/>
      <c r="D16" s="2245"/>
      <c r="E16" s="2273"/>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59" t="s">
        <v>386</v>
      </c>
      <c r="B18" s="2260"/>
      <c r="C18" s="2260"/>
      <c r="D18" s="2260"/>
      <c r="E18" s="2261"/>
      <c r="F18" s="790" t="s">
        <v>989</v>
      </c>
      <c r="G18" s="783"/>
      <c r="H18" s="783"/>
      <c r="I18" s="783"/>
      <c r="J18" s="766"/>
      <c r="K18" s="796"/>
    </row>
    <row r="19" spans="1:11" ht="21.75" customHeight="1" x14ac:dyDescent="0.2">
      <c r="A19" s="2280" t="s">
        <v>1916</v>
      </c>
      <c r="B19" s="2280"/>
      <c r="C19" s="2280"/>
      <c r="D19" s="2280"/>
      <c r="E19" s="2281"/>
      <c r="F19" s="790" t="s">
        <v>990</v>
      </c>
      <c r="G19" s="783"/>
      <c r="H19" s="783"/>
      <c r="I19" s="783"/>
      <c r="J19" s="766"/>
      <c r="K19" s="796"/>
    </row>
    <row r="20" spans="1:11" x14ac:dyDescent="0.2">
      <c r="A20" s="2259" t="s">
        <v>1921</v>
      </c>
      <c r="B20" s="2260"/>
      <c r="C20" s="2260"/>
      <c r="D20" s="2260"/>
      <c r="E20" s="2261"/>
      <c r="F20" s="790" t="s">
        <v>991</v>
      </c>
      <c r="G20" s="783"/>
      <c r="H20" s="783"/>
      <c r="I20" s="783"/>
      <c r="J20" s="766"/>
      <c r="K20" s="796"/>
    </row>
    <row r="21" spans="1:11" ht="13.5" thickBot="1" x14ac:dyDescent="0.25">
      <c r="A21" s="2265" t="s">
        <v>659</v>
      </c>
      <c r="B21" s="2265"/>
      <c r="C21" s="2265"/>
      <c r="D21" s="2265"/>
      <c r="E21" s="2265"/>
      <c r="F21" s="1780"/>
      <c r="G21" s="793"/>
      <c r="H21" s="797"/>
      <c r="I21" s="797"/>
      <c r="J21" s="1781">
        <f>SUM(J18:J20)</f>
        <v>0</v>
      </c>
      <c r="K21" s="794"/>
    </row>
    <row r="22" spans="1:11" ht="13.5" thickTop="1" x14ac:dyDescent="0.2">
      <c r="A22" s="2245" t="s">
        <v>1922</v>
      </c>
      <c r="B22" s="2245"/>
      <c r="C22" s="2245"/>
      <c r="D22" s="2245"/>
      <c r="E22" s="2273"/>
      <c r="F22" s="790" t="s">
        <v>917</v>
      </c>
      <c r="G22" s="783"/>
      <c r="H22" s="765"/>
      <c r="I22" s="765"/>
      <c r="J22" s="798"/>
      <c r="K22" s="766"/>
    </row>
    <row r="23" spans="1:11" ht="13.5" thickBot="1" x14ac:dyDescent="0.25">
      <c r="A23" s="2266" t="s">
        <v>962</v>
      </c>
      <c r="B23" s="2265"/>
      <c r="C23" s="2265"/>
      <c r="D23" s="2265"/>
      <c r="E23" s="2265"/>
      <c r="F23" s="1782"/>
      <c r="G23" s="1779">
        <f>SUM(G14:G16,G21,G22)</f>
        <v>0</v>
      </c>
      <c r="H23" s="1779">
        <f>SUM(H14:H16,H21,H22)</f>
        <v>19206</v>
      </c>
      <c r="I23" s="1779">
        <f>SUM(I14:I16,I21,I22)</f>
        <v>0</v>
      </c>
      <c r="J23" s="1779">
        <f>SUM(J14:J16,J21,J22)</f>
        <v>0</v>
      </c>
      <c r="K23" s="1779">
        <f>SUM(K14:K16,K21,K22)</f>
        <v>0</v>
      </c>
    </row>
    <row r="24" spans="1:11" ht="14.25" thickTop="1" thickBot="1" x14ac:dyDescent="0.25">
      <c r="A24" s="2266" t="s">
        <v>2026</v>
      </c>
      <c r="B24" s="2265"/>
      <c r="C24" s="2265"/>
      <c r="D24" s="2265"/>
      <c r="E24" s="2265"/>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75"/>
      <c r="I31" s="2276"/>
      <c r="J31" s="2276"/>
      <c r="K31" s="2276"/>
    </row>
    <row r="32" spans="1:11" x14ac:dyDescent="0.2">
      <c r="A32" s="810"/>
      <c r="B32" s="237"/>
      <c r="C32" s="237"/>
      <c r="D32" s="237"/>
      <c r="E32" s="806"/>
      <c r="F32" s="812" t="s">
        <v>561</v>
      </c>
      <c r="G32" s="765"/>
      <c r="H32" s="2277"/>
      <c r="I32" s="2276"/>
      <c r="J32" s="2276"/>
      <c r="K32" s="2276"/>
    </row>
    <row r="33" spans="1:11" ht="1.5" customHeight="1" x14ac:dyDescent="0.2">
      <c r="A33" s="813" t="s">
        <v>1231</v>
      </c>
      <c r="B33" s="364"/>
      <c r="C33" s="364"/>
      <c r="D33" s="364"/>
      <c r="E33" s="364"/>
      <c r="F33" s="364"/>
      <c r="G33" s="814"/>
      <c r="H33" s="2277"/>
      <c r="I33" s="2276"/>
      <c r="J33" s="2276"/>
      <c r="K33" s="227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A7" sqref="A7:D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2035</v>
      </c>
      <c r="B1" s="2285"/>
      <c r="C1" s="2286"/>
      <c r="D1" s="827"/>
      <c r="E1" s="828"/>
      <c r="F1" s="828"/>
      <c r="G1" s="829"/>
      <c r="H1" s="830"/>
      <c r="I1" s="831"/>
      <c r="J1" s="2282"/>
      <c r="K1" s="2283"/>
      <c r="L1" s="2283"/>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821453</v>
      </c>
      <c r="D5" s="842">
        <v>29500</v>
      </c>
      <c r="E5" s="842"/>
      <c r="F5" s="1781">
        <f>(C5+D5)-E5</f>
        <v>850953</v>
      </c>
      <c r="G5" s="838"/>
      <c r="H5" s="843"/>
      <c r="I5" s="843"/>
      <c r="J5" s="843"/>
      <c r="K5" s="794"/>
      <c r="L5" s="1790">
        <f>F5-K5</f>
        <v>850953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19036238</v>
      </c>
      <c r="D8" s="845">
        <v>16085</v>
      </c>
      <c r="E8" s="845"/>
      <c r="F8" s="1781">
        <f>(C8+D8)-E8</f>
        <v>19052323</v>
      </c>
      <c r="G8" s="844">
        <v>50</v>
      </c>
      <c r="H8" s="766">
        <v>5913489</v>
      </c>
      <c r="I8" s="766">
        <v>389086</v>
      </c>
      <c r="J8" s="766"/>
      <c r="K8" s="1790">
        <f>(H8+I8)-J8</f>
        <v>6302575</v>
      </c>
      <c r="L8" s="1790">
        <f>F8-K8</f>
        <v>12749748</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160743</v>
      </c>
      <c r="D10" s="847"/>
      <c r="E10" s="847"/>
      <c r="F10" s="1785">
        <f>(C10+D10)-E10</f>
        <v>160743</v>
      </c>
      <c r="G10" s="844">
        <v>20</v>
      </c>
      <c r="H10" s="848">
        <v>77925</v>
      </c>
      <c r="I10" s="848">
        <v>6763</v>
      </c>
      <c r="J10" s="848"/>
      <c r="K10" s="1790">
        <f>(H10+I10)-J10</f>
        <v>84688</v>
      </c>
      <c r="L10" s="1790">
        <f>F10-K10</f>
        <v>76055</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1311548</v>
      </c>
      <c r="D12" s="845"/>
      <c r="E12" s="845"/>
      <c r="F12" s="1781">
        <f>(C12+D12)-E12</f>
        <v>1311548</v>
      </c>
      <c r="G12" s="844">
        <v>10</v>
      </c>
      <c r="H12" s="766">
        <v>1092115</v>
      </c>
      <c r="I12" s="766">
        <v>53020</v>
      </c>
      <c r="J12" s="766"/>
      <c r="K12" s="1790">
        <f>(H12+I12)-J12</f>
        <v>1145135</v>
      </c>
      <c r="L12" s="1790">
        <f>F12-K12</f>
        <v>166413</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21329982</v>
      </c>
      <c r="D16" s="1781">
        <f>SUM(D3,D5:D6,D8:D10,D12:D15)</f>
        <v>45585</v>
      </c>
      <c r="E16" s="1781">
        <f>SUM(E3,E5:E6,E8:E10,E12:E15)</f>
        <v>0</v>
      </c>
      <c r="F16" s="1781">
        <f>SUM(F3,F5:F6,F8:F10,F12:F15)</f>
        <v>21375567</v>
      </c>
      <c r="G16" s="844"/>
      <c r="H16" s="1781">
        <f>SUM(H3,H6,H8:H10,H12:H14,)</f>
        <v>7083529</v>
      </c>
      <c r="I16" s="1781">
        <f>SUM(I3,I6,I8:I10,I12:I14,)</f>
        <v>448869</v>
      </c>
      <c r="J16" s="1781">
        <f>SUM(J3,J6,J8:J10,J12:J14,)</f>
        <v>0</v>
      </c>
      <c r="K16" s="1781">
        <f>(H16+I16)-J16</f>
        <v>7532398</v>
      </c>
      <c r="L16" s="1781">
        <f>F16-K16</f>
        <v>13843169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448869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0" t="s">
        <v>1699</v>
      </c>
      <c r="B1" s="2291"/>
      <c r="C1" s="2291"/>
      <c r="D1" s="2291"/>
      <c r="E1" s="2291"/>
      <c r="F1" s="2292"/>
      <c r="G1" s="856"/>
    </row>
    <row r="2" spans="1:7" ht="15" customHeight="1" thickBot="1" x14ac:dyDescent="0.25">
      <c r="A2" s="2293" t="s">
        <v>498</v>
      </c>
      <c r="B2" s="2294"/>
      <c r="C2" s="2294"/>
      <c r="D2" s="2294"/>
      <c r="E2" s="2294"/>
      <c r="F2" s="229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4318059</v>
      </c>
      <c r="G8" s="866"/>
    </row>
    <row r="9" spans="1:7" x14ac:dyDescent="0.2">
      <c r="A9" s="870" t="s">
        <v>480</v>
      </c>
      <c r="B9" s="871" t="s">
        <v>1989</v>
      </c>
      <c r="C9" s="872"/>
      <c r="D9" s="870" t="s">
        <v>522</v>
      </c>
      <c r="E9" s="869"/>
      <c r="F9" s="1933">
        <f>'Expenditures 15-22'!K151</f>
        <v>430574</v>
      </c>
      <c r="G9" s="873"/>
    </row>
    <row r="10" spans="1:7" x14ac:dyDescent="0.2">
      <c r="A10" s="870" t="s">
        <v>520</v>
      </c>
      <c r="B10" s="871" t="s">
        <v>1990</v>
      </c>
      <c r="C10" s="872"/>
      <c r="D10" s="870" t="s">
        <v>522</v>
      </c>
      <c r="E10" s="869"/>
      <c r="F10" s="1933">
        <f>'Expenditures 15-22'!K174</f>
        <v>1111228</v>
      </c>
      <c r="G10" s="873"/>
    </row>
    <row r="11" spans="1:7" x14ac:dyDescent="0.2">
      <c r="A11" s="870" t="s">
        <v>481</v>
      </c>
      <c r="B11" s="871" t="s">
        <v>1991</v>
      </c>
      <c r="C11" s="872"/>
      <c r="D11" s="870" t="s">
        <v>522</v>
      </c>
      <c r="E11" s="869"/>
      <c r="F11" s="1933">
        <f>'Expenditures 15-22'!K210</f>
        <v>464471</v>
      </c>
      <c r="G11" s="873"/>
    </row>
    <row r="12" spans="1:7" x14ac:dyDescent="0.2">
      <c r="A12" s="870" t="s">
        <v>482</v>
      </c>
      <c r="B12" s="871" t="s">
        <v>1992</v>
      </c>
      <c r="C12" s="872"/>
      <c r="D12" s="870" t="s">
        <v>522</v>
      </c>
      <c r="E12" s="869"/>
      <c r="F12" s="1933">
        <f>'Expenditures 15-22'!K295</f>
        <v>149497</v>
      </c>
      <c r="G12" s="873"/>
    </row>
    <row r="13" spans="1:7" x14ac:dyDescent="0.2">
      <c r="A13" s="870" t="s">
        <v>108</v>
      </c>
      <c r="B13" s="871" t="s">
        <v>1993</v>
      </c>
      <c r="C13" s="872"/>
      <c r="D13" s="870" t="s">
        <v>522</v>
      </c>
      <c r="E13" s="869"/>
      <c r="F13" s="1933">
        <f>'Expenditures 15-22'!K342</f>
        <v>197212</v>
      </c>
      <c r="G13" s="874"/>
    </row>
    <row r="14" spans="1:7" ht="12" customHeight="1" thickBot="1" x14ac:dyDescent="0.25">
      <c r="A14" s="1791"/>
      <c r="B14" s="1792"/>
      <c r="C14" s="1793"/>
      <c r="D14" s="1794" t="s">
        <v>522</v>
      </c>
      <c r="E14" s="1795" t="s">
        <v>1015</v>
      </c>
      <c r="F14" s="1796">
        <f>SUM(F8:F13)</f>
        <v>6671041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125994</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102576</v>
      </c>
      <c r="G52" s="866"/>
    </row>
    <row r="53" spans="1:7" x14ac:dyDescent="0.2">
      <c r="A53" s="870" t="s">
        <v>479</v>
      </c>
      <c r="B53" s="870" t="s">
        <v>1551</v>
      </c>
      <c r="C53" s="890">
        <f>'Expenditures 15-22'!B102</f>
        <v>4000</v>
      </c>
      <c r="D53" s="889" t="str">
        <f>'Expenditures 15-22'!A102</f>
        <v>Total Payments to Other Govt Units</v>
      </c>
      <c r="E53" s="869"/>
      <c r="F53" s="1937">
        <f>'Expenditures 15-22'!K102</f>
        <v>640656</v>
      </c>
      <c r="G53" s="866"/>
    </row>
    <row r="54" spans="1:7" x14ac:dyDescent="0.2">
      <c r="A54" s="870" t="s">
        <v>479</v>
      </c>
      <c r="B54" s="870" t="s">
        <v>1552</v>
      </c>
      <c r="C54" s="890" t="s">
        <v>1039</v>
      </c>
      <c r="D54" s="886" t="s">
        <v>1157</v>
      </c>
      <c r="E54" s="869"/>
      <c r="F54" s="1937">
        <f>'Expenditures 15-22'!G114</f>
        <v>0</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1045000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3916</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12005</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1056</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1931203</v>
      </c>
      <c r="G76" s="866"/>
    </row>
    <row r="77" spans="1:8" s="894" customFormat="1" ht="12" customHeight="1" thickTop="1" thickBot="1" x14ac:dyDescent="0.25">
      <c r="A77" s="1800"/>
      <c r="B77" s="1797"/>
      <c r="C77" s="1793"/>
      <c r="D77" s="1798" t="s">
        <v>2012</v>
      </c>
      <c r="E77" s="1795"/>
      <c r="F77" s="1801">
        <f>(F14-F76)</f>
        <v>4739838</v>
      </c>
      <c r="G77" s="870"/>
    </row>
    <row r="78" spans="1:8" s="894" customFormat="1" ht="12" customHeight="1" thickTop="1" x14ac:dyDescent="0.2">
      <c r="A78" s="1802"/>
      <c r="B78" s="1797"/>
      <c r="C78" s="1793"/>
      <c r="D78" s="1798" t="s">
        <v>2059</v>
      </c>
      <c r="E78" s="1795"/>
      <c r="F78" s="899">
        <v>544.29</v>
      </c>
      <c r="G78" s="900"/>
      <c r="H78" s="870"/>
    </row>
    <row r="79" spans="1:8" s="894" customFormat="1" ht="12" customHeight="1" thickBot="1" x14ac:dyDescent="0.25">
      <c r="A79" s="1803"/>
      <c r="B79" s="1797"/>
      <c r="C79" s="1793"/>
      <c r="D79" s="1798" t="s">
        <v>2013</v>
      </c>
      <c r="E79" s="1795" t="s">
        <v>1015</v>
      </c>
      <c r="F79" s="1804">
        <f>IF(F78&gt;0,F77/F78," Complete Line 78")</f>
        <v>8708.2952102739346</v>
      </c>
      <c r="G79" s="870"/>
    </row>
    <row r="80" spans="1:8" s="894" customFormat="1" ht="8.25" customHeight="1" thickTop="1" x14ac:dyDescent="0.2">
      <c r="A80" s="901"/>
      <c r="B80" s="870"/>
      <c r="C80" s="872"/>
      <c r="D80" s="902"/>
      <c r="E80" s="869"/>
      <c r="F80" s="903"/>
      <c r="G80" s="870"/>
    </row>
    <row r="81" spans="1:7" s="894" customFormat="1" ht="12" thickBot="1" x14ac:dyDescent="0.25">
      <c r="A81" s="2287" t="s">
        <v>1167</v>
      </c>
      <c r="B81" s="2288"/>
      <c r="C81" s="2288"/>
      <c r="D81" s="2288"/>
      <c r="E81" s="2288"/>
      <c r="F81" s="228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2679</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13730</v>
      </c>
      <c r="G95" s="913"/>
    </row>
    <row r="96" spans="1:7" x14ac:dyDescent="0.2">
      <c r="A96" s="909" t="s">
        <v>479</v>
      </c>
      <c r="B96" s="909" t="s">
        <v>178</v>
      </c>
      <c r="C96" s="911">
        <f>'Revenues 9-14'!B84</f>
        <v>1811</v>
      </c>
      <c r="D96" s="912" t="str">
        <f>'Revenues 9-14'!A84</f>
        <v>Rentals - Regular Textbooks</v>
      </c>
      <c r="E96" s="907"/>
      <c r="F96" s="1810">
        <f>'Revenues 9-14'!C84</f>
        <v>23499</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106215</v>
      </c>
      <c r="G104" s="913"/>
    </row>
    <row r="105" spans="1:7" x14ac:dyDescent="0.2">
      <c r="A105" s="909" t="s">
        <v>524</v>
      </c>
      <c r="B105" s="909" t="s">
        <v>842</v>
      </c>
      <c r="C105" s="914">
        <v>3100</v>
      </c>
      <c r="D105" s="920" t="str">
        <f>'Revenues 9-14'!A131</f>
        <v>Total Special Education</v>
      </c>
      <c r="E105" s="907"/>
      <c r="F105" s="1810">
        <f>SUM('Revenues 9-14'!C131:D131,'Revenues 9-14'!F131)</f>
        <v>99257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1715</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351567</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11268</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131797</v>
      </c>
      <c r="G129" s="931"/>
    </row>
    <row r="130" spans="1:7" x14ac:dyDescent="0.2">
      <c r="A130" s="928" t="s">
        <v>689</v>
      </c>
      <c r="B130" s="928" t="s">
        <v>804</v>
      </c>
      <c r="C130" s="933">
        <v>4300</v>
      </c>
      <c r="D130" s="934" t="str">
        <f>'Revenues 9-14'!A211</f>
        <v>Total Title I</v>
      </c>
      <c r="E130" s="907"/>
      <c r="F130" s="1810">
        <f>SUM('Revenues 9-14'!C211,'Revenues 9-14'!D211,'Revenues 9-14'!F211,'Revenues 9-14'!G211)</f>
        <v>94416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125458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8027</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5470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2660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21599</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v>172317</v>
      </c>
      <c r="G175" s="928"/>
    </row>
    <row r="176" spans="1:7" x14ac:dyDescent="0.2">
      <c r="A176" s="1942" t="s">
        <v>685</v>
      </c>
      <c r="B176" s="1943" t="s">
        <v>2058</v>
      </c>
      <c r="C176" s="1944">
        <v>3300</v>
      </c>
      <c r="D176" s="1945" t="s">
        <v>2062</v>
      </c>
      <c r="E176" s="907"/>
      <c r="F176" s="1929">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1171674</v>
      </c>
    </row>
    <row r="179" spans="1:7" ht="12" customHeight="1" x14ac:dyDescent="0.2">
      <c r="A179" s="1791"/>
      <c r="B179" s="1805"/>
      <c r="C179" s="1806"/>
      <c r="D179" s="1807" t="s">
        <v>2015</v>
      </c>
      <c r="E179" s="1808"/>
      <c r="F179" s="1810">
        <f>'PCTC-OEPP 27-28'!F77-F178</f>
        <v>3568164</v>
      </c>
    </row>
    <row r="180" spans="1:7" ht="12" customHeight="1" x14ac:dyDescent="0.2">
      <c r="A180" s="1791"/>
      <c r="B180" s="1805"/>
      <c r="C180" s="1806"/>
      <c r="D180" s="1807" t="s">
        <v>1924</v>
      </c>
      <c r="E180" s="1808"/>
      <c r="F180" s="1810">
        <f>'Cap Outlay Deprec 26'!I18</f>
        <v>448869</v>
      </c>
    </row>
    <row r="181" spans="1:7" ht="12" customHeight="1" x14ac:dyDescent="0.2">
      <c r="A181" s="1791"/>
      <c r="B181" s="1805"/>
      <c r="C181" s="1806"/>
      <c r="D181" s="1807" t="s">
        <v>2016</v>
      </c>
      <c r="E181" s="1808"/>
      <c r="F181" s="1810">
        <f>F179+F180</f>
        <v>4017033</v>
      </c>
    </row>
    <row r="182" spans="1:7" ht="12" customHeight="1" x14ac:dyDescent="0.2">
      <c r="A182" s="1791"/>
      <c r="B182" s="1811"/>
      <c r="C182" s="1806"/>
      <c r="D182" s="1807" t="str">
        <f>D78</f>
        <v>9 Month ADA from District Average Daily Attendance/Prior General State Aid Inquiry 2017-2018</v>
      </c>
      <c r="E182" s="1808"/>
      <c r="F182" s="1812">
        <f>'PCTC-OEPP 27-28'!F78</f>
        <v>544.29</v>
      </c>
      <c r="G182" s="931"/>
    </row>
    <row r="183" spans="1:7" ht="12" customHeight="1" thickBot="1" x14ac:dyDescent="0.25">
      <c r="A183" s="1791"/>
      <c r="B183" s="1811"/>
      <c r="C183" s="1806"/>
      <c r="D183" s="1807" t="s">
        <v>2017</v>
      </c>
      <c r="E183" s="1808" t="s">
        <v>1626</v>
      </c>
      <c r="F183" s="1813">
        <f>F181/F182</f>
        <v>7380.317477815136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B1" zoomScaleNormal="100" workbookViewId="0">
      <selection activeCell="A7" sqref="A7:G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1" t="s">
        <v>1925</v>
      </c>
      <c r="B4" s="2302"/>
      <c r="C4" s="2302"/>
      <c r="D4" s="2302"/>
      <c r="E4" s="2302"/>
      <c r="F4" s="2302"/>
      <c r="G4" s="2303"/>
    </row>
    <row r="5" spans="1:7" x14ac:dyDescent="0.25">
      <c r="A5" s="2304"/>
      <c r="B5" s="2305"/>
      <c r="C5" s="2305"/>
      <c r="D5" s="2305"/>
      <c r="E5" s="2305"/>
      <c r="F5" s="2305"/>
      <c r="G5" s="2306"/>
    </row>
    <row r="6" spans="1:7" ht="18.75" x14ac:dyDescent="0.25">
      <c r="A6" s="1555" t="s">
        <v>1926</v>
      </c>
      <c r="B6" s="1556"/>
      <c r="C6" s="1556"/>
      <c r="D6" s="1556"/>
      <c r="E6" s="1556"/>
      <c r="F6" s="1556"/>
      <c r="G6" s="1557"/>
    </row>
    <row r="7" spans="1:7" ht="30.75" customHeight="1" x14ac:dyDescent="0.25">
      <c r="A7" s="2307" t="s">
        <v>2075</v>
      </c>
      <c r="B7" s="2308"/>
      <c r="C7" s="2308"/>
      <c r="D7" s="2308"/>
      <c r="E7" s="2308"/>
      <c r="F7" s="2308"/>
      <c r="G7" s="2309"/>
    </row>
    <row r="8" spans="1:7" ht="15.75" customHeight="1" x14ac:dyDescent="0.25">
      <c r="A8" s="2310" t="s">
        <v>2024</v>
      </c>
      <c r="B8" s="2311"/>
      <c r="C8" s="2311"/>
      <c r="D8" s="2311"/>
      <c r="E8" s="2311"/>
      <c r="F8" s="2311"/>
      <c r="G8" s="2312"/>
    </row>
    <row r="9" spans="1:7" ht="35.25" customHeight="1" x14ac:dyDescent="0.25">
      <c r="A9" s="2307" t="s">
        <v>2023</v>
      </c>
      <c r="B9" s="2308"/>
      <c r="C9" s="2308"/>
      <c r="D9" s="2308"/>
      <c r="E9" s="2308"/>
      <c r="F9" s="2308"/>
      <c r="G9" s="2309"/>
    </row>
    <row r="10" spans="1:7" ht="15" customHeight="1" x14ac:dyDescent="0.25">
      <c r="A10" s="1558" t="s">
        <v>1927</v>
      </c>
      <c r="B10" s="1559"/>
      <c r="C10" s="1559"/>
      <c r="D10" s="1559"/>
      <c r="E10" s="1559"/>
      <c r="F10" s="1559"/>
      <c r="G10" s="1560"/>
    </row>
    <row r="11" spans="1:7" ht="17.25" customHeight="1" x14ac:dyDescent="0.25">
      <c r="A11" s="2307" t="s">
        <v>1941</v>
      </c>
      <c r="B11" s="2308"/>
      <c r="C11" s="2308"/>
      <c r="D11" s="2308"/>
      <c r="E11" s="2308"/>
      <c r="F11" s="2308"/>
      <c r="G11" s="2309"/>
    </row>
    <row r="12" spans="1:7" ht="15" customHeight="1" x14ac:dyDescent="0.25">
      <c r="A12" s="1558" t="s">
        <v>1932</v>
      </c>
      <c r="B12" s="1559"/>
      <c r="C12" s="1559"/>
      <c r="D12" s="1559"/>
      <c r="E12" s="1559"/>
      <c r="F12" s="1559"/>
      <c r="G12" s="1560"/>
    </row>
    <row r="13" spans="1:7" ht="32.25" customHeight="1" x14ac:dyDescent="0.25">
      <c r="A13" s="2298" t="s">
        <v>1933</v>
      </c>
      <c r="B13" s="2299"/>
      <c r="C13" s="2299"/>
      <c r="D13" s="2299"/>
      <c r="E13" s="2299"/>
      <c r="F13" s="2299"/>
      <c r="G13" s="2300"/>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8" t="s">
        <v>2127</v>
      </c>
      <c r="B17" s="1964" t="s">
        <v>2113</v>
      </c>
      <c r="C17" s="1963" t="s">
        <v>2114</v>
      </c>
      <c r="D17" s="1866">
        <v>7800</v>
      </c>
      <c r="E17" s="1561">
        <f t="shared" ref="E17:E141" si="1">IF(D17&lt;=25000,D17,IF(D17&gt;25000,25000,0))</f>
        <v>7800</v>
      </c>
      <c r="F17" s="1814">
        <f t="shared" si="0"/>
        <v>7800</v>
      </c>
      <c r="G17" s="1815">
        <f>IF(F17=0,0,D17-F17)</f>
        <v>0</v>
      </c>
      <c r="H17" s="1668"/>
    </row>
    <row r="18" spans="1:8" x14ac:dyDescent="0.25">
      <c r="A18" s="1968" t="s">
        <v>2126</v>
      </c>
      <c r="B18" s="1967" t="s">
        <v>2116</v>
      </c>
      <c r="C18" s="1966" t="s">
        <v>2115</v>
      </c>
      <c r="D18" s="1866">
        <v>203</v>
      </c>
      <c r="E18" s="1561">
        <f t="shared" ref="E18:E140" si="2">IF(D18&lt;=25000,D18,IF(D18&gt;25000,25000,0))</f>
        <v>203</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203</v>
      </c>
      <c r="G18" s="1815">
        <f t="shared" ref="G18:G140" si="4">IF(F18=0,0,D18-F18)</f>
        <v>0</v>
      </c>
    </row>
    <row r="19" spans="1:8" x14ac:dyDescent="0.25">
      <c r="A19" s="1968" t="s">
        <v>2128</v>
      </c>
      <c r="B19" s="1967" t="s">
        <v>2117</v>
      </c>
      <c r="C19" s="1966" t="s">
        <v>2118</v>
      </c>
      <c r="D19" s="1866">
        <v>85183</v>
      </c>
      <c r="E19" s="1561">
        <f t="shared" si="2"/>
        <v>25000</v>
      </c>
      <c r="F19" s="1814">
        <f t="shared" si="3"/>
        <v>25000</v>
      </c>
      <c r="G19" s="1815">
        <f t="shared" si="4"/>
        <v>60183</v>
      </c>
    </row>
    <row r="20" spans="1:8" x14ac:dyDescent="0.25">
      <c r="A20" s="1968" t="s">
        <v>2129</v>
      </c>
      <c r="B20" s="1967" t="s">
        <v>2119</v>
      </c>
      <c r="C20" s="1966" t="s">
        <v>2118</v>
      </c>
      <c r="D20" s="1866">
        <v>40</v>
      </c>
      <c r="E20" s="1561">
        <f t="shared" si="2"/>
        <v>40</v>
      </c>
      <c r="F20" s="1814">
        <f t="shared" si="3"/>
        <v>40</v>
      </c>
      <c r="G20" s="1815">
        <f t="shared" si="4"/>
        <v>0</v>
      </c>
    </row>
    <row r="21" spans="1:8" x14ac:dyDescent="0.25">
      <c r="A21" s="1968" t="s">
        <v>2130</v>
      </c>
      <c r="B21" s="1967" t="s">
        <v>2120</v>
      </c>
      <c r="C21" s="1966" t="s">
        <v>2121</v>
      </c>
      <c r="D21" s="1866">
        <v>862</v>
      </c>
      <c r="E21" s="1561">
        <f t="shared" si="2"/>
        <v>862</v>
      </c>
      <c r="F21" s="1814">
        <f t="shared" si="3"/>
        <v>862</v>
      </c>
      <c r="G21" s="1815">
        <f t="shared" si="4"/>
        <v>0</v>
      </c>
    </row>
    <row r="22" spans="1:8" ht="30" x14ac:dyDescent="0.25">
      <c r="A22" s="1968" t="s">
        <v>2131</v>
      </c>
      <c r="B22" s="1967" t="s">
        <v>2122</v>
      </c>
      <c r="C22" s="1966" t="s">
        <v>2121</v>
      </c>
      <c r="D22" s="1866">
        <v>318345</v>
      </c>
      <c r="E22" s="1561">
        <f t="shared" si="2"/>
        <v>25000</v>
      </c>
      <c r="F22" s="1814">
        <f t="shared" si="3"/>
        <v>25000</v>
      </c>
      <c r="G22" s="1815">
        <f t="shared" si="4"/>
        <v>293345</v>
      </c>
    </row>
    <row r="23" spans="1:8" x14ac:dyDescent="0.25">
      <c r="A23" s="1968" t="s">
        <v>2132</v>
      </c>
      <c r="B23" s="1967" t="s">
        <v>2123</v>
      </c>
      <c r="C23" s="1966" t="s">
        <v>2124</v>
      </c>
      <c r="D23" s="1866">
        <v>750</v>
      </c>
      <c r="E23" s="1561">
        <f t="shared" si="2"/>
        <v>750</v>
      </c>
      <c r="F23" s="1814">
        <f t="shared" si="3"/>
        <v>750</v>
      </c>
      <c r="G23" s="1815">
        <f t="shared" si="4"/>
        <v>0</v>
      </c>
    </row>
    <row r="24" spans="1:8" x14ac:dyDescent="0.25">
      <c r="A24" s="1968" t="s">
        <v>2126</v>
      </c>
      <c r="B24" s="1967" t="s">
        <v>2116</v>
      </c>
      <c r="C24" s="1966" t="s">
        <v>2125</v>
      </c>
      <c r="D24" s="1866">
        <v>690</v>
      </c>
      <c r="E24" s="1561">
        <f t="shared" si="2"/>
        <v>690</v>
      </c>
      <c r="F24" s="1814">
        <f t="shared" si="3"/>
        <v>690</v>
      </c>
      <c r="G24" s="1815">
        <f t="shared" si="4"/>
        <v>0</v>
      </c>
    </row>
    <row r="25" spans="1:8" x14ac:dyDescent="0.25">
      <c r="A25" s="1969" t="s">
        <v>2133</v>
      </c>
      <c r="B25" s="1970" t="s">
        <v>2134</v>
      </c>
      <c r="C25" s="1971" t="s">
        <v>2135</v>
      </c>
      <c r="D25" s="1866">
        <v>30418</v>
      </c>
      <c r="E25" s="1561">
        <f t="shared" si="2"/>
        <v>25000</v>
      </c>
      <c r="F25" s="1814">
        <f t="shared" si="3"/>
        <v>25000</v>
      </c>
      <c r="G25" s="1815">
        <f t="shared" si="4"/>
        <v>5418</v>
      </c>
    </row>
    <row r="26" spans="1:8" x14ac:dyDescent="0.25">
      <c r="A26" s="1674"/>
      <c r="B26" s="1867"/>
      <c r="C26" s="1675"/>
      <c r="D26" s="1866"/>
      <c r="E26" s="1561">
        <f t="shared" si="2"/>
        <v>0</v>
      </c>
      <c r="F26" s="1814">
        <f t="shared" si="3"/>
        <v>0</v>
      </c>
      <c r="G26" s="1815">
        <f t="shared" si="4"/>
        <v>0</v>
      </c>
    </row>
    <row r="27" spans="1:8" x14ac:dyDescent="0.25">
      <c r="A27" s="1674"/>
      <c r="B27" s="1867"/>
      <c r="C27" s="1675"/>
      <c r="D27" s="1866"/>
      <c r="E27" s="1561">
        <f t="shared" si="2"/>
        <v>0</v>
      </c>
      <c r="F27" s="1814">
        <f t="shared" si="3"/>
        <v>0</v>
      </c>
      <c r="G27" s="1815">
        <f t="shared" si="4"/>
        <v>0</v>
      </c>
    </row>
    <row r="28" spans="1:8" x14ac:dyDescent="0.25">
      <c r="A28" s="1674"/>
      <c r="B28" s="1867"/>
      <c r="C28" s="1675"/>
      <c r="D28" s="1866"/>
      <c r="E28" s="1561">
        <f t="shared" si="2"/>
        <v>0</v>
      </c>
      <c r="F28" s="1814">
        <f t="shared" si="3"/>
        <v>0</v>
      </c>
      <c r="G28" s="1815">
        <f t="shared" si="4"/>
        <v>0</v>
      </c>
    </row>
    <row r="29" spans="1:8" x14ac:dyDescent="0.25">
      <c r="A29" s="1674"/>
      <c r="B29" s="1867"/>
      <c r="C29" s="1675"/>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444291</v>
      </c>
      <c r="E141" s="1562">
        <f t="shared" si="1"/>
        <v>25000</v>
      </c>
      <c r="F141" s="1816">
        <f>SUM(F17:F140)</f>
        <v>85345</v>
      </c>
      <c r="G141" s="1817">
        <f>SUM(G17:G140)</f>
        <v>358946</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9" colorId="8" zoomScaleNormal="110" workbookViewId="0">
      <selection activeCell="A7" sqref="A7: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3" t="s">
        <v>1778</v>
      </c>
      <c r="B5" s="2314"/>
      <c r="C5" s="2314"/>
      <c r="D5" s="2314"/>
      <c r="E5" s="2314"/>
      <c r="F5" s="2314"/>
      <c r="G5" s="2315"/>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62210</v>
      </c>
      <c r="F10" s="975"/>
      <c r="G10" s="976"/>
      <c r="H10" s="162"/>
      <c r="I10" s="162"/>
    </row>
    <row r="11" spans="1:9" s="669" customFormat="1" ht="22.5" customHeight="1" x14ac:dyDescent="0.2">
      <c r="A11" s="2318" t="s">
        <v>1945</v>
      </c>
      <c r="B11" s="2319"/>
      <c r="C11" s="2319"/>
      <c r="D11" s="2320"/>
      <c r="E11" s="978">
        <v>26782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2740715</v>
      </c>
      <c r="F19" s="1821"/>
      <c r="G19" s="1823">
        <f>'Expenditures 15-22'!K33-SUM('Expenditures 15-22'!G33,'Expenditures 15-22'!I33)+'Expenditures 15-22'!D229</f>
        <v>2740715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156063</v>
      </c>
      <c r="F21" s="1824"/>
      <c r="G21" s="1827">
        <f>'Expenditures 15-22'!K42-SUM('Expenditures 15-22'!G42,'Expenditures 15-22'!I42)+'Expenditures 15-22'!K120-SUM('Expenditures 15-22'!G120,'Expenditures 15-22'!I120)+'Expenditures 15-22'!K180-SUM('Expenditures 15-22'!G180,'Expenditures 15-22'!I180)+'Expenditures 15-22'!D238</f>
        <v>156063</v>
      </c>
      <c r="H21" s="988"/>
      <c r="I21" s="162"/>
    </row>
    <row r="22" spans="1:9" s="669" customFormat="1" ht="12" customHeight="1" x14ac:dyDescent="0.2">
      <c r="A22" s="995" t="s">
        <v>585</v>
      </c>
      <c r="B22" s="996"/>
      <c r="C22" s="994">
        <v>2200</v>
      </c>
      <c r="D22" s="1824"/>
      <c r="E22" s="1826">
        <f>'Expenditures 15-22'!K47-SUM('Expenditures 15-22'!G47,'Expenditures 15-22'!I47)+'Expenditures 15-22'!D243</f>
        <v>113054</v>
      </c>
      <c r="F22" s="1824"/>
      <c r="G22" s="1827">
        <f>'Expenditures 15-22'!K47-SUM('Expenditures 15-22'!G47,'Expenditures 15-22'!I47)+'Expenditures 15-22'!D243</f>
        <v>113054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453155</v>
      </c>
      <c r="F23" s="1824"/>
      <c r="G23" s="1826">
        <f>'Expenditures 15-22'!K53-SUM('Expenditures 15-22'!G53,'Expenditures 15-22'!I53)+'Expenditures 15-22'!D257+'Expenditures 15-22'!K330-SUM('Expenditures 15-22'!G330,'Expenditures 15-22'!I330)</f>
        <v>453155</v>
      </c>
      <c r="H23" s="988"/>
      <c r="I23" s="162"/>
    </row>
    <row r="24" spans="1:9" s="669" customFormat="1" ht="12" customHeight="1" x14ac:dyDescent="0.2">
      <c r="A24" s="995" t="s">
        <v>587</v>
      </c>
      <c r="B24" s="996"/>
      <c r="C24" s="994">
        <v>2400</v>
      </c>
      <c r="D24" s="1824"/>
      <c r="E24" s="1826">
        <f>'Expenditures 15-22'!K57-SUM('Expenditures 15-22'!G57,'Expenditures 15-22'!I57)+'Expenditures 15-22'!D261</f>
        <v>271022</v>
      </c>
      <c r="F24" s="1824"/>
      <c r="G24" s="1827">
        <f>'Expenditures 15-22'!K57-SUM('Expenditures 15-22'!G57,'Expenditures 15-22'!I57)+'Expenditures 15-22'!D261</f>
        <v>271022</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456151</v>
      </c>
      <c r="F28" s="1828">
        <f>'Expenditures 15-22'!K61-SUM('Expenditures 15-22'!G61,'Expenditures 15-22'!I61)+'Expenditures 15-22'!K124-SUM('Expenditures 15-22'!G124,'Expenditures 15-22'!I124)+'Expenditures 15-22'!D266-E9</f>
        <v>456151</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464471</v>
      </c>
      <c r="F29" s="1824"/>
      <c r="G29" s="1827">
        <f>'Expenditures 15-22'!K62-SUM('Expenditures 15-22'!G62,'Expenditures 15-22'!I62)+'Expenditures 15-22'!K125-SUM('Expenditures 15-22'!G125,'Expenditures 15-22'!I125)+'Expenditures 15-22'!K182-SUM('Expenditures 15-22'!G182,'Expenditures 15-22'!I182)+'Expenditures 15-22'!D267</f>
        <v>464471</v>
      </c>
      <c r="H29" s="986"/>
    </row>
    <row r="30" spans="1:9" ht="12" customHeight="1" x14ac:dyDescent="0.2">
      <c r="A30" s="995" t="s">
        <v>102</v>
      </c>
      <c r="B30" s="998"/>
      <c r="C30" s="994">
        <v>2560</v>
      </c>
      <c r="D30" s="1824"/>
      <c r="E30" s="1826">
        <f>'Expenditures 15-22'!K63-SUM('Expenditures 15-22'!G63,'Expenditures 15-22'!I63)+'Expenditures 15-22'!D268-E10</f>
        <v>86679</v>
      </c>
      <c r="F30" s="1824"/>
      <c r="G30" s="1826">
        <f>'Expenditures 15-22'!K63-SUM('Expenditures 15-22'!G63,'Expenditures 15-22'!I63)+'Expenditures 15-22'!D268-E10</f>
        <v>86679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114581</v>
      </c>
      <c r="F39" s="1824"/>
      <c r="G39" s="1826">
        <f>'Expenditures 15-22'!K75-SUM('Expenditures 15-22'!G75,'Expenditures 15-22'!I75)+'Expenditures 15-22'!K130-SUM('Expenditures 15-22'!G130,'Expenditures 15-22'!I130)+'Expenditures 15-22'!K185-SUM('Expenditures 15-22'!G185,'Expenditures 15-22'!I185)+'Expenditures 15-22'!D280</f>
        <v>114581</v>
      </c>
    </row>
    <row r="40" spans="1:7" ht="12" customHeight="1" x14ac:dyDescent="0.2">
      <c r="A40" s="991" t="s">
        <v>1930</v>
      </c>
      <c r="B40" s="992"/>
      <c r="C40" s="994"/>
      <c r="D40" s="1824"/>
      <c r="E40" s="1828">
        <f>-'Contracts Paid in CY 29'!G141</f>
        <v>-358946</v>
      </c>
      <c r="F40" s="1824"/>
      <c r="G40" s="1828">
        <f>-'Contracts Paid in CY 29'!G141</f>
        <v>-358946</v>
      </c>
    </row>
    <row r="41" spans="1:7" ht="12" customHeight="1" x14ac:dyDescent="0.2">
      <c r="A41" s="999" t="s">
        <v>158</v>
      </c>
      <c r="B41" s="1000"/>
      <c r="C41" s="1001"/>
      <c r="D41" s="1828">
        <f>SUM(D19:D39)</f>
        <v>0</v>
      </c>
      <c r="E41" s="1828">
        <f>SUM(E19:E40)</f>
        <v>4496945</v>
      </c>
      <c r="F41" s="1828">
        <f>SUM(F19:F39)</f>
        <v>456151</v>
      </c>
      <c r="G41" s="1828">
        <f>SUM(G19:G40)</f>
        <v>4040794</v>
      </c>
    </row>
    <row r="42" spans="1:7" x14ac:dyDescent="0.2">
      <c r="A42" s="988"/>
      <c r="B42" s="162"/>
      <c r="C42" s="1002"/>
      <c r="D42" s="2316" t="s">
        <v>543</v>
      </c>
      <c r="E42" s="2317"/>
      <c r="F42" s="1003" t="s">
        <v>544</v>
      </c>
      <c r="G42" s="1004"/>
    </row>
    <row r="43" spans="1:7" ht="12" customHeight="1" x14ac:dyDescent="0.2">
      <c r="A43" s="988"/>
      <c r="B43" s="162"/>
      <c r="C43" s="1002"/>
      <c r="D43" s="1829" t="s">
        <v>493</v>
      </c>
      <c r="E43" s="1830">
        <f>D41</f>
        <v>0</v>
      </c>
      <c r="F43" s="1829" t="s">
        <v>495</v>
      </c>
      <c r="G43" s="1830">
        <f>F41</f>
        <v>456151</v>
      </c>
    </row>
    <row r="44" spans="1:7" ht="12" customHeight="1" x14ac:dyDescent="0.2">
      <c r="A44" s="988"/>
      <c r="B44" s="162"/>
      <c r="C44" s="1002"/>
      <c r="D44" s="1829" t="s">
        <v>494</v>
      </c>
      <c r="E44" s="1830">
        <f>E41</f>
        <v>4496945</v>
      </c>
      <c r="F44" s="1829" t="s">
        <v>494</v>
      </c>
      <c r="G44" s="1830">
        <f>G41</f>
        <v>4040794</v>
      </c>
    </row>
    <row r="45" spans="1:7" ht="12" customHeight="1" x14ac:dyDescent="0.2">
      <c r="A45" s="988"/>
      <c r="B45" s="162"/>
      <c r="C45" s="162"/>
      <c r="D45" s="1831" t="s">
        <v>1063</v>
      </c>
      <c r="E45" s="1832">
        <f>(E43/E44)</f>
        <v>0</v>
      </c>
      <c r="F45" s="1831" t="s">
        <v>1063</v>
      </c>
      <c r="G45" s="1832">
        <f>(G43/G44)</f>
        <v>0.11288647726164709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4" t="s">
        <v>1446</v>
      </c>
      <c r="B1" s="2324"/>
      <c r="C1" s="2324"/>
      <c r="D1" s="2324"/>
      <c r="E1" s="2324"/>
      <c r="F1" s="2324"/>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5" t="s">
        <v>1627</v>
      </c>
      <c r="B5" s="2326"/>
      <c r="C5" s="2327"/>
      <c r="D5" s="2327"/>
      <c r="E5" s="2327"/>
      <c r="F5" s="2327"/>
    </row>
    <row r="6" spans="1:10" ht="12" customHeight="1" x14ac:dyDescent="0.25">
      <c r="A6" s="1873"/>
      <c r="B6" s="1874"/>
      <c r="C6" s="2328" t="str">
        <f>COVER!A17</f>
        <v>Shiloh Village SD 85</v>
      </c>
      <c r="D6" s="2328"/>
      <c r="E6" s="2328"/>
      <c r="F6" s="1875"/>
    </row>
    <row r="7" spans="1:10" ht="11.25" customHeight="1" thickBot="1" x14ac:dyDescent="0.3">
      <c r="A7" s="1873"/>
      <c r="B7" s="1874"/>
      <c r="C7" s="2329">
        <f>COVER!A13</f>
        <v>50082085002</v>
      </c>
      <c r="D7" s="2329"/>
      <c r="E7" s="2329"/>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2077</v>
      </c>
      <c r="D16" s="1888" t="s">
        <v>2077</v>
      </c>
      <c r="E16" s="1891" t="s">
        <v>2077</v>
      </c>
      <c r="F16" s="1890" t="s">
        <v>2136</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2077</v>
      </c>
      <c r="D26" s="1888" t="s">
        <v>2077</v>
      </c>
      <c r="E26" s="1891" t="s">
        <v>2077</v>
      </c>
      <c r="F26" s="1890" t="s">
        <v>2101</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2077</v>
      </c>
      <c r="D30" s="1888" t="s">
        <v>2077</v>
      </c>
      <c r="E30" s="1891" t="s">
        <v>2077</v>
      </c>
      <c r="F30" s="1890" t="s">
        <v>2102</v>
      </c>
      <c r="H30" s="1901">
        <f t="shared" si="0"/>
        <v>5</v>
      </c>
      <c r="I30" s="1901">
        <f t="shared" si="1"/>
        <v>5</v>
      </c>
      <c r="J30" s="1901">
        <f t="shared" si="2"/>
        <v>5</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15</v>
      </c>
      <c r="K34" s="1901">
        <f>SUM(H34:J34)</f>
        <v>45</v>
      </c>
    </row>
    <row r="35" spans="1:11" ht="12" customHeight="1" x14ac:dyDescent="0.2">
      <c r="A35" s="1894" t="s">
        <v>1459</v>
      </c>
      <c r="B35" s="1895"/>
      <c r="C35" s="2330"/>
      <c r="D35" s="2330"/>
      <c r="E35" s="2330"/>
      <c r="F35" s="2331"/>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35"/>
      <c r="B38" s="2336"/>
      <c r="C38" s="2336"/>
      <c r="D38" s="2336"/>
      <c r="E38" s="2336"/>
      <c r="F38" s="2337"/>
    </row>
    <row r="39" spans="1:11" ht="4.5" hidden="1" customHeight="1" x14ac:dyDescent="0.2">
      <c r="A39" s="1896"/>
      <c r="B39" s="1896"/>
      <c r="C39" s="1896"/>
      <c r="D39" s="1896"/>
      <c r="E39" s="1896"/>
      <c r="F39" s="1896"/>
    </row>
    <row r="40" spans="1:11" s="1893" customFormat="1" ht="12" customHeight="1" x14ac:dyDescent="0.25">
      <c r="A40" s="1897" t="s">
        <v>1458</v>
      </c>
      <c r="B40" s="1898"/>
      <c r="C40" s="2338"/>
      <c r="D40" s="2338"/>
      <c r="E40" s="2338"/>
      <c r="F40" s="2339"/>
      <c r="H40" s="1902"/>
      <c r="I40" s="1902"/>
      <c r="J40" s="1902"/>
      <c r="K40" s="1902"/>
    </row>
    <row r="41" spans="1:11" s="1893" customFormat="1" ht="12" customHeight="1" x14ac:dyDescent="0.25">
      <c r="A41" s="2340"/>
      <c r="B41" s="2341"/>
      <c r="C41" s="2341"/>
      <c r="D41" s="2341"/>
      <c r="E41" s="2341"/>
      <c r="F41" s="2342"/>
      <c r="H41" s="1902"/>
      <c r="I41" s="1902"/>
      <c r="J41" s="1902"/>
      <c r="K41" s="1902"/>
    </row>
    <row r="42" spans="1:11" s="1893" customFormat="1" ht="12" customHeight="1" x14ac:dyDescent="0.25">
      <c r="A42" s="2340" t="s">
        <v>2137</v>
      </c>
      <c r="B42" s="2341"/>
      <c r="C42" s="2341"/>
      <c r="D42" s="2341"/>
      <c r="E42" s="2341"/>
      <c r="F42" s="2342"/>
      <c r="H42" s="1902"/>
      <c r="I42" s="1902"/>
      <c r="J42" s="1902"/>
      <c r="K42" s="1902"/>
    </row>
    <row r="43" spans="1:11" s="1893" customFormat="1" ht="15" x14ac:dyDescent="0.25">
      <c r="A43" s="2332"/>
      <c r="B43" s="2333"/>
      <c r="C43" s="2333"/>
      <c r="D43" s="2333"/>
      <c r="E43" s="2333"/>
      <c r="F43" s="2334"/>
      <c r="H43" s="1902"/>
      <c r="I43" s="1902"/>
      <c r="J43" s="1902"/>
      <c r="K43" s="1902"/>
    </row>
    <row r="44" spans="1:11" s="1893" customFormat="1" ht="12" hidden="1" customHeight="1" x14ac:dyDescent="0.25">
      <c r="A44" s="2332"/>
      <c r="B44" s="2333"/>
      <c r="C44" s="2333"/>
      <c r="D44" s="2333"/>
      <c r="E44" s="2333"/>
      <c r="F44" s="233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7" sqref="A7:D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48" t="str">
        <f>COVER!A17</f>
        <v>Shiloh Village SD 85</v>
      </c>
      <c r="J6" s="2349"/>
      <c r="Q6" s="1685"/>
    </row>
    <row r="7" spans="1:17" x14ac:dyDescent="0.2">
      <c r="A7" s="2350" t="s">
        <v>924</v>
      </c>
      <c r="B7" s="2351"/>
      <c r="C7" s="2351"/>
      <c r="D7" s="2351"/>
      <c r="E7" s="2352"/>
      <c r="F7" s="1018"/>
      <c r="G7" s="1010"/>
      <c r="H7" s="1017" t="s">
        <v>390</v>
      </c>
      <c r="I7" s="2353">
        <f>COVER!A13</f>
        <v>50082085002</v>
      </c>
      <c r="J7" s="2353"/>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4" t="s">
        <v>502</v>
      </c>
      <c r="B11" s="2355"/>
      <c r="C11" s="235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189908</v>
      </c>
      <c r="F12" s="1040"/>
      <c r="G12" s="1833">
        <f t="shared" ref="G12:G18" si="0">SUM(E12:F12)</f>
        <v>189908</v>
      </c>
      <c r="H12" s="1041">
        <v>196475</v>
      </c>
      <c r="I12" s="1040"/>
      <c r="J12" s="1833">
        <f t="shared" ref="J12:J18" si="1">SUM(H12:I12)</f>
        <v>196475</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7" t="s">
        <v>7</v>
      </c>
      <c r="C18" s="2358"/>
      <c r="D18" s="2359"/>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189908</v>
      </c>
      <c r="F19" s="1835">
        <f t="shared" si="2"/>
        <v>0</v>
      </c>
      <c r="G19" s="1835">
        <f t="shared" si="2"/>
        <v>189908</v>
      </c>
      <c r="H19" s="1835">
        <f t="shared" si="2"/>
        <v>196475</v>
      </c>
      <c r="I19" s="1835">
        <f t="shared" si="2"/>
        <v>0</v>
      </c>
      <c r="J19" s="1835">
        <f t="shared" si="2"/>
        <v>196475</v>
      </c>
    </row>
    <row r="20" spans="1:10" ht="13.5" thickTop="1" x14ac:dyDescent="0.2">
      <c r="A20" s="1036">
        <v>9</v>
      </c>
      <c r="B20" s="2360" t="s">
        <v>1703</v>
      </c>
      <c r="C20" s="2360"/>
      <c r="D20" s="2361"/>
      <c r="E20" s="1047"/>
      <c r="F20" s="1047"/>
      <c r="G20" s="1047"/>
      <c r="H20" s="1047"/>
      <c r="I20" s="1047"/>
      <c r="J20" s="1836">
        <f>IF(AND(G19&gt;0,J19&gt;0),(((J19-G19)/G19)),"Enter Budget Data")</f>
        <v>3.4579901847210229E-2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6"/>
      <c r="D26" s="2366"/>
      <c r="E26" s="1051"/>
      <c r="F26" s="2365"/>
      <c r="G26" s="2365"/>
    </row>
    <row r="27" spans="1:10" x14ac:dyDescent="0.2">
      <c r="B27" s="1048"/>
      <c r="C27" s="1052" t="s">
        <v>1093</v>
      </c>
      <c r="D27" s="1053"/>
      <c r="E27" s="1054"/>
      <c r="F27" s="2362" t="s">
        <v>1589</v>
      </c>
      <c r="G27" s="2362"/>
    </row>
    <row r="28" spans="1:10" ht="28.5" customHeight="1" x14ac:dyDescent="0.2">
      <c r="B28" s="1048"/>
      <c r="C28" s="2364"/>
      <c r="D28" s="2364"/>
      <c r="E28" s="1055"/>
      <c r="F28" s="2364"/>
      <c r="G28" s="2364"/>
    </row>
    <row r="29" spans="1:10" x14ac:dyDescent="0.2">
      <c r="B29" s="1048"/>
      <c r="C29" s="1056" t="s">
        <v>1642</v>
      </c>
      <c r="E29" s="1057"/>
      <c r="F29" s="2363" t="s">
        <v>1590</v>
      </c>
      <c r="G29" s="236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3"/>
    </row>
    <row r="36" spans="1:10" ht="13.5" customHeight="1" x14ac:dyDescent="0.2">
      <c r="B36" s="1062"/>
      <c r="C36" s="2347" t="s">
        <v>1944</v>
      </c>
      <c r="D36" s="2346"/>
      <c r="E36" s="2346"/>
      <c r="F36" s="2346"/>
      <c r="G36" s="2346"/>
      <c r="H36" s="2346"/>
      <c r="I36" s="2346"/>
      <c r="J36" s="1064"/>
    </row>
    <row r="37" spans="1:10" ht="22.5" customHeight="1" x14ac:dyDescent="0.2">
      <c r="C37" s="2346"/>
      <c r="D37" s="2346"/>
      <c r="E37" s="2346"/>
      <c r="F37" s="2346"/>
      <c r="G37" s="2346"/>
      <c r="H37" s="2346"/>
      <c r="I37" s="2346"/>
      <c r="J37" s="1064"/>
    </row>
    <row r="38" spans="1:10" ht="7.5" customHeight="1" x14ac:dyDescent="0.2">
      <c r="C38" s="1063"/>
      <c r="D38" s="1065"/>
      <c r="E38" s="1066"/>
      <c r="F38" s="1067"/>
      <c r="G38" s="1066"/>
    </row>
    <row r="39" spans="1:10" ht="13.5" customHeight="1" x14ac:dyDescent="0.2">
      <c r="B39" s="1062"/>
      <c r="C39" s="2343" t="s">
        <v>937</v>
      </c>
      <c r="D39" s="2344"/>
      <c r="E39" s="2344"/>
      <c r="F39" s="2344"/>
      <c r="G39" s="2344"/>
      <c r="H39" s="2344"/>
      <c r="I39" s="234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L66"/>
  <sheetViews>
    <sheetView showGridLines="0" zoomScale="90" zoomScaleNormal="90" workbookViewId="0">
      <selection activeCell="A7" sqref="A7:D7"/>
    </sheetView>
  </sheetViews>
  <sheetFormatPr defaultColWidth="9.140625" defaultRowHeight="12.75" x14ac:dyDescent="0.2"/>
  <cols>
    <col min="1" max="1" width="3.7109375" style="329" customWidth="1"/>
    <col min="2" max="3" width="3" style="329" customWidth="1"/>
    <col min="4" max="4" width="6.85546875" style="329" customWidth="1"/>
    <col min="5" max="5" width="2.85546875" style="329" customWidth="1"/>
    <col min="6" max="6" width="9.140625" style="329"/>
    <col min="7" max="7" width="2.85546875" style="329" customWidth="1"/>
    <col min="8" max="8" width="23.42578125" style="329" customWidth="1"/>
    <col min="9" max="9" width="2.7109375" style="329" customWidth="1"/>
    <col min="10" max="10" width="43" style="329" customWidth="1"/>
    <col min="11" max="11" width="3.140625" style="329" customWidth="1"/>
    <col min="12" max="12" width="10.140625" style="329" customWidth="1"/>
    <col min="13" max="16384" width="9.140625" style="329"/>
  </cols>
  <sheetData>
    <row r="2" spans="2:12" x14ac:dyDescent="0.2">
      <c r="B2" s="389" t="s">
        <v>276</v>
      </c>
    </row>
    <row r="3" spans="2:12" x14ac:dyDescent="0.2">
      <c r="B3" s="329" t="s">
        <v>277</v>
      </c>
    </row>
    <row r="5" spans="2:12" x14ac:dyDescent="0.2">
      <c r="B5" s="1960"/>
      <c r="C5" s="1959"/>
      <c r="D5" s="1961" t="s">
        <v>2103</v>
      </c>
      <c r="E5" s="1959"/>
      <c r="F5" s="1961" t="s">
        <v>396</v>
      </c>
      <c r="G5" s="1959"/>
      <c r="H5" s="1961" t="s">
        <v>1137</v>
      </c>
      <c r="I5" s="1959"/>
      <c r="J5" s="1961" t="s">
        <v>502</v>
      </c>
      <c r="K5" s="1959"/>
      <c r="L5" s="1961" t="s">
        <v>920</v>
      </c>
    </row>
    <row r="6" spans="2:12" ht="10.9" customHeight="1" x14ac:dyDescent="0.2"/>
    <row r="7" spans="2:12" x14ac:dyDescent="0.2">
      <c r="B7" s="1069">
        <v>1</v>
      </c>
      <c r="D7" s="1957">
        <v>15</v>
      </c>
      <c r="E7" s="1957"/>
      <c r="F7" s="1957">
        <v>1790</v>
      </c>
      <c r="H7" s="329" t="s">
        <v>1217</v>
      </c>
      <c r="J7" s="329" t="s">
        <v>2104</v>
      </c>
      <c r="L7" s="1956">
        <v>7368</v>
      </c>
    </row>
    <row r="8" spans="2:12" x14ac:dyDescent="0.2">
      <c r="B8" s="1069"/>
      <c r="D8" s="1957"/>
      <c r="E8" s="1957"/>
      <c r="F8" s="1957"/>
      <c r="J8" s="329" t="s">
        <v>2107</v>
      </c>
      <c r="L8" s="1955">
        <v>5788</v>
      </c>
    </row>
    <row r="9" spans="2:12" ht="13.5" thickBot="1" x14ac:dyDescent="0.25">
      <c r="B9" s="1069"/>
      <c r="D9" s="1957"/>
      <c r="E9" s="1957"/>
      <c r="F9" s="1957"/>
      <c r="L9" s="1954">
        <f>SUM(L7:L8)</f>
        <v>13156</v>
      </c>
    </row>
    <row r="10" spans="2:12" ht="9.6" customHeight="1" thickTop="1" x14ac:dyDescent="0.2">
      <c r="B10" s="1069"/>
      <c r="D10" s="1957"/>
      <c r="E10" s="1957"/>
      <c r="F10" s="1957"/>
      <c r="L10" s="1956"/>
    </row>
    <row r="11" spans="2:12" x14ac:dyDescent="0.2">
      <c r="B11" s="1069">
        <v>2</v>
      </c>
      <c r="D11" s="1957">
        <v>15</v>
      </c>
      <c r="E11" s="1957"/>
      <c r="F11" s="1957">
        <v>1993</v>
      </c>
      <c r="H11" s="329" t="s">
        <v>1217</v>
      </c>
      <c r="J11" s="329" t="s">
        <v>2105</v>
      </c>
      <c r="L11" s="1956">
        <v>106215</v>
      </c>
    </row>
    <row r="12" spans="2:12" ht="10.15" customHeight="1" x14ac:dyDescent="0.2">
      <c r="B12" s="1069"/>
      <c r="D12" s="1957"/>
      <c r="E12" s="1957"/>
      <c r="F12" s="1957"/>
      <c r="L12" s="1956"/>
    </row>
    <row r="13" spans="2:12" x14ac:dyDescent="0.2">
      <c r="B13" s="1069">
        <v>3</v>
      </c>
      <c r="D13" s="1957">
        <v>15</v>
      </c>
      <c r="E13" s="1957"/>
      <c r="F13" s="1957">
        <v>1999</v>
      </c>
      <c r="H13" s="329" t="s">
        <v>1217</v>
      </c>
      <c r="J13" s="329" t="s">
        <v>2106</v>
      </c>
      <c r="L13" s="1956">
        <v>36243</v>
      </c>
    </row>
    <row r="14" spans="2:12" ht="12" customHeight="1" x14ac:dyDescent="0.2">
      <c r="B14" s="1069"/>
      <c r="D14" s="1957"/>
      <c r="E14" s="1957"/>
      <c r="F14" s="1957"/>
      <c r="L14" s="1956"/>
    </row>
    <row r="15" spans="2:12" x14ac:dyDescent="0.2">
      <c r="B15" s="1069">
        <v>4</v>
      </c>
      <c r="D15" s="1957">
        <v>15</v>
      </c>
      <c r="E15" s="1957"/>
      <c r="F15" s="1957">
        <v>1999</v>
      </c>
      <c r="H15" s="329" t="s">
        <v>925</v>
      </c>
      <c r="J15" s="329" t="s">
        <v>2106</v>
      </c>
      <c r="L15" s="1956">
        <v>126</v>
      </c>
    </row>
    <row r="16" spans="2:12" ht="11.45" customHeight="1" x14ac:dyDescent="0.2">
      <c r="B16" s="1069"/>
      <c r="D16" s="1957"/>
      <c r="E16" s="1957"/>
      <c r="F16" s="1957"/>
      <c r="L16" s="1956"/>
    </row>
    <row r="17" spans="2:12" x14ac:dyDescent="0.2">
      <c r="B17" s="1069">
        <v>5</v>
      </c>
      <c r="D17" s="1957">
        <v>15</v>
      </c>
      <c r="E17" s="1957"/>
      <c r="F17" s="1957">
        <v>1999</v>
      </c>
      <c r="H17" s="329" t="s">
        <v>456</v>
      </c>
      <c r="J17" s="329" t="s">
        <v>2106</v>
      </c>
      <c r="L17" s="1956">
        <v>5781</v>
      </c>
    </row>
    <row r="18" spans="2:12" x14ac:dyDescent="0.2">
      <c r="B18" s="1069"/>
      <c r="D18" s="1957"/>
      <c r="E18" s="1957"/>
      <c r="F18" s="1957"/>
      <c r="L18" s="1956"/>
    </row>
    <row r="19" spans="2:12" x14ac:dyDescent="0.2">
      <c r="B19" s="1069">
        <v>6</v>
      </c>
      <c r="D19" s="1957">
        <v>17</v>
      </c>
      <c r="E19" s="1957"/>
      <c r="F19" s="1957">
        <v>3999</v>
      </c>
      <c r="H19" s="329" t="s">
        <v>1217</v>
      </c>
      <c r="J19" s="329" t="s">
        <v>2108</v>
      </c>
      <c r="L19" s="1956">
        <v>10518</v>
      </c>
    </row>
    <row r="20" spans="2:12" x14ac:dyDescent="0.2">
      <c r="B20" s="1069"/>
      <c r="D20" s="1957"/>
      <c r="E20" s="1957"/>
      <c r="F20" s="1957"/>
      <c r="J20" s="329" t="s">
        <v>2109</v>
      </c>
      <c r="L20" s="1962">
        <v>750</v>
      </c>
    </row>
    <row r="21" spans="2:12" ht="15" customHeight="1" thickBot="1" x14ac:dyDescent="0.25">
      <c r="B21" s="1069"/>
      <c r="D21" s="1957"/>
      <c r="E21" s="1957"/>
      <c r="F21" s="1957"/>
      <c r="L21" s="1954">
        <f>SUM(L19:L20)</f>
        <v>11268</v>
      </c>
    </row>
    <row r="22" spans="2:12" ht="12.6" customHeight="1" thickTop="1" x14ac:dyDescent="0.2">
      <c r="B22" s="1069"/>
      <c r="D22" s="1957"/>
      <c r="E22" s="1957"/>
      <c r="F22" s="1957"/>
      <c r="L22" s="1956"/>
    </row>
    <row r="23" spans="2:12" x14ac:dyDescent="0.2">
      <c r="B23" s="1069">
        <v>7</v>
      </c>
      <c r="D23" s="1957">
        <v>23</v>
      </c>
      <c r="E23" s="1957"/>
      <c r="F23" s="1957">
        <v>5400</v>
      </c>
      <c r="H23" s="329" t="s">
        <v>458</v>
      </c>
      <c r="J23" s="329" t="s">
        <v>2110</v>
      </c>
      <c r="L23" s="1956">
        <v>475</v>
      </c>
    </row>
    <row r="24" spans="2:12" x14ac:dyDescent="0.2">
      <c r="B24" s="1069"/>
      <c r="D24" s="1957"/>
      <c r="E24" s="1957"/>
      <c r="F24" s="1957"/>
      <c r="J24" s="329" t="s">
        <v>2138</v>
      </c>
      <c r="L24" s="1962">
        <v>2000</v>
      </c>
    </row>
    <row r="25" spans="2:12" ht="13.5" thickBot="1" x14ac:dyDescent="0.25">
      <c r="B25" s="1069"/>
      <c r="D25" s="1957"/>
      <c r="E25" s="1957"/>
      <c r="F25" s="1957"/>
      <c r="L25" s="1954">
        <f>SUM(L23:L24)</f>
        <v>2475</v>
      </c>
    </row>
    <row r="26" spans="2:12" ht="13.5" thickTop="1" x14ac:dyDescent="0.2">
      <c r="B26" s="1069"/>
      <c r="D26" s="1957"/>
      <c r="E26" s="1957"/>
      <c r="F26" s="1957"/>
      <c r="L26" s="1956"/>
    </row>
    <row r="27" spans="2:12" x14ac:dyDescent="0.2">
      <c r="B27" s="1069">
        <v>8</v>
      </c>
      <c r="D27" s="1957">
        <v>30</v>
      </c>
      <c r="E27" s="1957"/>
      <c r="F27" s="1965" t="s">
        <v>2111</v>
      </c>
      <c r="H27" s="329" t="s">
        <v>2112</v>
      </c>
      <c r="J27" s="329" t="s">
        <v>2139</v>
      </c>
      <c r="L27" s="1956">
        <v>167</v>
      </c>
    </row>
    <row r="28" spans="2:12" x14ac:dyDescent="0.2">
      <c r="B28" s="1069"/>
      <c r="L28" s="1956"/>
    </row>
    <row r="29" spans="2:12" x14ac:dyDescent="0.2">
      <c r="B29" s="1069"/>
      <c r="L29" s="1956"/>
    </row>
    <row r="30" spans="2:12" x14ac:dyDescent="0.2">
      <c r="B30" s="1069"/>
      <c r="L30" s="1956"/>
    </row>
    <row r="31" spans="2:12" x14ac:dyDescent="0.2">
      <c r="B31" s="1069"/>
      <c r="L31" s="1958"/>
    </row>
    <row r="32" spans="2:12" x14ac:dyDescent="0.2">
      <c r="B32" s="1069"/>
      <c r="L32" s="1958"/>
    </row>
    <row r="33" spans="2:12" x14ac:dyDescent="0.2">
      <c r="B33" s="1069"/>
      <c r="L33" s="1958"/>
    </row>
    <row r="34" spans="2:12" x14ac:dyDescent="0.2">
      <c r="B34" s="1069"/>
      <c r="L34" s="1958"/>
    </row>
    <row r="35" spans="2:12" x14ac:dyDescent="0.2">
      <c r="B35" s="1069"/>
      <c r="L35" s="1958"/>
    </row>
    <row r="36" spans="2:12" x14ac:dyDescent="0.2">
      <c r="B36" s="1069"/>
      <c r="L36" s="1958"/>
    </row>
    <row r="37" spans="2:12" x14ac:dyDescent="0.2">
      <c r="B37" s="1069"/>
    </row>
    <row r="38" spans="2:12" x14ac:dyDescent="0.2">
      <c r="B38" s="1069"/>
    </row>
    <row r="39" spans="2:12" x14ac:dyDescent="0.2">
      <c r="B39" s="1069"/>
    </row>
    <row r="40" spans="2:12" x14ac:dyDescent="0.2">
      <c r="B40" s="1069"/>
    </row>
    <row r="41" spans="2:12" x14ac:dyDescent="0.2">
      <c r="B41" s="1069"/>
    </row>
    <row r="42" spans="2:12" x14ac:dyDescent="0.2">
      <c r="B42" s="1069"/>
    </row>
    <row r="43" spans="2:12" x14ac:dyDescent="0.2">
      <c r="B43" s="1069"/>
    </row>
    <row r="44" spans="2:12" x14ac:dyDescent="0.2">
      <c r="B44" s="1069"/>
    </row>
    <row r="45" spans="2:12" x14ac:dyDescent="0.2">
      <c r="B45" s="1069"/>
    </row>
    <row r="46" spans="2:12" x14ac:dyDescent="0.2">
      <c r="B46" s="1069"/>
    </row>
    <row r="47" spans="2:12" x14ac:dyDescent="0.2">
      <c r="B47" s="1069"/>
    </row>
    <row r="48" spans="2:12" x14ac:dyDescent="0.2">
      <c r="B48" s="1069"/>
    </row>
    <row r="49" spans="2:2" x14ac:dyDescent="0.2">
      <c r="B49" s="1069"/>
    </row>
    <row r="50" spans="2:2" x14ac:dyDescent="0.2">
      <c r="B50" s="1069"/>
    </row>
    <row r="51" spans="2:2" x14ac:dyDescent="0.2">
      <c r="B51" s="1069"/>
    </row>
    <row r="52" spans="2:2" x14ac:dyDescent="0.2">
      <c r="B52" s="1069"/>
    </row>
    <row r="53" spans="2:2" x14ac:dyDescent="0.2">
      <c r="B53" s="1069"/>
    </row>
    <row r="54" spans="2:2" x14ac:dyDescent="0.2">
      <c r="B54" s="1069"/>
    </row>
    <row r="55" spans="2:2" x14ac:dyDescent="0.2">
      <c r="B55" s="1069"/>
    </row>
    <row r="56" spans="2:2" x14ac:dyDescent="0.2">
      <c r="B56" s="1069"/>
    </row>
    <row r="57" spans="2:2" x14ac:dyDescent="0.2">
      <c r="B57" s="1069"/>
    </row>
    <row r="58" spans="2:2" x14ac:dyDescent="0.2">
      <c r="B58" s="1069"/>
    </row>
    <row r="59" spans="2:2" x14ac:dyDescent="0.2">
      <c r="B59" s="1069"/>
    </row>
    <row r="60" spans="2:2" x14ac:dyDescent="0.2">
      <c r="B60" s="1069"/>
    </row>
    <row r="61" spans="2:2" x14ac:dyDescent="0.2">
      <c r="B61" s="1069"/>
    </row>
    <row r="62" spans="2:2" x14ac:dyDescent="0.2">
      <c r="B62" s="1069"/>
    </row>
    <row r="63" spans="2:2" x14ac:dyDescent="0.2">
      <c r="B63" s="1069"/>
    </row>
    <row r="64" spans="2:2" x14ac:dyDescent="0.2">
      <c r="B64" s="1069"/>
    </row>
    <row r="65" spans="2:3" x14ac:dyDescent="0.2">
      <c r="B65" s="1069"/>
      <c r="C65" s="258" t="str">
        <f>COVER!A17</f>
        <v>Shiloh Village SD 85</v>
      </c>
    </row>
    <row r="66" spans="2:3" x14ac:dyDescent="0.2">
      <c r="C66" s="1070">
        <f>COVER!A13</f>
        <v>50082085002</v>
      </c>
    </row>
  </sheetData>
  <phoneticPr fontId="15" type="noConversion"/>
  <pageMargins left="0.75"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2"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4" t="s">
        <v>1125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715</v>
      </c>
      <c r="B40" s="2081"/>
      <c r="C40" s="2081"/>
      <c r="D40" s="2081"/>
      <c r="E40" s="2081"/>
    </row>
    <row r="41" spans="1:5" x14ac:dyDescent="0.2">
      <c r="A41" s="2082" t="s">
        <v>1706</v>
      </c>
      <c r="B41" s="2082"/>
      <c r="C41" s="2082"/>
      <c r="D41" s="2082"/>
      <c r="E41" s="2082"/>
    </row>
    <row r="42" spans="1:5" ht="12.75" customHeight="1" x14ac:dyDescent="0.2">
      <c r="A42" s="2083" t="s">
        <v>1080</v>
      </c>
      <c r="B42" s="2083"/>
      <c r="C42" s="2083"/>
      <c r="D42" s="2083"/>
      <c r="E42" s="208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landscape"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7" t="s">
        <v>1784</v>
      </c>
      <c r="B18" s="23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74"/>
      <c r="H2" s="1074"/>
    </row>
    <row r="3" spans="1:8" ht="57" customHeight="1" x14ac:dyDescent="0.2">
      <c r="A3" s="2381" t="s">
        <v>1786</v>
      </c>
      <c r="B3" s="2382"/>
      <c r="C3" s="2382"/>
      <c r="D3" s="2382"/>
      <c r="E3" s="2382"/>
      <c r="F3" s="2383"/>
      <c r="G3" s="1074"/>
      <c r="H3" s="1074"/>
    </row>
    <row r="4" spans="1:8" ht="14.25" customHeight="1" x14ac:dyDescent="0.2">
      <c r="A4" s="2387" t="s">
        <v>2056</v>
      </c>
      <c r="B4" s="2388"/>
      <c r="C4" s="2388"/>
      <c r="D4" s="2388"/>
      <c r="E4" s="2388"/>
      <c r="F4" s="2389"/>
      <c r="G4" s="1074"/>
      <c r="H4" s="1074"/>
    </row>
    <row r="5" spans="1:8" ht="14.25" customHeight="1" x14ac:dyDescent="0.2">
      <c r="A5" s="2390" t="s">
        <v>2057</v>
      </c>
      <c r="B5" s="2391"/>
      <c r="C5" s="2391"/>
      <c r="D5" s="2391"/>
      <c r="E5" s="2391"/>
      <c r="F5" s="2392"/>
      <c r="G5" s="1074"/>
      <c r="H5" s="1074"/>
    </row>
    <row r="6" spans="1:8" s="1075" customFormat="1" ht="41.25" customHeight="1" x14ac:dyDescent="0.2">
      <c r="A6" s="2384" t="s">
        <v>1792</v>
      </c>
      <c r="B6" s="2385"/>
      <c r="C6" s="2385"/>
      <c r="D6" s="2385"/>
      <c r="E6" s="2385"/>
      <c r="F6" s="2386"/>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4381964</v>
      </c>
      <c r="C8" s="1837">
        <f>'Acct Summary 7-8'!D8</f>
        <v>529777</v>
      </c>
      <c r="D8" s="1837">
        <f>'Acct Summary 7-8'!F8</f>
        <v>619707</v>
      </c>
      <c r="E8" s="1837">
        <f>'Acct Summary 7-8'!I8</f>
        <v>48748</v>
      </c>
      <c r="F8" s="1837">
        <f>SUM(B8:E8)</f>
        <v>5580196</v>
      </c>
    </row>
    <row r="9" spans="1:8" s="1079" customFormat="1" ht="14.25" customHeight="1" thickBot="1" x14ac:dyDescent="0.25">
      <c r="A9" s="1078" t="s">
        <v>1436</v>
      </c>
      <c r="B9" s="1838">
        <f>'Acct Summary 7-8'!C17</f>
        <v>4318059</v>
      </c>
      <c r="C9" s="1838">
        <f>'Acct Summary 7-8'!D17</f>
        <v>430574</v>
      </c>
      <c r="D9" s="1838">
        <f>'Acct Summary 7-8'!F17</f>
        <v>464471</v>
      </c>
      <c r="E9" s="1837"/>
      <c r="F9" s="1837">
        <f>SUM(B9:E9)</f>
        <v>5213104</v>
      </c>
    </row>
    <row r="10" spans="1:8" s="1079" customFormat="1" ht="14.25" thickTop="1" thickBot="1" x14ac:dyDescent="0.25">
      <c r="A10" s="1080" t="s">
        <v>1437</v>
      </c>
      <c r="B10" s="1839">
        <f>(B8-B9)</f>
        <v>63905</v>
      </c>
      <c r="C10" s="1839">
        <f>(C8-C9)</f>
        <v>99203</v>
      </c>
      <c r="D10" s="1839">
        <f>(D8-D9)</f>
        <v>155236</v>
      </c>
      <c r="E10" s="1838">
        <f>(E8-E9)</f>
        <v>48748</v>
      </c>
      <c r="F10" s="1840">
        <f>SUM(F8-F9)</f>
        <v>367092</v>
      </c>
    </row>
    <row r="11" spans="1:8" s="1079" customFormat="1" ht="14.25" thickTop="1" thickBot="1" x14ac:dyDescent="0.25">
      <c r="A11" s="1081" t="s">
        <v>1785</v>
      </c>
      <c r="B11" s="1841">
        <f>'Acct Summary 7-8'!C81</f>
        <v>414054</v>
      </c>
      <c r="C11" s="1841">
        <f>'Acct Summary 7-8'!D81</f>
        <v>352940</v>
      </c>
      <c r="D11" s="1841">
        <f>'Acct Summary 7-8'!F81</f>
        <v>227036</v>
      </c>
      <c r="E11" s="1841">
        <f>'Acct Summary 7-8'!I81</f>
        <v>285233</v>
      </c>
      <c r="F11" s="1842">
        <f>SUM(B11:E11)</f>
        <v>1279263</v>
      </c>
    </row>
    <row r="12" spans="1:8" ht="16.5" customHeight="1" thickTop="1" x14ac:dyDescent="0.2">
      <c r="A12" s="1082"/>
      <c r="B12" s="1083"/>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4"/>
      <c r="B13" s="1085"/>
      <c r="C13" s="2372"/>
      <c r="D13" s="2373"/>
      <c r="E13" s="2373"/>
      <c r="F13" s="2374"/>
      <c r="H13" s="1074"/>
    </row>
    <row r="14" spans="1:8" ht="19.5" customHeight="1" x14ac:dyDescent="0.2">
      <c r="A14" s="1084"/>
      <c r="B14" s="1085"/>
      <c r="C14" s="2372"/>
      <c r="D14" s="2373"/>
      <c r="E14" s="2373"/>
      <c r="F14" s="2374"/>
      <c r="H14" s="1074"/>
    </row>
    <row r="15" spans="1:8" ht="17.25" customHeight="1" x14ac:dyDescent="0.2">
      <c r="A15" s="1084"/>
      <c r="B15" s="1085"/>
      <c r="C15" s="2375"/>
      <c r="D15" s="2376"/>
      <c r="E15" s="2376"/>
      <c r="F15" s="2377"/>
      <c r="H15" s="1074"/>
    </row>
    <row r="16" spans="1:8" s="310" customFormat="1" ht="51.75" hidden="1" customHeight="1" x14ac:dyDescent="0.2">
      <c r="A16" s="2371" t="s">
        <v>1787</v>
      </c>
      <c r="B16" s="2371"/>
      <c r="C16" s="2371"/>
      <c r="D16" s="2371"/>
      <c r="E16" s="2371"/>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C1" colorId="8" zoomScale="110" zoomScaleNormal="110" workbookViewId="0">
      <selection activeCell="A7" sqref="A7:D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93" t="s">
        <v>686</v>
      </c>
      <c r="B3" s="2394"/>
      <c r="C3" s="2394"/>
      <c r="D3" s="2395"/>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4" t="s">
        <v>1584</v>
      </c>
      <c r="D7" s="2405"/>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6" t="s">
        <v>1065</v>
      </c>
      <c r="B15" s="2397"/>
      <c r="C15" s="2397"/>
      <c r="D15" s="2398"/>
    </row>
    <row r="16" spans="1:4" s="669" customFormat="1" ht="24" customHeight="1" x14ac:dyDescent="0.2">
      <c r="A16" s="2399" t="s">
        <v>684</v>
      </c>
      <c r="B16" s="2400"/>
      <c r="C16" s="2400"/>
      <c r="D16" s="2401"/>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8" t="s">
        <v>332</v>
      </c>
      <c r="D21" s="2409"/>
    </row>
    <row r="22" spans="1:10" ht="12.75" x14ac:dyDescent="0.2">
      <c r="A22" s="1139"/>
      <c r="B22" s="1140">
        <v>2</v>
      </c>
      <c r="C22" s="2406" t="s">
        <v>1605</v>
      </c>
      <c r="D22" s="2407"/>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0" t="s">
        <v>557</v>
      </c>
      <c r="D43" s="2411"/>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2" t="s">
        <v>817</v>
      </c>
      <c r="D56" s="2403"/>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402" t="s">
        <v>1797</v>
      </c>
      <c r="D70" s="2403"/>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50082085002</v>
      </c>
    </row>
    <row r="3" spans="1:2" x14ac:dyDescent="0.2">
      <c r="A3" t="s">
        <v>1013</v>
      </c>
      <c r="B3" s="138" t="str">
        <f>COVER!A15</f>
        <v>ST. CLAIR</v>
      </c>
    </row>
    <row r="4" spans="1:2" x14ac:dyDescent="0.2">
      <c r="A4" t="s">
        <v>1064</v>
      </c>
      <c r="B4" s="138" t="str">
        <f>COVER!A17</f>
        <v>Shiloh Village SD 85</v>
      </c>
    </row>
    <row r="5" spans="1:2" x14ac:dyDescent="0.2">
      <c r="A5" t="s">
        <v>728</v>
      </c>
      <c r="B5" s="138" t="str">
        <f>COVER!A38</f>
        <v>DALE F. SAUER</v>
      </c>
    </row>
    <row r="6" spans="1:2" x14ac:dyDescent="0.2">
      <c r="A6" t="s">
        <v>733</v>
      </c>
      <c r="B6" s="138">
        <f>COVER!P35</f>
        <v>0</v>
      </c>
    </row>
    <row r="7" spans="1:2" x14ac:dyDescent="0.2">
      <c r="A7" t="s">
        <v>729</v>
      </c>
      <c r="B7" s="138">
        <f>COVER!I38</f>
        <v>0</v>
      </c>
    </row>
    <row r="8" spans="1:2" x14ac:dyDescent="0.2">
      <c r="A8" t="s">
        <v>730</v>
      </c>
      <c r="B8" s="138" t="str">
        <f>COVER!T38</f>
        <v>SUSAN SARFATY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BRAIN A. OTTEN</v>
      </c>
    </row>
    <row r="18" spans="1:2" x14ac:dyDescent="0.2">
      <c r="A18" t="s">
        <v>1212</v>
      </c>
      <c r="B18" s="138" t="str">
        <f>COVER!T17</f>
        <v>222 EAST MAIN STREET</v>
      </c>
    </row>
    <row r="19" spans="1:2" x14ac:dyDescent="0.2">
      <c r="A19" t="s">
        <v>941</v>
      </c>
      <c r="B19" s="138" t="str">
        <f>COVER!T25</f>
        <v>brain.otten@scheffelboyle.com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414054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236442</v>
      </c>
      <c r="D92" s="2" t="str">
        <f t="shared" si="0"/>
        <v>Error?</v>
      </c>
    </row>
    <row r="93" spans="1:4" x14ac:dyDescent="0.2">
      <c r="A93" s="5">
        <v>32</v>
      </c>
      <c r="B93" s="138">
        <f>'Assets-Liab 5-6'!C41</f>
        <v>414054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352940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352940</v>
      </c>
      <c r="D123" s="2" t="str">
        <f t="shared" si="0"/>
        <v>Error?</v>
      </c>
    </row>
    <row r="124" spans="1:4" x14ac:dyDescent="0.2">
      <c r="A124" s="5">
        <v>63</v>
      </c>
      <c r="B124" s="138">
        <f>'Assets-Liab 5-6'!D41</f>
        <v>352940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382561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382561</v>
      </c>
      <c r="D140" s="2" t="str">
        <f t="shared" si="1"/>
        <v>Error?</v>
      </c>
    </row>
    <row r="141" spans="1:4" x14ac:dyDescent="0.2">
      <c r="A141" s="5">
        <v>80</v>
      </c>
      <c r="B141" s="138">
        <f>'Assets-Liab 5-6'!E41</f>
        <v>382561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227036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227036</v>
      </c>
      <c r="D170" s="2" t="str">
        <f t="shared" si="1"/>
        <v>Error?</v>
      </c>
    </row>
    <row r="171" spans="1:4" x14ac:dyDescent="0.2">
      <c r="A171" s="5">
        <v>110</v>
      </c>
      <c r="B171" s="138">
        <f>'Assets-Liab 5-6'!F41</f>
        <v>227036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498017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398817</v>
      </c>
      <c r="D189" s="2" t="str">
        <f t="shared" si="1"/>
        <v>Error?</v>
      </c>
    </row>
    <row r="190" spans="1:4" x14ac:dyDescent="0.2">
      <c r="A190" s="5">
        <v>129</v>
      </c>
      <c r="B190" s="138">
        <f>'Assets-Liab 5-6'!G41</f>
        <v>498017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351724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351724</v>
      </c>
      <c r="D212" s="2" t="str">
        <f t="shared" si="2"/>
        <v>Error?</v>
      </c>
    </row>
    <row r="213" spans="1:4" x14ac:dyDescent="0.2">
      <c r="A213" s="12">
        <v>152</v>
      </c>
      <c r="B213" s="138">
        <f>'Assets-Liab 5-6'!H41</f>
        <v>351724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850953</v>
      </c>
      <c r="D273" s="2" t="str">
        <f t="shared" si="3"/>
        <v>Error?</v>
      </c>
    </row>
    <row r="274" spans="1:4" x14ac:dyDescent="0.2">
      <c r="A274" s="5">
        <v>213</v>
      </c>
      <c r="B274" s="138">
        <f>'Assets-Liab 5-6'!M17</f>
        <v>19052323</v>
      </c>
      <c r="D274" s="2" t="str">
        <f t="shared" si="3"/>
        <v>Error?</v>
      </c>
    </row>
    <row r="275" spans="1:4" x14ac:dyDescent="0.2">
      <c r="A275" s="5">
        <v>214</v>
      </c>
      <c r="B275" s="138">
        <f>'Assets-Liab 5-6'!M18</f>
        <v>160743</v>
      </c>
      <c r="D275" s="2" t="str">
        <f t="shared" si="3"/>
        <v>Error?</v>
      </c>
    </row>
    <row r="276" spans="1:4" x14ac:dyDescent="0.2">
      <c r="A276" s="5">
        <v>215</v>
      </c>
      <c r="B276" s="138">
        <f>'Assets-Liab 5-6'!M19</f>
        <v>1311548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21375567</v>
      </c>
      <c r="C279" s="2" t="s">
        <v>594</v>
      </c>
      <c r="D279" s="2" t="str">
        <f t="shared" si="3"/>
        <v>Error?</v>
      </c>
    </row>
    <row r="280" spans="1:4" x14ac:dyDescent="0.2">
      <c r="A280" s="5">
        <v>219</v>
      </c>
      <c r="B280" s="138">
        <f>'Assets-Liab 5-6'!M40</f>
        <v>21375567</v>
      </c>
      <c r="D280" s="2" t="str">
        <f t="shared" si="3"/>
        <v>Error?</v>
      </c>
    </row>
    <row r="281" spans="1:4" x14ac:dyDescent="0.2">
      <c r="A281" s="5">
        <v>220</v>
      </c>
      <c r="B281" s="138">
        <f>'Assets-Liab 5-6'!M41</f>
        <v>21375567</v>
      </c>
      <c r="C281" s="2" t="s">
        <v>594</v>
      </c>
      <c r="D281" s="2" t="str">
        <f t="shared" si="3"/>
        <v>Error?</v>
      </c>
    </row>
    <row r="282" spans="1:4" x14ac:dyDescent="0.2">
      <c r="A282" s="5">
        <v>221</v>
      </c>
      <c r="B282" s="138">
        <f>'Assets-Liab 5-6'!N21</f>
        <v>382561</v>
      </c>
      <c r="D282" s="2" t="str">
        <f t="shared" si="3"/>
        <v>Error?</v>
      </c>
    </row>
    <row r="283" spans="1:4" x14ac:dyDescent="0.2">
      <c r="A283" s="5">
        <v>222</v>
      </c>
      <c r="B283" s="138">
        <f>'Assets-Liab 5-6'!N22</f>
        <v>2212439</v>
      </c>
      <c r="D283" s="2" t="str">
        <f t="shared" si="3"/>
        <v>Error?</v>
      </c>
    </row>
    <row r="284" spans="1:4" x14ac:dyDescent="0.2">
      <c r="A284" s="5">
        <v>223</v>
      </c>
      <c r="B284" s="138">
        <f>'Assets-Liab 5-6'!N23</f>
        <v>2595000</v>
      </c>
      <c r="C284" s="2" t="s">
        <v>594</v>
      </c>
      <c r="D284" s="2" t="str">
        <f t="shared" si="3"/>
        <v>Error?</v>
      </c>
    </row>
    <row r="285" spans="1:4" x14ac:dyDescent="0.2">
      <c r="A285" s="5">
        <v>224</v>
      </c>
      <c r="B285" s="138">
        <f>'Assets-Liab 5-6'!N36</f>
        <v>2595000</v>
      </c>
      <c r="D285" s="2" t="str">
        <f t="shared" si="3"/>
        <v>Error?</v>
      </c>
    </row>
    <row r="286" spans="1:4" x14ac:dyDescent="0.2">
      <c r="A286" s="10">
        <v>225</v>
      </c>
      <c r="D286" s="2" t="str">
        <f t="shared" si="3"/>
        <v>OK</v>
      </c>
    </row>
    <row r="287" spans="1:4" x14ac:dyDescent="0.2">
      <c r="A287" s="5">
        <v>226</v>
      </c>
      <c r="B287" s="138">
        <f>'Assets-Liab 5-6'!N37</f>
        <v>2595000</v>
      </c>
      <c r="C287" s="2" t="s">
        <v>594</v>
      </c>
      <c r="D287" s="2" t="str">
        <f t="shared" si="3"/>
        <v>Error?</v>
      </c>
    </row>
    <row r="288" spans="1:4" x14ac:dyDescent="0.2">
      <c r="A288" s="5">
        <v>227</v>
      </c>
      <c r="B288" s="138">
        <f>'Assets-Liab 5-6'!N41</f>
        <v>2595000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1614384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66139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2330513</v>
      </c>
      <c r="C720" s="2" t="s">
        <v>594</v>
      </c>
      <c r="D720" s="2" t="str">
        <f t="shared" si="10"/>
        <v>Error?</v>
      </c>
    </row>
    <row r="721" spans="1:4" x14ac:dyDescent="0.2">
      <c r="A721" s="5">
        <v>660</v>
      </c>
      <c r="B721" s="138">
        <f>'Expenditures 15-22'!C36</f>
        <v>45395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22616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72215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140226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79411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79411</v>
      </c>
      <c r="C731" s="2" t="s">
        <v>594</v>
      </c>
      <c r="D731" s="2" t="str">
        <f t="shared" si="10"/>
        <v>Error?</v>
      </c>
    </row>
    <row r="732" spans="1:4" x14ac:dyDescent="0.2">
      <c r="A732" s="5">
        <v>671</v>
      </c>
      <c r="B732" s="138">
        <f>'Expenditures 15-22'!C49</f>
        <v>14596</v>
      </c>
      <c r="D732" s="2" t="str">
        <f t="shared" si="10"/>
        <v>Error?</v>
      </c>
    </row>
    <row r="733" spans="1:4" x14ac:dyDescent="0.2">
      <c r="A733" s="5">
        <v>672</v>
      </c>
      <c r="B733" s="138">
        <f>'Expenditures 15-22'!C50</f>
        <v>171622</v>
      </c>
      <c r="D733" s="2" t="str">
        <f t="shared" si="10"/>
        <v>Error?</v>
      </c>
    </row>
    <row r="734" spans="1:4" x14ac:dyDescent="0.2">
      <c r="A734" s="5">
        <v>673</v>
      </c>
      <c r="B734" s="138">
        <f>'Expenditures 15-22'!C53</f>
        <v>186218</v>
      </c>
      <c r="C734" s="2" t="s">
        <v>594</v>
      </c>
      <c r="D734" s="2" t="str">
        <f t="shared" si="10"/>
        <v>Error?</v>
      </c>
    </row>
    <row r="735" spans="1:4" x14ac:dyDescent="0.2">
      <c r="A735" s="5">
        <v>674</v>
      </c>
      <c r="B735" s="138">
        <f>'Expenditures 15-22'!C55</f>
        <v>228192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228192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66867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66867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700914</v>
      </c>
      <c r="C755" s="2" t="s">
        <v>594</v>
      </c>
      <c r="D755" s="2" t="str">
        <f t="shared" si="10"/>
        <v>Error?</v>
      </c>
    </row>
    <row r="756" spans="1:4" x14ac:dyDescent="0.2">
      <c r="A756" s="5">
        <v>695</v>
      </c>
      <c r="B756" s="138">
        <f>'Expenditures 15-22'!C75</f>
        <v>88045</v>
      </c>
      <c r="D756" s="2" t="str">
        <f t="shared" si="10"/>
        <v>Error?</v>
      </c>
    </row>
    <row r="757" spans="1:4" x14ac:dyDescent="0.2">
      <c r="A757" s="5">
        <v>696</v>
      </c>
      <c r="B757" s="138">
        <f>'Expenditures 15-22'!C114</f>
        <v>3119472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202062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278718</v>
      </c>
      <c r="C778" s="2" t="s">
        <v>594</v>
      </c>
      <c r="D778" s="2" t="str">
        <f t="shared" si="11"/>
        <v>Error?</v>
      </c>
    </row>
    <row r="779" spans="1:4" x14ac:dyDescent="0.2">
      <c r="A779" s="5">
        <v>718</v>
      </c>
      <c r="B779" s="138">
        <f>'Expenditures 15-22'!D36</f>
        <v>1007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4054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6491</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8836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8836</v>
      </c>
      <c r="C789" s="2" t="s">
        <v>594</v>
      </c>
      <c r="D789" s="2" t="str">
        <f t="shared" si="11"/>
        <v>Error?</v>
      </c>
    </row>
    <row r="790" spans="1:4" x14ac:dyDescent="0.2">
      <c r="A790" s="5">
        <v>729</v>
      </c>
      <c r="B790" s="138">
        <f>'Expenditures 15-22'!D49</f>
        <v>1395</v>
      </c>
      <c r="D790" s="2" t="str">
        <f t="shared" si="11"/>
        <v>Error?</v>
      </c>
    </row>
    <row r="791" spans="1:4" x14ac:dyDescent="0.2">
      <c r="A791" s="5">
        <v>730</v>
      </c>
      <c r="B791" s="138">
        <f>'Expenditures 15-22'!D50</f>
        <v>14326</v>
      </c>
      <c r="D791" s="2" t="str">
        <f t="shared" si="11"/>
        <v>Error?</v>
      </c>
    </row>
    <row r="792" spans="1:4" x14ac:dyDescent="0.2">
      <c r="A792" s="5">
        <v>731</v>
      </c>
      <c r="B792" s="138">
        <f>'Expenditures 15-22'!D53</f>
        <v>15721</v>
      </c>
      <c r="C792" s="2" t="s">
        <v>594</v>
      </c>
      <c r="D792" s="2" t="str">
        <f t="shared" si="11"/>
        <v>Error?</v>
      </c>
    </row>
    <row r="793" spans="1:4" x14ac:dyDescent="0.2">
      <c r="A793" s="5">
        <v>732</v>
      </c>
      <c r="B793" s="138">
        <f>'Expenditures 15-22'!D55</f>
        <v>27559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27559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9953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9953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68560</v>
      </c>
      <c r="C813" s="2" t="s">
        <v>594</v>
      </c>
      <c r="D813" s="2" t="str">
        <f t="shared" si="11"/>
        <v>Error?</v>
      </c>
    </row>
    <row r="814" spans="1:4" x14ac:dyDescent="0.2">
      <c r="A814" s="5">
        <v>753</v>
      </c>
      <c r="B814" s="138">
        <f>'Expenditures 15-22'!D75</f>
        <v>448</v>
      </c>
      <c r="D814" s="2" t="str">
        <f t="shared" si="11"/>
        <v>Error?</v>
      </c>
    </row>
    <row r="815" spans="1:4" x14ac:dyDescent="0.2">
      <c r="A815" s="5">
        <v>754</v>
      </c>
      <c r="B815" s="138">
        <f>'Expenditures 15-22'!D114</f>
        <v>347726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25426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32901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v>
      </c>
      <c r="C843" s="2" t="s">
        <v>594</v>
      </c>
      <c r="D843" s="2" t="str">
        <f t="shared" si="12"/>
        <v>Error?</v>
      </c>
    </row>
    <row r="844" spans="1:4" x14ac:dyDescent="0.2">
      <c r="A844" s="5">
        <v>783</v>
      </c>
      <c r="B844" s="138">
        <f>'Expenditures 15-22'!E44</f>
        <v>5679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203</v>
      </c>
      <c r="D846" s="2" t="str">
        <f t="shared" si="12"/>
        <v>Error?</v>
      </c>
    </row>
    <row r="847" spans="1:4" x14ac:dyDescent="0.2">
      <c r="A847" s="5">
        <v>786</v>
      </c>
      <c r="B847" s="138">
        <f>'Expenditures 15-22'!E47</f>
        <v>5882</v>
      </c>
      <c r="C847" s="2" t="s">
        <v>594</v>
      </c>
      <c r="D847" s="2" t="str">
        <f t="shared" si="12"/>
        <v>Error?</v>
      </c>
    </row>
    <row r="848" spans="1:4" x14ac:dyDescent="0.2">
      <c r="A848" s="5">
        <v>787</v>
      </c>
      <c r="B848" s="138">
        <f>'Expenditures 15-22'!E49</f>
        <v>25210</v>
      </c>
      <c r="D848" s="2" t="str">
        <f t="shared" si="12"/>
        <v>Error?</v>
      </c>
    </row>
    <row r="849" spans="1:4" x14ac:dyDescent="0.2">
      <c r="A849" s="5">
        <v>788</v>
      </c>
      <c r="B849" s="138">
        <f>'Expenditures 15-22'!E50</f>
        <v>493</v>
      </c>
      <c r="D849" s="2" t="str">
        <f t="shared" si="12"/>
        <v>Error?</v>
      </c>
    </row>
    <row r="850" spans="1:4" x14ac:dyDescent="0.2">
      <c r="A850" s="5">
        <v>789</v>
      </c>
      <c r="B850" s="138">
        <f>'Expenditures 15-22'!E53</f>
        <v>25703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62210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62210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93924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203422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29464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1970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32184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2150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3584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3584</v>
      </c>
      <c r="C905" s="2" t="s">
        <v>594</v>
      </c>
      <c r="D905" s="2" t="str">
        <f t="shared" si="13"/>
        <v>Error?</v>
      </c>
    </row>
    <row r="906" spans="1:4" x14ac:dyDescent="0.2">
      <c r="A906" s="5">
        <v>845</v>
      </c>
      <c r="B906" s="138">
        <f>'Expenditures 15-22'!F49</f>
        <v>6830</v>
      </c>
      <c r="D906" s="2" t="str">
        <f t="shared" si="13"/>
        <v>Error?</v>
      </c>
    </row>
    <row r="907" spans="1:4" x14ac:dyDescent="0.2">
      <c r="A907" s="5">
        <v>846</v>
      </c>
      <c r="B907" s="138">
        <f>'Expenditures 15-22'!F50</f>
        <v>2020</v>
      </c>
      <c r="D907" s="2" t="str">
        <f t="shared" si="13"/>
        <v>Error?</v>
      </c>
    </row>
    <row r="908" spans="1:4" x14ac:dyDescent="0.2">
      <c r="A908" s="5">
        <v>847</v>
      </c>
      <c r="B908" s="138">
        <f>'Expenditures 15-22'!F53</f>
        <v>8850</v>
      </c>
      <c r="C908" s="2" t="s">
        <v>594</v>
      </c>
      <c r="D908" s="2" t="str">
        <f t="shared" si="13"/>
        <v>Error?</v>
      </c>
    </row>
    <row r="909" spans="1:4" x14ac:dyDescent="0.2">
      <c r="A909" s="5">
        <v>848</v>
      </c>
      <c r="B909" s="138">
        <f>'Expenditures 15-22'!F55</f>
        <v>1829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16413</v>
      </c>
      <c r="C929" s="2" t="s">
        <v>594</v>
      </c>
      <c r="D929" s="2" t="str">
        <f t="shared" si="13"/>
        <v>Error?</v>
      </c>
    </row>
    <row r="930" spans="1:4" x14ac:dyDescent="0.2">
      <c r="A930" s="5">
        <v>869</v>
      </c>
      <c r="B930" s="138">
        <f>'Expenditures 15-22'!F75</f>
        <v>14083</v>
      </c>
      <c r="D930" s="2" t="str">
        <f t="shared" si="13"/>
        <v>Error?</v>
      </c>
    </row>
    <row r="931" spans="1:4" x14ac:dyDescent="0.2">
      <c r="A931" s="5">
        <v>870</v>
      </c>
      <c r="B931" s="138">
        <f>'Expenditures 15-22'!F114</f>
        <v>62680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12850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12850</v>
      </c>
      <c r="C1021" s="2" t="s">
        <v>594</v>
      </c>
      <c r="D1021" s="2" t="str">
        <f t="shared" si="14"/>
        <v>Error?</v>
      </c>
    </row>
    <row r="1022" spans="1:4" x14ac:dyDescent="0.2">
      <c r="A1022" s="5">
        <v>961</v>
      </c>
      <c r="B1022" s="138">
        <f>'Expenditures 15-22'!H49</f>
        <v>4257</v>
      </c>
      <c r="D1022" s="2" t="str">
        <f t="shared" si="14"/>
        <v>Error?</v>
      </c>
    </row>
    <row r="1023" spans="1:4" x14ac:dyDescent="0.2">
      <c r="A1023" s="5">
        <v>962</v>
      </c>
      <c r="B1023" s="138">
        <f>'Expenditures 15-22'!H50</f>
        <v>1447</v>
      </c>
      <c r="D1023" s="2" t="str">
        <f t="shared" ref="D1023:D1086" si="15">IF(ISBLANK(B1023),"OK",IF(A1023-B1023=0,"OK","Error?"))</f>
        <v>Error?</v>
      </c>
    </row>
    <row r="1024" spans="1:4" x14ac:dyDescent="0.2">
      <c r="A1024" s="5">
        <v>963</v>
      </c>
      <c r="B1024" s="138">
        <f>'Expenditures 15-22'!H53</f>
        <v>5704</v>
      </c>
      <c r="C1024" s="2" t="s">
        <v>594</v>
      </c>
      <c r="D1024" s="2" t="str">
        <f t="shared" si="15"/>
        <v>Error?</v>
      </c>
    </row>
    <row r="1025" spans="1:4" x14ac:dyDescent="0.2">
      <c r="A1025" s="5">
        <v>964</v>
      </c>
      <c r="B1025" s="138">
        <f>'Expenditures 15-22'!H55</f>
        <v>1402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1402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20025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564059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584759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1871336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75797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2674991</v>
      </c>
      <c r="C1108" s="2" t="s">
        <v>594</v>
      </c>
      <c r="D1108" s="2" t="str">
        <f t="shared" si="16"/>
        <v>Error?</v>
      </c>
    </row>
    <row r="1109" spans="1:4" x14ac:dyDescent="0.2">
      <c r="A1109" s="5">
        <v>1048</v>
      </c>
      <c r="B1109" s="138">
        <f>'Expenditures 15-22'!K36</f>
        <v>46402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28999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73645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149046</v>
      </c>
      <c r="C1115" s="2" t="s">
        <v>594</v>
      </c>
      <c r="D1115" s="2" t="str">
        <f t="shared" si="16"/>
        <v>Error?</v>
      </c>
    </row>
    <row r="1116" spans="1:4" x14ac:dyDescent="0.2">
      <c r="A1116" s="5">
        <v>1055</v>
      </c>
      <c r="B1116" s="138">
        <f>'Expenditures 15-22'!K44</f>
        <v>5679</v>
      </c>
      <c r="C1116" s="2" t="s">
        <v>594</v>
      </c>
      <c r="D1116" s="2" t="str">
        <f t="shared" si="16"/>
        <v>Error?</v>
      </c>
    </row>
    <row r="1117" spans="1:4" x14ac:dyDescent="0.2">
      <c r="A1117" s="5">
        <v>1056</v>
      </c>
      <c r="B1117" s="138">
        <f>'Expenditures 15-22'!K45</f>
        <v>104681</v>
      </c>
      <c r="C1117" s="2" t="s">
        <v>594</v>
      </c>
      <c r="D1117" s="2" t="str">
        <f t="shared" si="16"/>
        <v>Error?</v>
      </c>
    </row>
    <row r="1118" spans="1:4" x14ac:dyDescent="0.2">
      <c r="A1118" s="5">
        <v>1057</v>
      </c>
      <c r="B1118" s="138">
        <f>'Expenditures 15-22'!K46</f>
        <v>203</v>
      </c>
      <c r="C1118" s="2" t="s">
        <v>594</v>
      </c>
      <c r="D1118" s="2" t="str">
        <f t="shared" si="16"/>
        <v>Error?</v>
      </c>
    </row>
    <row r="1119" spans="1:4" x14ac:dyDescent="0.2">
      <c r="A1119" s="5">
        <v>1058</v>
      </c>
      <c r="B1119" s="138">
        <f>'Expenditures 15-22'!K47</f>
        <v>110563</v>
      </c>
      <c r="C1119" s="2" t="s">
        <v>594</v>
      </c>
      <c r="D1119" s="2" t="str">
        <f t="shared" si="16"/>
        <v>Error?</v>
      </c>
    </row>
    <row r="1120" spans="1:4" x14ac:dyDescent="0.2">
      <c r="A1120" s="5">
        <v>1059</v>
      </c>
      <c r="B1120" s="138">
        <f>'Expenditures 15-22'!K49</f>
        <v>52288</v>
      </c>
      <c r="C1120" s="2" t="s">
        <v>594</v>
      </c>
      <c r="D1120" s="2" t="str">
        <f t="shared" si="16"/>
        <v>Error?</v>
      </c>
    </row>
    <row r="1121" spans="1:4" x14ac:dyDescent="0.2">
      <c r="A1121" s="5">
        <v>1060</v>
      </c>
      <c r="B1121" s="138">
        <f>'Expenditures 15-22'!K50</f>
        <v>189908</v>
      </c>
      <c r="C1121" s="2" t="s">
        <v>594</v>
      </c>
      <c r="D1121" s="2" t="str">
        <f t="shared" si="16"/>
        <v>Error?</v>
      </c>
    </row>
    <row r="1122" spans="1:4" x14ac:dyDescent="0.2">
      <c r="A1122" s="5">
        <v>1061</v>
      </c>
      <c r="B1122" s="138">
        <f>'Expenditures 15-22'!K53</f>
        <v>242196</v>
      </c>
      <c r="C1122" s="2" t="s">
        <v>594</v>
      </c>
      <c r="D1122" s="2" t="str">
        <f t="shared" si="16"/>
        <v>Error?</v>
      </c>
    </row>
    <row r="1123" spans="1:4" x14ac:dyDescent="0.2">
      <c r="A1123" s="5">
        <v>1062</v>
      </c>
      <c r="B1123" s="138">
        <f>'Expenditures 15-22'!K55</f>
        <v>258982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258982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139049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139049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899836</v>
      </c>
      <c r="C1143" s="2" t="s">
        <v>594</v>
      </c>
      <c r="D1143" s="2" t="str">
        <f t="shared" si="16"/>
        <v>Error?</v>
      </c>
    </row>
    <row r="1144" spans="1:4" x14ac:dyDescent="0.2">
      <c r="A1144" s="5">
        <v>1083</v>
      </c>
      <c r="B1144" s="138">
        <f>'Expenditures 15-22'!K75</f>
        <v>102576</v>
      </c>
      <c r="C1144" s="2" t="s">
        <v>594</v>
      </c>
      <c r="D1144" s="2" t="str">
        <f t="shared" si="16"/>
        <v>Error?</v>
      </c>
    </row>
    <row r="1145" spans="1:4" x14ac:dyDescent="0.2">
      <c r="A1145" s="5">
        <v>1084</v>
      </c>
      <c r="B1145" s="138">
        <f>'Expenditures 15-22'!K102</f>
        <v>640656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4318059</v>
      </c>
      <c r="C1152" s="2" t="s">
        <v>594</v>
      </c>
      <c r="D1152" s="2" t="str">
        <f t="shared" si="17"/>
        <v>Error?</v>
      </c>
    </row>
    <row r="1153" spans="1:4" x14ac:dyDescent="0.2">
      <c r="A1153" s="5">
        <v>1092</v>
      </c>
      <c r="B1153" s="138">
        <f>'Expenditures 15-22'!K115</f>
        <v>63905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144300</v>
      </c>
      <c r="D1221" s="2" t="str">
        <f t="shared" si="18"/>
        <v>Error?</v>
      </c>
    </row>
    <row r="1222" spans="1:4" x14ac:dyDescent="0.2">
      <c r="A1222" s="10">
        <v>1161</v>
      </c>
      <c r="D1222" s="2" t="str">
        <f t="shared" si="18"/>
        <v>OK</v>
      </c>
    </row>
    <row r="1223" spans="1:4" x14ac:dyDescent="0.2">
      <c r="A1223" s="5">
        <v>1162</v>
      </c>
      <c r="B1223" s="138">
        <f>'Expenditures 15-22'!C127</f>
        <v>144300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144300</v>
      </c>
      <c r="C1225" s="2" t="s">
        <v>594</v>
      </c>
      <c r="D1225" s="2" t="str">
        <f t="shared" si="18"/>
        <v>Error?</v>
      </c>
    </row>
    <row r="1226" spans="1:4" x14ac:dyDescent="0.2">
      <c r="A1226" s="5">
        <v>1165</v>
      </c>
      <c r="B1226" s="138">
        <f>'Expenditures 15-22'!C151</f>
        <v>144300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30332</v>
      </c>
      <c r="D1229" s="2" t="str">
        <f t="shared" si="18"/>
        <v>Error?</v>
      </c>
    </row>
    <row r="1230" spans="1:4" x14ac:dyDescent="0.2">
      <c r="A1230" s="10">
        <v>1169</v>
      </c>
      <c r="D1230" s="2" t="str">
        <f t="shared" si="18"/>
        <v>OK</v>
      </c>
    </row>
    <row r="1231" spans="1:4" x14ac:dyDescent="0.2">
      <c r="A1231" s="5">
        <v>1170</v>
      </c>
      <c r="B1231" s="138">
        <f>'Expenditures 15-22'!D127</f>
        <v>30332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30332</v>
      </c>
      <c r="C1233" s="2" t="s">
        <v>594</v>
      </c>
      <c r="D1233" s="2" t="str">
        <f t="shared" si="18"/>
        <v>Error?</v>
      </c>
    </row>
    <row r="1234" spans="1:4" x14ac:dyDescent="0.2">
      <c r="A1234" s="5">
        <v>1173</v>
      </c>
      <c r="B1234" s="138">
        <f>'Expenditures 15-22'!D151</f>
        <v>30332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64693</v>
      </c>
      <c r="D1237" s="2" t="str">
        <f t="shared" si="18"/>
        <v>Error?</v>
      </c>
    </row>
    <row r="1238" spans="1:4" x14ac:dyDescent="0.2">
      <c r="A1238" s="10">
        <v>1177</v>
      </c>
      <c r="D1238" s="2" t="str">
        <f t="shared" si="18"/>
        <v>OK</v>
      </c>
    </row>
    <row r="1239" spans="1:4" x14ac:dyDescent="0.2">
      <c r="A1239" s="5">
        <v>1178</v>
      </c>
      <c r="B1239" s="138">
        <f>'Expenditures 15-22'!E127</f>
        <v>64693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64693</v>
      </c>
      <c r="C1241" s="2" t="s">
        <v>594</v>
      </c>
      <c r="D1241" s="2" t="str">
        <f t="shared" si="18"/>
        <v>Error?</v>
      </c>
    </row>
    <row r="1242" spans="1:4" x14ac:dyDescent="0.2">
      <c r="A1242" s="5">
        <v>1181</v>
      </c>
      <c r="B1242" s="138">
        <f>'Expenditures 15-22'!E151</f>
        <v>64693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191249</v>
      </c>
      <c r="D1245" s="2" t="str">
        <f t="shared" si="18"/>
        <v>Error?</v>
      </c>
    </row>
    <row r="1246" spans="1:4" x14ac:dyDescent="0.2">
      <c r="A1246" s="10">
        <v>1185</v>
      </c>
      <c r="D1246" s="2" t="str">
        <f t="shared" si="18"/>
        <v>OK</v>
      </c>
    </row>
    <row r="1247" spans="1:4" x14ac:dyDescent="0.2">
      <c r="A1247" s="5">
        <v>1186</v>
      </c>
      <c r="B1247" s="138">
        <f>'Expenditures 15-22'!F127</f>
        <v>191249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191249</v>
      </c>
      <c r="C1249" s="2" t="s">
        <v>594</v>
      </c>
      <c r="D1249" s="2" t="str">
        <f t="shared" si="18"/>
        <v>Error?</v>
      </c>
    </row>
    <row r="1250" spans="1:4" x14ac:dyDescent="0.2">
      <c r="A1250" s="5">
        <v>1189</v>
      </c>
      <c r="B1250" s="138">
        <f>'Expenditures 15-22'!F151</f>
        <v>191249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430574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430574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430574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430574</v>
      </c>
      <c r="C1288" s="2" t="s">
        <v>594</v>
      </c>
      <c r="D1288" s="2" t="str">
        <f t="shared" si="19"/>
        <v>Error?</v>
      </c>
    </row>
    <row r="1289" spans="1:4" x14ac:dyDescent="0.2">
      <c r="A1289" s="5">
        <v>1228</v>
      </c>
      <c r="B1289" s="138">
        <f>'Expenditures 15-22'!K152</f>
        <v>99203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63753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1045000</v>
      </c>
      <c r="D1315" s="2" t="str">
        <f t="shared" si="19"/>
        <v>Error?</v>
      </c>
    </row>
    <row r="1316" spans="1:4" x14ac:dyDescent="0.2">
      <c r="A1316" s="5">
        <v>1255</v>
      </c>
      <c r="B1316" s="138">
        <f>'Expenditures 15-22'!H171</f>
        <v>2475</v>
      </c>
      <c r="D1316" s="2" t="str">
        <f t="shared" si="19"/>
        <v>Error?</v>
      </c>
    </row>
    <row r="1317" spans="1:4" x14ac:dyDescent="0.2">
      <c r="A1317" s="5">
        <v>1256</v>
      </c>
      <c r="B1317" s="138">
        <f>'Expenditures 15-22'!H172</f>
        <v>1111228</v>
      </c>
      <c r="C1317" s="2" t="s">
        <v>594</v>
      </c>
      <c r="D1317" s="2" t="str">
        <f t="shared" si="19"/>
        <v>Error?</v>
      </c>
    </row>
    <row r="1318" spans="1:4" x14ac:dyDescent="0.2">
      <c r="A1318" s="5">
        <v>1257</v>
      </c>
      <c r="B1318" s="138">
        <f>'Expenditures 15-22'!H174</f>
        <v>1111228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63753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1045000</v>
      </c>
      <c r="C1329" s="2" t="s">
        <v>594</v>
      </c>
      <c r="D1329" s="2" t="str">
        <f t="shared" si="19"/>
        <v>Error?</v>
      </c>
    </row>
    <row r="1330" spans="1:4" x14ac:dyDescent="0.2">
      <c r="A1330" s="5">
        <v>1269</v>
      </c>
      <c r="B1330" s="138">
        <f>'Expenditures 15-22'!K171</f>
        <v>2475</v>
      </c>
      <c r="C1330" s="2" t="s">
        <v>594</v>
      </c>
      <c r="D1330" s="2" t="str">
        <f t="shared" si="19"/>
        <v>Error?</v>
      </c>
    </row>
    <row r="1331" spans="1:4" x14ac:dyDescent="0.2">
      <c r="A1331" s="5">
        <v>1270</v>
      </c>
      <c r="B1331" s="138">
        <f>'Expenditures 15-22'!K172</f>
        <v>1111228</v>
      </c>
      <c r="C1331" s="2" t="s">
        <v>594</v>
      </c>
      <c r="D1331" s="2" t="str">
        <f t="shared" si="19"/>
        <v>Error?</v>
      </c>
    </row>
    <row r="1332" spans="1:4" x14ac:dyDescent="0.2">
      <c r="A1332" s="5">
        <v>1271</v>
      </c>
      <c r="B1332" s="138">
        <f>'Expenditures 15-22'!K174</f>
        <v>1111228</v>
      </c>
      <c r="C1332" s="2" t="s">
        <v>594</v>
      </c>
      <c r="D1332" s="2" t="str">
        <f t="shared" si="19"/>
        <v>Error?</v>
      </c>
    </row>
    <row r="1333" spans="1:4" x14ac:dyDescent="0.2">
      <c r="A1333" s="5">
        <v>1272</v>
      </c>
      <c r="B1333" s="138">
        <f>'Expenditures 15-22'!K175</f>
        <v>-403936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461326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461326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461326</v>
      </c>
      <c r="C1353" s="2" t="s">
        <v>594</v>
      </c>
      <c r="D1353" s="2" t="str">
        <f t="shared" si="20"/>
        <v>Error?</v>
      </c>
    </row>
    <row r="1354" spans="1:4" x14ac:dyDescent="0.2">
      <c r="A1354" s="5">
        <v>1293</v>
      </c>
      <c r="B1354" s="138">
        <f>'Expenditures 15-22'!F182</f>
        <v>3145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3145</v>
      </c>
      <c r="C1358" s="2" t="s">
        <v>594</v>
      </c>
      <c r="D1358" s="2" t="str">
        <f t="shared" si="20"/>
        <v>Error?</v>
      </c>
    </row>
    <row r="1359" spans="1:4" x14ac:dyDescent="0.2">
      <c r="A1359" s="5">
        <v>1298</v>
      </c>
      <c r="B1359" s="138">
        <f>'Expenditures 15-22'!F210</f>
        <v>3145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464471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464471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464471</v>
      </c>
      <c r="C1388" s="2" t="s">
        <v>594</v>
      </c>
      <c r="D1388" s="2" t="str">
        <f t="shared" si="20"/>
        <v>Error?</v>
      </c>
    </row>
    <row r="1389" spans="1:4" x14ac:dyDescent="0.2">
      <c r="A1389" s="5">
        <v>1328</v>
      </c>
      <c r="B1389" s="138">
        <f>'Expenditures 15-22'!K211</f>
        <v>155236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65724</v>
      </c>
      <c r="C1410" s="2" t="s">
        <v>594</v>
      </c>
      <c r="D1410" s="2" t="str">
        <f t="shared" si="21"/>
        <v>Error?</v>
      </c>
    </row>
    <row r="1411" spans="1:4" x14ac:dyDescent="0.2">
      <c r="A1411" s="5">
        <v>1350</v>
      </c>
      <c r="B1411" s="138">
        <f>'Expenditures 15-22'!D232</f>
        <v>734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5236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1047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7017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2491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2491</v>
      </c>
      <c r="C1421" s="2" t="s">
        <v>594</v>
      </c>
      <c r="D1421" s="2" t="str">
        <f t="shared" si="21"/>
        <v>Error?</v>
      </c>
    </row>
    <row r="1422" spans="1:4" x14ac:dyDescent="0.2">
      <c r="A1422" s="5">
        <v>1361</v>
      </c>
      <c r="B1422" s="138">
        <f>'Expenditures 15-22'!D245</f>
        <v>2329</v>
      </c>
      <c r="D1422" s="2" t="str">
        <f t="shared" si="21"/>
        <v>Error?</v>
      </c>
    </row>
    <row r="1423" spans="1:4" x14ac:dyDescent="0.2">
      <c r="A1423" s="5">
        <v>1362</v>
      </c>
      <c r="B1423" s="138">
        <f>'Expenditures 15-22'!D246</f>
        <v>9577</v>
      </c>
      <c r="D1423" s="2" t="str">
        <f t="shared" si="21"/>
        <v>Error?</v>
      </c>
    </row>
    <row r="1424" spans="1:4" x14ac:dyDescent="0.2">
      <c r="A1424" s="5">
        <v>1363</v>
      </c>
      <c r="B1424" s="138">
        <f>'Expenditures 15-22'!D257</f>
        <v>13747</v>
      </c>
      <c r="C1424" s="2" t="s">
        <v>594</v>
      </c>
      <c r="D1424" s="2" t="str">
        <f t="shared" si="21"/>
        <v>Error?</v>
      </c>
    </row>
    <row r="1425" spans="1:4" x14ac:dyDescent="0.2">
      <c r="A1425" s="5">
        <v>1364</v>
      </c>
      <c r="B1425" s="138">
        <f>'Expenditures 15-22'!D259</f>
        <v>12040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12040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25577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35417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70712</v>
      </c>
      <c r="C1446" s="2" t="s">
        <v>594</v>
      </c>
      <c r="D1446" s="2" t="str">
        <f t="shared" si="21"/>
        <v>Error?</v>
      </c>
    </row>
    <row r="1447" spans="1:4" x14ac:dyDescent="0.2">
      <c r="A1447" s="5">
        <v>1386</v>
      </c>
      <c r="B1447" s="138">
        <f>'Expenditures 15-22'!D280</f>
        <v>12005</v>
      </c>
      <c r="D1447" s="2" t="str">
        <f t="shared" si="21"/>
        <v>Error?</v>
      </c>
    </row>
    <row r="1448" spans="1:4" x14ac:dyDescent="0.2">
      <c r="A1448" s="5">
        <v>1387</v>
      </c>
      <c r="B1448" s="138">
        <f>'Expenditures 15-22'!D295</f>
        <v>149497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1806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65724</v>
      </c>
      <c r="C1474" s="2" t="s">
        <v>594</v>
      </c>
      <c r="D1474" s="2" t="str">
        <f t="shared" si="22"/>
        <v>Error?</v>
      </c>
    </row>
    <row r="1475" spans="1:4" x14ac:dyDescent="0.2">
      <c r="A1475" s="5">
        <v>1414</v>
      </c>
      <c r="B1475" s="138">
        <f>'Expenditures 15-22'!K232</f>
        <v>734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5236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1047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7017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2491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2491</v>
      </c>
      <c r="C1485" s="2" t="s">
        <v>594</v>
      </c>
      <c r="D1485" s="2" t="str">
        <f t="shared" si="22"/>
        <v>Error?</v>
      </c>
    </row>
    <row r="1486" spans="1:4" x14ac:dyDescent="0.2">
      <c r="A1486" s="5">
        <v>1425</v>
      </c>
      <c r="B1486" s="138">
        <f>'Expenditures 15-22'!K245</f>
        <v>2329</v>
      </c>
      <c r="C1486" s="2" t="s">
        <v>594</v>
      </c>
      <c r="D1486" s="2" t="str">
        <f t="shared" si="22"/>
        <v>Error?</v>
      </c>
    </row>
    <row r="1487" spans="1:4" x14ac:dyDescent="0.2">
      <c r="A1487" s="5">
        <v>1426</v>
      </c>
      <c r="B1487" s="138">
        <f>'Expenditures 15-22'!K246</f>
        <v>9577</v>
      </c>
      <c r="C1487" s="2" t="s">
        <v>594</v>
      </c>
      <c r="D1487" s="2" t="str">
        <f t="shared" si="22"/>
        <v>Error?</v>
      </c>
    </row>
    <row r="1488" spans="1:4" x14ac:dyDescent="0.2">
      <c r="A1488" s="5">
        <v>1427</v>
      </c>
      <c r="B1488" s="138">
        <f>'Expenditures 15-22'!K257</f>
        <v>13747</v>
      </c>
      <c r="C1488" s="2" t="s">
        <v>594</v>
      </c>
      <c r="D1488" s="2" t="str">
        <f t="shared" si="22"/>
        <v>Error?</v>
      </c>
    </row>
    <row r="1489" spans="1:4" x14ac:dyDescent="0.2">
      <c r="A1489" s="5">
        <v>1428</v>
      </c>
      <c r="B1489" s="138">
        <f>'Expenditures 15-22'!K259</f>
        <v>12040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12040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25577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9840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35417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70712</v>
      </c>
      <c r="C1510" s="2" t="s">
        <v>594</v>
      </c>
      <c r="D1510" s="2" t="str">
        <f t="shared" si="22"/>
        <v>Error?</v>
      </c>
    </row>
    <row r="1511" spans="1:4" x14ac:dyDescent="0.2">
      <c r="A1511" s="5">
        <v>1450</v>
      </c>
      <c r="B1511" s="138">
        <f>'Expenditures 15-22'!K280</f>
        <v>12005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149497</v>
      </c>
      <c r="C1517" s="2" t="s">
        <v>594</v>
      </c>
      <c r="D1517" s="2" t="str">
        <f t="shared" si="22"/>
        <v>Error?</v>
      </c>
    </row>
    <row r="1518" spans="1:4" x14ac:dyDescent="0.2">
      <c r="A1518" s="5">
        <v>1457</v>
      </c>
      <c r="B1518" s="138">
        <f>'Expenditures 15-22'!K296</f>
        <v>112567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11713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11713</v>
      </c>
      <c r="C1535" s="2" t="s">
        <v>594</v>
      </c>
      <c r="D1535" s="2" t="str">
        <f t="shared" ref="D1535:D1598" si="23">IF(ISBLANK(B1535),"OK",IF(A1535-B1535=0,"OK","Error?"))</f>
        <v>Error?</v>
      </c>
    </row>
    <row r="1536" spans="1:4" x14ac:dyDescent="0.2">
      <c r="A1536" s="5">
        <v>1475</v>
      </c>
      <c r="B1536" s="138">
        <f>'Expenditures 15-22'!E312</f>
        <v>11713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45585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45585</v>
      </c>
      <c r="C1547" s="2" t="s">
        <v>594</v>
      </c>
      <c r="D1547" s="2" t="str">
        <f t="shared" si="23"/>
        <v>Error?</v>
      </c>
    </row>
    <row r="1548" spans="1:4" x14ac:dyDescent="0.2">
      <c r="A1548" s="5">
        <v>1487</v>
      </c>
      <c r="B1548" s="138">
        <f>'Expenditures 15-22'!G312</f>
        <v>45585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57298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57298</v>
      </c>
      <c r="C1559" s="2" t="s">
        <v>594</v>
      </c>
      <c r="D1559" s="2" t="str">
        <f t="shared" si="23"/>
        <v>Error?</v>
      </c>
    </row>
    <row r="1560" spans="1:4" x14ac:dyDescent="0.2">
      <c r="A1560" s="5">
        <v>1499</v>
      </c>
      <c r="B1560" s="138">
        <f>'Expenditures 15-22'!K312</f>
        <v>57298</v>
      </c>
      <c r="C1560" s="2" t="s">
        <v>594</v>
      </c>
      <c r="D1560" s="2" t="str">
        <f t="shared" si="23"/>
        <v>Error?</v>
      </c>
    </row>
    <row r="1561" spans="1:4" x14ac:dyDescent="0.2">
      <c r="A1561" s="5">
        <v>1500</v>
      </c>
      <c r="B1561" s="138">
        <f>'Expenditures 15-22'!K313</f>
        <v>-26567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350149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414054</v>
      </c>
      <c r="C1630" s="2" t="s">
        <v>594</v>
      </c>
      <c r="D1630" s="2" t="str">
        <f t="shared" si="24"/>
        <v>Error?</v>
      </c>
    </row>
    <row r="1631" spans="1:4" x14ac:dyDescent="0.2">
      <c r="A1631" s="5">
        <v>1570</v>
      </c>
      <c r="B1631" s="138">
        <f>'Acct Summary 7-8'!D79</f>
        <v>253737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352940</v>
      </c>
      <c r="C1644" s="2" t="s">
        <v>594</v>
      </c>
      <c r="D1644" s="2" t="str">
        <f t="shared" si="24"/>
        <v>Error?</v>
      </c>
    </row>
    <row r="1645" spans="1:4" x14ac:dyDescent="0.2">
      <c r="A1645" s="5">
        <v>1584</v>
      </c>
      <c r="B1645" s="138">
        <f>'Acct Summary 7-8'!E79</f>
        <v>786497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382561</v>
      </c>
      <c r="C1658" s="2" t="s">
        <v>594</v>
      </c>
      <c r="D1658" s="2" t="str">
        <f t="shared" si="24"/>
        <v>Error?</v>
      </c>
    </row>
    <row r="1659" spans="1:4" x14ac:dyDescent="0.2">
      <c r="A1659" s="5">
        <v>1598</v>
      </c>
      <c r="B1659" s="138">
        <f>'Acct Summary 7-8'!F79</f>
        <v>71800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227036</v>
      </c>
      <c r="C1672" s="2" t="s">
        <v>594</v>
      </c>
      <c r="D1672" s="2" t="str">
        <f t="shared" si="25"/>
        <v>Error?</v>
      </c>
    </row>
    <row r="1673" spans="1:4" x14ac:dyDescent="0.2">
      <c r="A1673" s="5">
        <v>1612</v>
      </c>
      <c r="B1673" s="138">
        <f>'Acct Summary 7-8'!G79</f>
        <v>385450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498017</v>
      </c>
      <c r="C1686" s="2" t="s">
        <v>594</v>
      </c>
      <c r="D1686" s="2" t="str">
        <f t="shared" si="25"/>
        <v>Error?</v>
      </c>
    </row>
    <row r="1687" spans="1:4" x14ac:dyDescent="0.2">
      <c r="A1687" s="5">
        <v>1626</v>
      </c>
      <c r="B1687" s="138">
        <f>'Acct Summary 7-8'!H79</f>
        <v>378291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351724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1512040</v>
      </c>
      <c r="C1744" s="2" t="s">
        <v>594</v>
      </c>
      <c r="D1744" s="2" t="str">
        <f t="shared" si="26"/>
        <v>Error?</v>
      </c>
    </row>
    <row r="1745" spans="1:5" x14ac:dyDescent="0.2">
      <c r="A1745" s="5">
        <v>1684</v>
      </c>
      <c r="B1745" s="138">
        <f>'Tax Sched 23'!B5</f>
        <v>526341</v>
      </c>
      <c r="C1745" s="2" t="s">
        <v>594</v>
      </c>
      <c r="D1745" s="2" t="str">
        <f t="shared" si="26"/>
        <v>Error?</v>
      </c>
    </row>
    <row r="1746" spans="1:5" x14ac:dyDescent="0.2">
      <c r="A1746" s="5">
        <v>1685</v>
      </c>
      <c r="B1746" s="138">
        <f>'Tax Sched 23'!B6</f>
        <v>703216</v>
      </c>
      <c r="C1746" s="2" t="s">
        <v>594</v>
      </c>
      <c r="D1746" s="2" t="str">
        <f t="shared" si="26"/>
        <v>Error?</v>
      </c>
    </row>
    <row r="1747" spans="1:5" x14ac:dyDescent="0.2">
      <c r="A1747" s="5">
        <v>1686</v>
      </c>
      <c r="B1747" s="138">
        <f>'Tax Sched 23'!B7</f>
        <v>114839</v>
      </c>
      <c r="C1747" s="2" t="s">
        <v>594</v>
      </c>
      <c r="D1747" s="2" t="str">
        <f t="shared" si="26"/>
        <v>Error?</v>
      </c>
    </row>
    <row r="1748" spans="1:5" x14ac:dyDescent="0.2">
      <c r="A1748" s="5">
        <v>1687</v>
      </c>
      <c r="B1748" s="138">
        <f>'Tax Sched 23'!B8</f>
        <v>128909</v>
      </c>
      <c r="C1748" s="2" t="s">
        <v>594</v>
      </c>
      <c r="D1748" s="2" t="str">
        <f t="shared" si="26"/>
        <v>Error?</v>
      </c>
    </row>
    <row r="1749" spans="1:5" x14ac:dyDescent="0.2">
      <c r="A1749" s="5">
        <v>1688</v>
      </c>
      <c r="B1749" s="138">
        <f>'Tax Sched 23'!B10</f>
        <v>47849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248826</v>
      </c>
      <c r="C1752" s="2" t="s">
        <v>594</v>
      </c>
      <c r="D1752" s="2" t="str">
        <f t="shared" si="26"/>
        <v>Error?</v>
      </c>
    </row>
    <row r="1753" spans="1:5" x14ac:dyDescent="0.2">
      <c r="A1753" s="5">
        <v>1692</v>
      </c>
      <c r="B1753" s="138">
        <f>'Tax Sched 23'!B12</f>
        <v>47849</v>
      </c>
      <c r="C1753" s="2" t="s">
        <v>594</v>
      </c>
      <c r="D1753" s="2" t="str">
        <f t="shared" si="26"/>
        <v>Error?</v>
      </c>
    </row>
    <row r="1754" spans="1:5" x14ac:dyDescent="0.2">
      <c r="A1754" s="5">
        <v>1693</v>
      </c>
      <c r="B1754" s="138">
        <f>'Tax Sched 23'!B14</f>
        <v>19039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3525765</v>
      </c>
      <c r="C1759" s="2" t="s">
        <v>594</v>
      </c>
      <c r="D1759" s="2" t="str">
        <f t="shared" si="26"/>
        <v>Error?</v>
      </c>
    </row>
    <row r="1760" spans="1:5" x14ac:dyDescent="0.2">
      <c r="A1760" s="5">
        <v>1699</v>
      </c>
      <c r="B1760" s="138">
        <f>'Tax Sched 23'!D4</f>
        <v>1124647</v>
      </c>
      <c r="C1760" s="2" t="s">
        <v>594</v>
      </c>
      <c r="D1760" s="2" t="str">
        <f t="shared" si="26"/>
        <v>Error?</v>
      </c>
    </row>
    <row r="1761" spans="1:5" x14ac:dyDescent="0.2">
      <c r="A1761" s="5">
        <v>1700</v>
      </c>
      <c r="B1761" s="138">
        <f>'Tax Sched 23'!D5</f>
        <v>391490</v>
      </c>
      <c r="C1761" s="2" t="s">
        <v>594</v>
      </c>
      <c r="D1761" s="2" t="str">
        <f t="shared" si="26"/>
        <v>Error?</v>
      </c>
    </row>
    <row r="1762" spans="1:5" s="8" customFormat="1" x14ac:dyDescent="0.2">
      <c r="A1762" s="5">
        <v>1701</v>
      </c>
      <c r="B1762" s="138">
        <f>'Tax Sched 23'!D6</f>
        <v>523029</v>
      </c>
      <c r="C1762" s="2" t="s">
        <v>594</v>
      </c>
      <c r="D1762" s="2" t="str">
        <f t="shared" si="26"/>
        <v>Error?</v>
      </c>
      <c r="E1762" s="9"/>
    </row>
    <row r="1763" spans="1:5" x14ac:dyDescent="0.2">
      <c r="A1763" s="5">
        <v>1702</v>
      </c>
      <c r="B1763" s="138">
        <f>'Tax Sched 23'!D7</f>
        <v>85417</v>
      </c>
      <c r="C1763" s="2" t="s">
        <v>594</v>
      </c>
      <c r="D1763" s="2" t="str">
        <f t="shared" si="26"/>
        <v>Error?</v>
      </c>
    </row>
    <row r="1764" spans="1:5" x14ac:dyDescent="0.2">
      <c r="A1764" s="5">
        <v>1703</v>
      </c>
      <c r="B1764" s="138">
        <f>'Tax Sched 23'!D8</f>
        <v>97231</v>
      </c>
      <c r="C1764" s="2" t="s">
        <v>594</v>
      </c>
      <c r="D1764" s="2" t="str">
        <f t="shared" si="26"/>
        <v>Error?</v>
      </c>
    </row>
    <row r="1765" spans="1:5" x14ac:dyDescent="0.2">
      <c r="A1765" s="5">
        <v>1704</v>
      </c>
      <c r="B1765" s="138">
        <f>'Tax Sched 23'!D10</f>
        <v>35590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185495</v>
      </c>
      <c r="C1768" s="2" t="s">
        <v>594</v>
      </c>
      <c r="D1768" s="2" t="str">
        <f t="shared" si="26"/>
        <v>Error?</v>
      </c>
    </row>
    <row r="1769" spans="1:5" x14ac:dyDescent="0.2">
      <c r="A1769" s="5">
        <v>1708</v>
      </c>
      <c r="B1769" s="138">
        <f>'Tax Sched 23'!D12</f>
        <v>35590</v>
      </c>
      <c r="C1769" s="2" t="s">
        <v>594</v>
      </c>
      <c r="D1769" s="2" t="str">
        <f t="shared" si="26"/>
        <v>Error?</v>
      </c>
    </row>
    <row r="1770" spans="1:5" x14ac:dyDescent="0.2">
      <c r="A1770" s="5">
        <v>1709</v>
      </c>
      <c r="B1770" s="138">
        <f>'Tax Sched 23'!D14</f>
        <v>14135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2625544</v>
      </c>
      <c r="C1775" s="2" t="s">
        <v>594</v>
      </c>
      <c r="D1775" s="2" t="str">
        <f t="shared" si="26"/>
        <v>Error?</v>
      </c>
    </row>
    <row r="1776" spans="1:5" x14ac:dyDescent="0.2">
      <c r="A1776" s="5">
        <v>1715</v>
      </c>
      <c r="B1776" s="138">
        <f>'Tax Sched 23'!C4</f>
        <v>387393</v>
      </c>
      <c r="D1776" s="2" t="str">
        <f t="shared" si="26"/>
        <v>Error?</v>
      </c>
    </row>
    <row r="1777" spans="1:4" x14ac:dyDescent="0.2">
      <c r="A1777" s="5">
        <v>1716</v>
      </c>
      <c r="B1777" s="138">
        <f>'Tax Sched 23'!C5</f>
        <v>134851</v>
      </c>
      <c r="D1777" s="2" t="str">
        <f t="shared" si="26"/>
        <v>Error?</v>
      </c>
    </row>
    <row r="1778" spans="1:4" x14ac:dyDescent="0.2">
      <c r="A1778" s="5">
        <v>1717</v>
      </c>
      <c r="B1778" s="138">
        <f>'Tax Sched 23'!C6</f>
        <v>180187</v>
      </c>
      <c r="D1778" s="2" t="str">
        <f t="shared" si="26"/>
        <v>Error?</v>
      </c>
    </row>
    <row r="1779" spans="1:4" x14ac:dyDescent="0.2">
      <c r="A1779" s="5">
        <v>1718</v>
      </c>
      <c r="B1779" s="138">
        <f>'Tax Sched 23'!C7</f>
        <v>29422</v>
      </c>
      <c r="D1779" s="2" t="str">
        <f t="shared" si="26"/>
        <v>Error?</v>
      </c>
    </row>
    <row r="1780" spans="1:4" x14ac:dyDescent="0.2">
      <c r="A1780" s="5">
        <v>1719</v>
      </c>
      <c r="B1780" s="138">
        <f>'Tax Sched 23'!C8</f>
        <v>31678</v>
      </c>
      <c r="D1780" s="2" t="str">
        <f t="shared" si="26"/>
        <v>Error?</v>
      </c>
    </row>
    <row r="1781" spans="1:4" x14ac:dyDescent="0.2">
      <c r="A1781" s="5">
        <v>1720</v>
      </c>
      <c r="B1781" s="138">
        <f>'Tax Sched 23'!C10</f>
        <v>12259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63331</v>
      </c>
      <c r="D1784" s="2" t="str">
        <f t="shared" si="26"/>
        <v>Error?</v>
      </c>
    </row>
    <row r="1785" spans="1:4" x14ac:dyDescent="0.2">
      <c r="A1785" s="5">
        <v>1724</v>
      </c>
      <c r="B1785" s="138">
        <f>'Tax Sched 23'!C12</f>
        <v>12259</v>
      </c>
      <c r="D1785" s="2" t="str">
        <f t="shared" si="26"/>
        <v>Error?</v>
      </c>
    </row>
    <row r="1786" spans="1:4" x14ac:dyDescent="0.2">
      <c r="A1786" s="5">
        <v>1725</v>
      </c>
      <c r="B1786" s="138">
        <f>'Tax Sched 23'!C14</f>
        <v>4904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900221</v>
      </c>
      <c r="C1791" s="2" t="s">
        <v>594</v>
      </c>
      <c r="D1791" s="2" t="str">
        <f t="shared" ref="D1791:D1854" si="27">IF(ISBLANK(B1791),"OK",IF(A1791-B1791=0,"OK","Error?"))</f>
        <v>Error?</v>
      </c>
    </row>
    <row r="1792" spans="1:4" x14ac:dyDescent="0.2">
      <c r="A1792" s="5">
        <v>1731</v>
      </c>
      <c r="B1792" s="138">
        <f>'Tax Sched 23'!F4</f>
        <v>958800</v>
      </c>
      <c r="C1792" s="2" t="s">
        <v>594</v>
      </c>
      <c r="D1792" s="2" t="str">
        <f t="shared" si="27"/>
        <v>Error?</v>
      </c>
    </row>
    <row r="1793" spans="1:4" x14ac:dyDescent="0.2">
      <c r="A1793" s="5">
        <v>1732</v>
      </c>
      <c r="B1793" s="138">
        <f>'Tax Sched 23'!F5</f>
        <v>333760</v>
      </c>
      <c r="C1793" s="2" t="s">
        <v>594</v>
      </c>
      <c r="D1793" s="2" t="str">
        <f t="shared" si="27"/>
        <v>Error?</v>
      </c>
    </row>
    <row r="1794" spans="1:4" x14ac:dyDescent="0.2">
      <c r="A1794" s="5">
        <v>1733</v>
      </c>
      <c r="B1794" s="138">
        <f>'Tax Sched 23'!F6</f>
        <v>445963</v>
      </c>
      <c r="C1794" s="2" t="s">
        <v>594</v>
      </c>
      <c r="D1794" s="2" t="str">
        <f t="shared" si="27"/>
        <v>Error?</v>
      </c>
    </row>
    <row r="1795" spans="1:4" x14ac:dyDescent="0.2">
      <c r="A1795" s="5">
        <v>1734</v>
      </c>
      <c r="B1795" s="138">
        <f>'Tax Sched 23'!F7</f>
        <v>72821</v>
      </c>
      <c r="C1795" s="2" t="s">
        <v>594</v>
      </c>
      <c r="D1795" s="2" t="str">
        <f t="shared" si="27"/>
        <v>Error?</v>
      </c>
    </row>
    <row r="1796" spans="1:4" x14ac:dyDescent="0.2">
      <c r="A1796" s="5">
        <v>1735</v>
      </c>
      <c r="B1796" s="138">
        <f>'Tax Sched 23'!F8</f>
        <v>78403</v>
      </c>
      <c r="C1796" s="2" t="s">
        <v>594</v>
      </c>
      <c r="D1796" s="2" t="str">
        <f t="shared" si="27"/>
        <v>Error?</v>
      </c>
    </row>
    <row r="1797" spans="1:4" x14ac:dyDescent="0.2">
      <c r="A1797" s="5">
        <v>1736</v>
      </c>
      <c r="B1797" s="138">
        <f>'Tax Sched 23'!F10</f>
        <v>30342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156746</v>
      </c>
      <c r="C1800" s="2" t="s">
        <v>594</v>
      </c>
      <c r="D1800" s="2" t="str">
        <f t="shared" si="27"/>
        <v>Error?</v>
      </c>
    </row>
    <row r="1801" spans="1:4" x14ac:dyDescent="0.2">
      <c r="A1801" s="5">
        <v>1740</v>
      </c>
      <c r="B1801" s="138">
        <f>'Tax Sched 23'!F12</f>
        <v>30342</v>
      </c>
      <c r="C1801" s="2" t="s">
        <v>594</v>
      </c>
      <c r="D1801" s="2" t="str">
        <f t="shared" si="27"/>
        <v>Error?</v>
      </c>
    </row>
    <row r="1802" spans="1:4" x14ac:dyDescent="0.2">
      <c r="A1802" s="5">
        <v>1741</v>
      </c>
      <c r="B1802" s="138">
        <f>'Tax Sched 23'!F14</f>
        <v>12136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2228058</v>
      </c>
      <c r="C1807" s="2" t="s">
        <v>594</v>
      </c>
      <c r="D1807" s="2" t="str">
        <f t="shared" si="27"/>
        <v>Error?</v>
      </c>
    </row>
    <row r="1808" spans="1:4" x14ac:dyDescent="0.2">
      <c r="A1808" s="5">
        <v>1747</v>
      </c>
      <c r="B1808" s="138">
        <f>'Tax Sched 23'!E4</f>
        <v>1346193</v>
      </c>
      <c r="D1808" s="2" t="str">
        <f t="shared" si="27"/>
        <v>Error?</v>
      </c>
    </row>
    <row r="1809" spans="1:4" x14ac:dyDescent="0.2">
      <c r="A1809" s="5">
        <v>1748</v>
      </c>
      <c r="B1809" s="138">
        <f>'Tax Sched 23'!E5</f>
        <v>468611</v>
      </c>
      <c r="D1809" s="2" t="str">
        <f t="shared" si="27"/>
        <v>Error?</v>
      </c>
    </row>
    <row r="1810" spans="1:4" x14ac:dyDescent="0.2">
      <c r="A1810" s="5">
        <v>1749</v>
      </c>
      <c r="B1810" s="138">
        <f>'Tax Sched 23'!E6</f>
        <v>626150</v>
      </c>
      <c r="D1810" s="2" t="str">
        <f t="shared" si="27"/>
        <v>Error?</v>
      </c>
    </row>
    <row r="1811" spans="1:4" x14ac:dyDescent="0.2">
      <c r="A1811" s="5">
        <v>1750</v>
      </c>
      <c r="B1811" s="138">
        <f>'Tax Sched 23'!E7</f>
        <v>102243</v>
      </c>
      <c r="D1811" s="2" t="str">
        <f t="shared" si="27"/>
        <v>Error?</v>
      </c>
    </row>
    <row r="1812" spans="1:4" x14ac:dyDescent="0.2">
      <c r="A1812" s="5">
        <v>1751</v>
      </c>
      <c r="B1812" s="138">
        <f>'Tax Sched 23'!E8</f>
        <v>110081</v>
      </c>
      <c r="D1812" s="2" t="str">
        <f t="shared" si="27"/>
        <v>Error?</v>
      </c>
    </row>
    <row r="1813" spans="1:4" x14ac:dyDescent="0.2">
      <c r="A1813" s="5">
        <v>1752</v>
      </c>
      <c r="B1813" s="138">
        <f>'Tax Sched 23'!E10</f>
        <v>42601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220077</v>
      </c>
      <c r="D1816" s="2" t="str">
        <f t="shared" si="27"/>
        <v>Error?</v>
      </c>
    </row>
    <row r="1817" spans="1:4" x14ac:dyDescent="0.2">
      <c r="A1817" s="5">
        <v>1756</v>
      </c>
      <c r="B1817" s="138">
        <f>'Tax Sched 23'!E12</f>
        <v>42601</v>
      </c>
      <c r="D1817" s="2" t="str">
        <f t="shared" si="27"/>
        <v>Error?</v>
      </c>
    </row>
    <row r="1818" spans="1:4" x14ac:dyDescent="0.2">
      <c r="A1818" s="5">
        <v>1757</v>
      </c>
      <c r="B1818" s="138">
        <f>'Tax Sched 23'!E14</f>
        <v>17040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3128279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19039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167</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19206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19206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821453</v>
      </c>
      <c r="D2008" s="2" t="str">
        <f t="shared" si="30"/>
        <v>Error?</v>
      </c>
    </row>
    <row r="2009" spans="1:4" x14ac:dyDescent="0.2">
      <c r="A2009" s="5">
        <v>1948</v>
      </c>
      <c r="B2009" s="138">
        <f>'Cap Outlay Deprec 26'!C8</f>
        <v>19036238</v>
      </c>
      <c r="D2009" s="2" t="str">
        <f t="shared" si="30"/>
        <v>Error?</v>
      </c>
    </row>
    <row r="2010" spans="1:4" x14ac:dyDescent="0.2">
      <c r="A2010" s="5">
        <v>1949</v>
      </c>
      <c r="B2010" s="138">
        <f>'Cap Outlay Deprec 26'!C10</f>
        <v>160743</v>
      </c>
      <c r="D2010" s="2" t="str">
        <f t="shared" si="30"/>
        <v>Error?</v>
      </c>
    </row>
    <row r="2011" spans="1:4" x14ac:dyDescent="0.2">
      <c r="A2011" s="5">
        <v>1950</v>
      </c>
      <c r="B2011" s="138">
        <f>'Cap Outlay Deprec 26'!C12</f>
        <v>1311548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21329982</v>
      </c>
      <c r="C2013" s="2" t="s">
        <v>594</v>
      </c>
      <c r="D2013" s="2" t="str">
        <f t="shared" si="30"/>
        <v>Error?</v>
      </c>
    </row>
    <row r="2014" spans="1:4" x14ac:dyDescent="0.2">
      <c r="A2014" s="5">
        <v>1953</v>
      </c>
      <c r="B2014" s="138">
        <f>'Cap Outlay Deprec 26'!D5</f>
        <v>29500</v>
      </c>
      <c r="D2014" s="2" t="str">
        <f t="shared" si="30"/>
        <v>Error?</v>
      </c>
    </row>
    <row r="2015" spans="1:4" x14ac:dyDescent="0.2">
      <c r="A2015" s="5">
        <v>1954</v>
      </c>
      <c r="B2015" s="138">
        <f>'Cap Outlay Deprec 26'!D8</f>
        <v>16085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45585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850953</v>
      </c>
      <c r="C2026" s="2" t="s">
        <v>594</v>
      </c>
      <c r="D2026" s="2" t="str">
        <f t="shared" si="30"/>
        <v>Error?</v>
      </c>
    </row>
    <row r="2027" spans="1:4" x14ac:dyDescent="0.2">
      <c r="A2027" s="5">
        <v>1966</v>
      </c>
      <c r="B2027" s="138">
        <f>'Cap Outlay Deprec 26'!F8</f>
        <v>19052323</v>
      </c>
      <c r="C2027" s="2" t="s">
        <v>594</v>
      </c>
      <c r="D2027" s="2" t="str">
        <f t="shared" si="30"/>
        <v>Error?</v>
      </c>
    </row>
    <row r="2028" spans="1:4" x14ac:dyDescent="0.2">
      <c r="A2028" s="5">
        <v>1967</v>
      </c>
      <c r="B2028" s="138">
        <f>'Cap Outlay Deprec 26'!F10</f>
        <v>160743</v>
      </c>
      <c r="C2028" s="2" t="s">
        <v>594</v>
      </c>
      <c r="D2028" s="2" t="str">
        <f t="shared" si="30"/>
        <v>Error?</v>
      </c>
    </row>
    <row r="2029" spans="1:4" x14ac:dyDescent="0.2">
      <c r="A2029" s="5">
        <v>1968</v>
      </c>
      <c r="B2029" s="138">
        <f>'Cap Outlay Deprec 26'!F12</f>
        <v>1311548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21375567</v>
      </c>
      <c r="C2031" s="2" t="s">
        <v>594</v>
      </c>
      <c r="D2031" s="2" t="str">
        <f t="shared" si="30"/>
        <v>Error?</v>
      </c>
    </row>
    <row r="2032" spans="1:4" x14ac:dyDescent="0.2">
      <c r="A2032" s="10">
        <v>1971</v>
      </c>
      <c r="D2032" s="2" t="str">
        <f t="shared" si="30"/>
        <v>OK</v>
      </c>
    </row>
    <row r="2033" spans="1:4" x14ac:dyDescent="0.2">
      <c r="A2033" s="5">
        <v>1972</v>
      </c>
      <c r="B2033" s="138">
        <f>'Cap Outlay Deprec 26'!H8</f>
        <v>5913489</v>
      </c>
      <c r="D2033" s="2" t="str">
        <f t="shared" si="30"/>
        <v>Error?</v>
      </c>
    </row>
    <row r="2034" spans="1:4" x14ac:dyDescent="0.2">
      <c r="A2034" s="5">
        <v>1973</v>
      </c>
      <c r="B2034" s="138">
        <f>'Cap Outlay Deprec 26'!H10</f>
        <v>77925</v>
      </c>
      <c r="D2034" s="2" t="str">
        <f t="shared" si="30"/>
        <v>Error?</v>
      </c>
    </row>
    <row r="2035" spans="1:4" x14ac:dyDescent="0.2">
      <c r="A2035" s="5">
        <v>1974</v>
      </c>
      <c r="B2035" s="138">
        <f>'Cap Outlay Deprec 26'!H12</f>
        <v>1092115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7083529</v>
      </c>
      <c r="C2037" s="2" t="s">
        <v>594</v>
      </c>
      <c r="D2037" s="2" t="str">
        <f t="shared" si="30"/>
        <v>Error?</v>
      </c>
    </row>
    <row r="2038" spans="1:4" x14ac:dyDescent="0.2">
      <c r="A2038" s="10">
        <v>1977</v>
      </c>
      <c r="D2038" s="2" t="str">
        <f t="shared" si="30"/>
        <v>OK</v>
      </c>
    </row>
    <row r="2039" spans="1:4" x14ac:dyDescent="0.2">
      <c r="A2039" s="5">
        <v>1978</v>
      </c>
      <c r="B2039" s="138">
        <f>'Cap Outlay Deprec 26'!I8</f>
        <v>389086</v>
      </c>
      <c r="D2039" s="2" t="str">
        <f t="shared" si="30"/>
        <v>Error?</v>
      </c>
    </row>
    <row r="2040" spans="1:4" x14ac:dyDescent="0.2">
      <c r="A2040" s="5">
        <v>1979</v>
      </c>
      <c r="B2040" s="138">
        <f>'Cap Outlay Deprec 26'!I10</f>
        <v>6763</v>
      </c>
      <c r="D2040" s="2" t="str">
        <f t="shared" si="30"/>
        <v>Error?</v>
      </c>
    </row>
    <row r="2041" spans="1:4" x14ac:dyDescent="0.2">
      <c r="A2041" s="5">
        <v>1980</v>
      </c>
      <c r="B2041" s="138">
        <f>'Cap Outlay Deprec 26'!I12</f>
        <v>53020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448869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6302575</v>
      </c>
      <c r="C2051" s="2" t="s">
        <v>594</v>
      </c>
      <c r="D2051" s="2" t="str">
        <f t="shared" si="31"/>
        <v>Error?</v>
      </c>
    </row>
    <row r="2052" spans="1:4" x14ac:dyDescent="0.2">
      <c r="A2052" s="5">
        <v>1991</v>
      </c>
      <c r="B2052" s="138">
        <f>'Cap Outlay Deprec 26'!K10</f>
        <v>84688</v>
      </c>
      <c r="C2052" s="2" t="s">
        <v>594</v>
      </c>
      <c r="D2052" s="2" t="str">
        <f t="shared" si="31"/>
        <v>Error?</v>
      </c>
    </row>
    <row r="2053" spans="1:4" x14ac:dyDescent="0.2">
      <c r="A2053" s="5">
        <v>1992</v>
      </c>
      <c r="B2053" s="138">
        <f>'Cap Outlay Deprec 26'!K12</f>
        <v>1145135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7532398</v>
      </c>
      <c r="C2055" s="2" t="s">
        <v>594</v>
      </c>
      <c r="D2055" s="2" t="str">
        <f t="shared" si="31"/>
        <v>Error?</v>
      </c>
    </row>
    <row r="2056" spans="1:4" x14ac:dyDescent="0.2">
      <c r="A2056" s="5">
        <v>1995</v>
      </c>
      <c r="B2056" s="138">
        <f>'Cap Outlay Deprec 26'!L5</f>
        <v>850953</v>
      </c>
      <c r="C2056" s="2" t="s">
        <v>594</v>
      </c>
      <c r="D2056" s="2" t="str">
        <f t="shared" si="31"/>
        <v>Error?</v>
      </c>
    </row>
    <row r="2057" spans="1:4" x14ac:dyDescent="0.2">
      <c r="A2057" s="5">
        <v>1996</v>
      </c>
      <c r="B2057" s="138">
        <f>'Cap Outlay Deprec 26'!L8</f>
        <v>12749748</v>
      </c>
      <c r="C2057" s="2" t="s">
        <v>594</v>
      </c>
      <c r="D2057" s="2" t="str">
        <f t="shared" si="31"/>
        <v>Error?</v>
      </c>
    </row>
    <row r="2058" spans="1:4" x14ac:dyDescent="0.2">
      <c r="A2058" s="5">
        <v>1997</v>
      </c>
      <c r="B2058" s="138">
        <f>'Cap Outlay Deprec 26'!L10</f>
        <v>76055</v>
      </c>
      <c r="C2058" s="2" t="s">
        <v>594</v>
      </c>
      <c r="D2058" s="2" t="str">
        <f t="shared" si="31"/>
        <v>Error?</v>
      </c>
    </row>
    <row r="2059" spans="1:4" x14ac:dyDescent="0.2">
      <c r="A2059" s="5">
        <v>1998</v>
      </c>
      <c r="B2059" s="138">
        <f>'Cap Outlay Deprec 26'!L12</f>
        <v>166413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13843169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76597</v>
      </c>
      <c r="C2088" s="2" t="s">
        <v>594</v>
      </c>
      <c r="D2088" s="2" t="str">
        <f t="shared" si="31"/>
        <v>Error?</v>
      </c>
    </row>
    <row r="2089" spans="1:4" x14ac:dyDescent="0.2">
      <c r="A2089" s="5">
        <v>2028</v>
      </c>
      <c r="B2089" s="138">
        <f>'Expenditures 15-22'!K92</f>
        <v>564059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177612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99200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1991865</v>
      </c>
      <c r="C2551" s="2" t="s">
        <v>594</v>
      </c>
      <c r="D2551" s="2" t="str">
        <f t="shared" si="38"/>
        <v>Error?</v>
      </c>
    </row>
    <row r="2552" spans="1:4" x14ac:dyDescent="0.2">
      <c r="A2552" s="10">
        <v>2491</v>
      </c>
      <c r="D2552" s="2" t="str">
        <f t="shared" si="38"/>
        <v>OK</v>
      </c>
    </row>
    <row r="2553" spans="1:4" x14ac:dyDescent="0.2">
      <c r="A2553" s="5">
        <v>2492</v>
      </c>
      <c r="B2553" s="138">
        <f>'Acct Summary 7-8'!C6</f>
        <v>1963839</v>
      </c>
      <c r="C2553" s="2" t="s">
        <v>594</v>
      </c>
      <c r="D2553" s="2" t="str">
        <f t="shared" si="38"/>
        <v>Error?</v>
      </c>
    </row>
    <row r="2554" spans="1:4" x14ac:dyDescent="0.2">
      <c r="A2554" s="5">
        <v>2493</v>
      </c>
      <c r="B2554" s="138">
        <f>'Acct Summary 7-8'!C7</f>
        <v>426260</v>
      </c>
      <c r="C2554" s="2" t="s">
        <v>594</v>
      </c>
      <c r="D2554" s="2" t="str">
        <f t="shared" si="38"/>
        <v>Error?</v>
      </c>
    </row>
    <row r="2555" spans="1:4" x14ac:dyDescent="0.2">
      <c r="A2555" s="5">
        <v>2494</v>
      </c>
      <c r="B2555" s="138">
        <f>'Acct Summary 7-8'!C8</f>
        <v>4381964</v>
      </c>
      <c r="C2555" s="2" t="s">
        <v>594</v>
      </c>
      <c r="D2555" s="2" t="str">
        <f t="shared" si="38"/>
        <v>Error?</v>
      </c>
    </row>
    <row r="2556" spans="1:4" x14ac:dyDescent="0.2">
      <c r="A2556" s="5">
        <v>2495</v>
      </c>
      <c r="B2556" s="138">
        <f>'Acct Summary 7-8'!C12</f>
        <v>2674991</v>
      </c>
      <c r="C2556" s="2" t="s">
        <v>594</v>
      </c>
      <c r="D2556" s="2" t="str">
        <f t="shared" si="38"/>
        <v>Error?</v>
      </c>
    </row>
    <row r="2557" spans="1:4" x14ac:dyDescent="0.2">
      <c r="A2557" s="5">
        <v>2496</v>
      </c>
      <c r="B2557" s="138">
        <f>'Acct Summary 7-8'!C13</f>
        <v>899836</v>
      </c>
      <c r="C2557" s="2" t="s">
        <v>594</v>
      </c>
      <c r="D2557" s="2" t="str">
        <f t="shared" si="38"/>
        <v>Error?</v>
      </c>
    </row>
    <row r="2558" spans="1:4" x14ac:dyDescent="0.2">
      <c r="A2558" s="5">
        <v>2497</v>
      </c>
      <c r="B2558" s="138">
        <f>'Acct Summary 7-8'!C14</f>
        <v>102576</v>
      </c>
      <c r="C2558" s="2" t="s">
        <v>594</v>
      </c>
      <c r="D2558" s="2" t="str">
        <f t="shared" si="38"/>
        <v>Error?</v>
      </c>
    </row>
    <row r="2559" spans="1:4" x14ac:dyDescent="0.2">
      <c r="A2559" s="5">
        <v>2498</v>
      </c>
      <c r="B2559" s="138">
        <f>'Acct Summary 7-8'!C15</f>
        <v>640656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4318059</v>
      </c>
      <c r="C2561" s="2" t="s">
        <v>594</v>
      </c>
      <c r="D2561" s="2" t="str">
        <f t="shared" si="39"/>
        <v>Error?</v>
      </c>
    </row>
    <row r="2562" spans="1:4" x14ac:dyDescent="0.2">
      <c r="A2562" s="5">
        <v>2501</v>
      </c>
      <c r="B2562" s="138">
        <f>'Acct Summary 7-8'!C20</f>
        <v>63905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529777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529777</v>
      </c>
      <c r="C2568" s="2" t="s">
        <v>594</v>
      </c>
      <c r="D2568" s="2" t="str">
        <f t="shared" si="39"/>
        <v>Error?</v>
      </c>
    </row>
    <row r="2569" spans="1:4" x14ac:dyDescent="0.2">
      <c r="A2569" s="5">
        <v>2508</v>
      </c>
      <c r="B2569" s="138">
        <f>'Acct Summary 7-8'!D13</f>
        <v>430574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430574</v>
      </c>
      <c r="C2573" s="2" t="s">
        <v>594</v>
      </c>
      <c r="D2573" s="2" t="str">
        <f t="shared" si="39"/>
        <v>Error?</v>
      </c>
    </row>
    <row r="2574" spans="1:4" x14ac:dyDescent="0.2">
      <c r="A2574" s="5">
        <v>2513</v>
      </c>
      <c r="B2574" s="138">
        <f>'Acct Summary 7-8'!D20</f>
        <v>99203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118140</v>
      </c>
      <c r="C2591" s="2" t="s">
        <v>594</v>
      </c>
      <c r="D2591" s="2" t="str">
        <f t="shared" si="39"/>
        <v>Error?</v>
      </c>
    </row>
    <row r="2592" spans="1:4" x14ac:dyDescent="0.2">
      <c r="A2592" s="10">
        <v>2531</v>
      </c>
      <c r="D2592" s="2" t="str">
        <f t="shared" si="39"/>
        <v>OK</v>
      </c>
    </row>
    <row r="2593" spans="1:4" x14ac:dyDescent="0.2">
      <c r="A2593" s="5">
        <v>2532</v>
      </c>
      <c r="B2593" s="138">
        <f>'Acct Summary 7-8'!F6</f>
        <v>501567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619707</v>
      </c>
      <c r="C2595" s="2" t="s">
        <v>594</v>
      </c>
      <c r="D2595" s="2" t="str">
        <f t="shared" si="39"/>
        <v>Error?</v>
      </c>
    </row>
    <row r="2596" spans="1:4" x14ac:dyDescent="0.2">
      <c r="A2596" s="5">
        <v>2535</v>
      </c>
      <c r="B2596" s="138">
        <f>'Acct Summary 7-8'!F13</f>
        <v>464471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464471</v>
      </c>
      <c r="C2600" s="2" t="s">
        <v>594</v>
      </c>
      <c r="D2600" s="2" t="str">
        <f t="shared" si="39"/>
        <v>Error?</v>
      </c>
    </row>
    <row r="2601" spans="1:4" x14ac:dyDescent="0.2">
      <c r="A2601" s="5">
        <v>2540</v>
      </c>
      <c r="B2601" s="138">
        <f>'Acct Summary 7-8'!F20</f>
        <v>155236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262064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262064</v>
      </c>
      <c r="C2606" s="2" t="s">
        <v>594</v>
      </c>
      <c r="D2606" s="2" t="str">
        <f t="shared" si="39"/>
        <v>Error?</v>
      </c>
    </row>
    <row r="2607" spans="1:4" x14ac:dyDescent="0.2">
      <c r="A2607" s="5">
        <v>2546</v>
      </c>
      <c r="B2607" s="138">
        <f>'Acct Summary 7-8'!G12</f>
        <v>65724</v>
      </c>
      <c r="C2607" s="2" t="s">
        <v>594</v>
      </c>
      <c r="D2607" s="2" t="str">
        <f t="shared" si="39"/>
        <v>Error?</v>
      </c>
    </row>
    <row r="2608" spans="1:4" x14ac:dyDescent="0.2">
      <c r="A2608" s="5">
        <v>2547</v>
      </c>
      <c r="B2608" s="138">
        <f>'Acct Summary 7-8'!G13</f>
        <v>70712</v>
      </c>
      <c r="C2608" s="2" t="s">
        <v>594</v>
      </c>
      <c r="D2608" s="2" t="str">
        <f t="shared" si="39"/>
        <v>Error?</v>
      </c>
    </row>
    <row r="2609" spans="1:4" x14ac:dyDescent="0.2">
      <c r="A2609" s="5">
        <v>2548</v>
      </c>
      <c r="B2609" s="138">
        <f>'Acct Summary 7-8'!G14</f>
        <v>12005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149497</v>
      </c>
      <c r="C2612" s="2" t="s">
        <v>594</v>
      </c>
      <c r="D2612" s="2" t="str">
        <f t="shared" si="39"/>
        <v>Error?</v>
      </c>
    </row>
    <row r="2613" spans="1:4" x14ac:dyDescent="0.2">
      <c r="A2613" s="5">
        <v>2552</v>
      </c>
      <c r="B2613" s="138">
        <f>'Acct Summary 7-8'!G20</f>
        <v>112567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707292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707292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1111228</v>
      </c>
      <c r="C2634" s="2" t="s">
        <v>594</v>
      </c>
      <c r="D2634" s="2" t="str">
        <f t="shared" si="40"/>
        <v>Error?</v>
      </c>
    </row>
    <row r="2635" spans="1:4" x14ac:dyDescent="0.2">
      <c r="A2635" s="5">
        <v>2574</v>
      </c>
      <c r="B2635" s="138">
        <f>'Acct Summary 7-8'!E17</f>
        <v>1111228</v>
      </c>
      <c r="C2635" s="2" t="s">
        <v>594</v>
      </c>
      <c r="D2635" s="2" t="str">
        <f t="shared" si="40"/>
        <v>Error?</v>
      </c>
    </row>
    <row r="2636" spans="1:4" x14ac:dyDescent="0.2">
      <c r="A2636" s="5">
        <v>2575</v>
      </c>
      <c r="B2636" s="138">
        <f>'Acct Summary 7-8'!E20</f>
        <v>-403936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30731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30731</v>
      </c>
      <c r="C2658" s="2" t="s">
        <v>594</v>
      </c>
      <c r="D2658" s="2" t="str">
        <f t="shared" si="40"/>
        <v>Error?</v>
      </c>
    </row>
    <row r="2659" spans="1:4" x14ac:dyDescent="0.2">
      <c r="A2659" s="5">
        <v>2598</v>
      </c>
      <c r="B2659" s="138">
        <f>'Acct Summary 7-8'!H13</f>
        <v>57298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57298</v>
      </c>
      <c r="C2661" s="2" t="s">
        <v>594</v>
      </c>
      <c r="D2661" s="2" t="str">
        <f t="shared" si="40"/>
        <v>Error?</v>
      </c>
    </row>
    <row r="2662" spans="1:4" x14ac:dyDescent="0.2">
      <c r="A2662" s="5">
        <v>2601</v>
      </c>
      <c r="B2662" s="138">
        <f>'Acct Summary 7-8'!H20</f>
        <v>-26567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76597</v>
      </c>
      <c r="C2789" s="2" t="s">
        <v>594</v>
      </c>
      <c r="D2789" s="2" t="str">
        <f t="shared" si="42"/>
        <v>Error?</v>
      </c>
    </row>
    <row r="2790" spans="1:4" x14ac:dyDescent="0.2">
      <c r="A2790" s="5">
        <v>2729</v>
      </c>
      <c r="B2790" s="138">
        <f>'Expenditures 15-22'!E102</f>
        <v>76597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285233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87615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285233</v>
      </c>
      <c r="D2912" s="2" t="str">
        <f t="shared" si="44"/>
        <v>Error?</v>
      </c>
    </row>
    <row r="2913" spans="1:4" x14ac:dyDescent="0.2">
      <c r="A2913" s="5">
        <v>2852</v>
      </c>
      <c r="B2913" s="138">
        <f>'Assets-Liab 5-6'!I41</f>
        <v>285233</v>
      </c>
      <c r="C2913" s="2" t="s">
        <v>594</v>
      </c>
      <c r="D2913" s="2" t="str">
        <f t="shared" si="44"/>
        <v>Error?</v>
      </c>
    </row>
    <row r="2914" spans="1:4" x14ac:dyDescent="0.2">
      <c r="A2914" s="5">
        <v>2853</v>
      </c>
      <c r="B2914" s="138">
        <f>'Assets-Liab 5-6'!L33</f>
        <v>87615</v>
      </c>
      <c r="D2914" s="2" t="str">
        <f t="shared" si="44"/>
        <v>Error?</v>
      </c>
    </row>
    <row r="2915" spans="1:4" x14ac:dyDescent="0.2">
      <c r="A2915" s="10">
        <v>2854</v>
      </c>
      <c r="D2915" s="2" t="str">
        <f t="shared" si="44"/>
        <v>OK</v>
      </c>
    </row>
    <row r="2916" spans="1:4" x14ac:dyDescent="0.2">
      <c r="A2916" s="5">
        <v>2855</v>
      </c>
      <c r="B2916" s="138">
        <f>'Assets-Liab 5-6'!L34</f>
        <v>87615</v>
      </c>
      <c r="C2916" s="2" t="s">
        <v>594</v>
      </c>
      <c r="D2916" s="2" t="str">
        <f t="shared" si="44"/>
        <v>Error?</v>
      </c>
    </row>
    <row r="2917" spans="1:4" x14ac:dyDescent="0.2">
      <c r="A2917" s="5">
        <v>2856</v>
      </c>
      <c r="B2917" s="138">
        <f>'Assets-Liab 5-6'!L41</f>
        <v>87615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76597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76597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63170</v>
      </c>
      <c r="D3055" s="2" t="str">
        <f t="shared" si="46"/>
        <v>Error?</v>
      </c>
    </row>
    <row r="3056" spans="1:4" x14ac:dyDescent="0.2">
      <c r="A3056" s="5">
        <v>2995</v>
      </c>
      <c r="B3056" s="138">
        <f>'Expenditures 15-22'!D10</f>
        <v>10329</v>
      </c>
      <c r="D3056" s="2" t="str">
        <f t="shared" si="46"/>
        <v>Error?</v>
      </c>
    </row>
    <row r="3057" spans="1:4" x14ac:dyDescent="0.2">
      <c r="A3057" s="5">
        <v>2996</v>
      </c>
      <c r="B3057" s="138">
        <f>'Expenditures 15-22'!E10</f>
        <v>3900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77399</v>
      </c>
      <c r="C3062" s="2" t="s">
        <v>594</v>
      </c>
      <c r="D3062" s="2" t="str">
        <f t="shared" si="46"/>
        <v>Error?</v>
      </c>
    </row>
    <row r="3063" spans="1:4" x14ac:dyDescent="0.2">
      <c r="A3063" s="10">
        <v>3002</v>
      </c>
      <c r="D3063" s="2" t="str">
        <f t="shared" si="46"/>
        <v>OK</v>
      </c>
    </row>
    <row r="3064" spans="1:4" x14ac:dyDescent="0.2">
      <c r="A3064" s="5">
        <v>3003</v>
      </c>
      <c r="B3064" s="138">
        <f>'Expenditures 15-22'!D219</f>
        <v>2279</v>
      </c>
      <c r="D3064" s="2" t="str">
        <f t="shared" si="46"/>
        <v>Error?</v>
      </c>
    </row>
    <row r="3065" spans="1:4" x14ac:dyDescent="0.2">
      <c r="A3065" s="5">
        <v>3004</v>
      </c>
      <c r="B3065" s="138">
        <f>'Expenditures 15-22'!K219</f>
        <v>2279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48748</v>
      </c>
      <c r="C3225" s="2" t="s">
        <v>594</v>
      </c>
      <c r="D3225" s="2" t="str">
        <f t="shared" si="49"/>
        <v>Error?</v>
      </c>
    </row>
    <row r="3226" spans="1:4" x14ac:dyDescent="0.2">
      <c r="A3226" s="5">
        <v>3165</v>
      </c>
      <c r="B3226" s="138">
        <f>'Acct Summary 7-8'!I8</f>
        <v>48748</v>
      </c>
      <c r="C3226" s="2" t="s">
        <v>594</v>
      </c>
      <c r="D3226" s="2" t="str">
        <f t="shared" si="49"/>
        <v>Error?</v>
      </c>
    </row>
    <row r="3227" spans="1:4" x14ac:dyDescent="0.2">
      <c r="A3227" s="5">
        <v>3166</v>
      </c>
      <c r="B3227" s="138">
        <f>'Acct Summary 7-8'!I20</f>
        <v>48748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63905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99203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155236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112567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-403936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-26567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48748</v>
      </c>
      <c r="C3320" s="2" t="s">
        <v>594</v>
      </c>
      <c r="D3320" s="2" t="str">
        <f t="shared" si="50"/>
        <v>Error?</v>
      </c>
    </row>
    <row r="3321" spans="1:4" x14ac:dyDescent="0.2">
      <c r="A3321" s="5">
        <v>3260</v>
      </c>
      <c r="B3321" s="138">
        <f>'Acct Summary 7-8'!I79</f>
        <v>236485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285233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474939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48776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524465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26210</v>
      </c>
      <c r="D3387" s="2" t="str">
        <f t="shared" si="51"/>
        <v>Error?</v>
      </c>
    </row>
    <row r="3388" spans="1:4" x14ac:dyDescent="0.2">
      <c r="A3388" s="5">
        <v>3327</v>
      </c>
      <c r="B3388" s="138">
        <f>'Expenditures 15-22'!D217</f>
        <v>31513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26210</v>
      </c>
      <c r="C3390" s="2" t="s">
        <v>594</v>
      </c>
      <c r="D3390" s="2" t="str">
        <f t="shared" si="51"/>
        <v>Error?</v>
      </c>
    </row>
    <row r="3391" spans="1:4" x14ac:dyDescent="0.2">
      <c r="A3391" s="5">
        <v>3330</v>
      </c>
      <c r="B3391" s="138">
        <f>'Expenditures 15-22'!K217</f>
        <v>31513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413424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352940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382561</v>
      </c>
      <c r="D3417" s="2" t="str">
        <f t="shared" si="52"/>
        <v>Error?</v>
      </c>
    </row>
    <row r="3418" spans="1:4" x14ac:dyDescent="0.2">
      <c r="A3418" s="10">
        <v>3357</v>
      </c>
      <c r="D3418" s="2" t="str">
        <f t="shared" si="52"/>
        <v>OK</v>
      </c>
    </row>
    <row r="3419" spans="1:4" x14ac:dyDescent="0.2">
      <c r="A3419" s="5">
        <v>3358</v>
      </c>
      <c r="B3419" s="138">
        <f>'Assets-Liab 5-6'!F4</f>
        <v>227036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498017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351724</v>
      </c>
      <c r="D3425" s="2" t="str">
        <f t="shared" si="52"/>
        <v>Error?</v>
      </c>
    </row>
    <row r="3426" spans="1:4" x14ac:dyDescent="0.2">
      <c r="A3426" s="10">
        <v>3365</v>
      </c>
      <c r="D3426" s="2" t="str">
        <f t="shared" si="52"/>
        <v>OK</v>
      </c>
    </row>
    <row r="3427" spans="1:4" x14ac:dyDescent="0.2">
      <c r="A3427" s="5">
        <v>3366</v>
      </c>
      <c r="B3427" s="138">
        <f>'Assets-Liab 5-6'!I4</f>
        <v>285233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87615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128909</v>
      </c>
      <c r="C3446" s="2" t="s">
        <v>594</v>
      </c>
      <c r="D3446" s="2" t="str">
        <f t="shared" si="52"/>
        <v>Error?</v>
      </c>
    </row>
    <row r="3447" spans="1:4" x14ac:dyDescent="0.2">
      <c r="A3447" s="5">
        <v>3386</v>
      </c>
      <c r="B3447" s="138">
        <f>'Tax Sched 23'!D16</f>
        <v>97231</v>
      </c>
      <c r="C3447" s="2" t="s">
        <v>594</v>
      </c>
      <c r="D3447" s="2" t="str">
        <f t="shared" si="52"/>
        <v>Error?</v>
      </c>
    </row>
    <row r="3448" spans="1:4" x14ac:dyDescent="0.2">
      <c r="A3448" s="5">
        <v>3387</v>
      </c>
      <c r="B3448" s="138">
        <f>'Tax Sched 23'!C16</f>
        <v>31678</v>
      </c>
      <c r="D3448" s="2" t="str">
        <f t="shared" si="52"/>
        <v>Error?</v>
      </c>
    </row>
    <row r="3449" spans="1:4" x14ac:dyDescent="0.2">
      <c r="A3449" s="5">
        <v>3388</v>
      </c>
      <c r="B3449" s="138">
        <f>'Tax Sched 23'!F16</f>
        <v>78403</v>
      </c>
      <c r="C3449" s="2" t="s">
        <v>594</v>
      </c>
      <c r="D3449" s="2" t="str">
        <f t="shared" si="52"/>
        <v>Error?</v>
      </c>
    </row>
    <row r="3450" spans="1:4" x14ac:dyDescent="0.2">
      <c r="A3450" s="5">
        <v>3389</v>
      </c>
      <c r="B3450" s="138">
        <f>'Tax Sched 23'!E16</f>
        <v>110081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220799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220799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220799</v>
      </c>
      <c r="D3567" s="2" t="str">
        <f t="shared" si="54"/>
        <v>Error?</v>
      </c>
    </row>
    <row r="3568" spans="1:4" x14ac:dyDescent="0.2">
      <c r="A3568" s="5">
        <v>3507</v>
      </c>
      <c r="B3568" s="138">
        <f>'Assets-Liab 5-6'!K41</f>
        <v>220799</v>
      </c>
      <c r="C3568" s="2" t="s">
        <v>594</v>
      </c>
      <c r="D3568" s="2" t="str">
        <f t="shared" si="54"/>
        <v>Error?</v>
      </c>
    </row>
    <row r="3569" spans="1:4" x14ac:dyDescent="0.2">
      <c r="A3569" s="5">
        <v>3508</v>
      </c>
      <c r="B3569" s="138">
        <f>'Acct Summary 7-8'!K4</f>
        <v>48633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48633</v>
      </c>
      <c r="C3571" s="2" t="s">
        <v>594</v>
      </c>
      <c r="D3571" s="2" t="str">
        <f t="shared" si="54"/>
        <v>Error?</v>
      </c>
    </row>
    <row r="3572" spans="1:4" x14ac:dyDescent="0.2">
      <c r="A3572" s="5">
        <v>3511</v>
      </c>
      <c r="B3572" s="138">
        <f>'Acct Summary 7-8'!K13</f>
        <v>5863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5863</v>
      </c>
      <c r="C3575" s="2" t="s">
        <v>594</v>
      </c>
      <c r="D3575" s="2" t="str">
        <f t="shared" si="54"/>
        <v>Error?</v>
      </c>
    </row>
    <row r="3576" spans="1:4" x14ac:dyDescent="0.2">
      <c r="A3576" s="5">
        <v>3515</v>
      </c>
      <c r="B3576" s="138">
        <f>'Acct Summary 7-8'!K20</f>
        <v>42770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42770</v>
      </c>
      <c r="C3588" s="2" t="s">
        <v>594</v>
      </c>
      <c r="D3588" s="2" t="str">
        <f t="shared" si="55"/>
        <v>Error?</v>
      </c>
    </row>
    <row r="3589" spans="1:4" x14ac:dyDescent="0.2">
      <c r="A3589" s="5">
        <v>3528</v>
      </c>
      <c r="B3589" s="138">
        <f>'Acct Summary 7-8'!K79</f>
        <v>178029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220799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5863</v>
      </c>
      <c r="D3632" s="2" t="str">
        <f t="shared" si="55"/>
        <v>Error?</v>
      </c>
    </row>
    <row r="3633" spans="1:4" x14ac:dyDescent="0.2">
      <c r="A3633" s="5">
        <v>3572</v>
      </c>
      <c r="B3633" s="138">
        <f>'Expenditures 15-22'!E350</f>
        <v>5863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5863</v>
      </c>
      <c r="C3635" s="2" t="s">
        <v>594</v>
      </c>
      <c r="D3635" s="2" t="str">
        <f t="shared" si="55"/>
        <v>Error?</v>
      </c>
    </row>
    <row r="3636" spans="1:4" x14ac:dyDescent="0.2">
      <c r="A3636" s="5">
        <v>3575</v>
      </c>
      <c r="B3636" s="138">
        <f>'Expenditures 15-22'!E367</f>
        <v>5863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5863</v>
      </c>
      <c r="C3669" s="2" t="s">
        <v>594</v>
      </c>
      <c r="D3669" s="2" t="str">
        <f t="shared" si="56"/>
        <v>Error?</v>
      </c>
    </row>
    <row r="3670" spans="1:4" x14ac:dyDescent="0.2">
      <c r="A3670" s="5">
        <v>3609</v>
      </c>
      <c r="B3670" s="138">
        <f>'Expenditures 15-22'!K350</f>
        <v>5863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5863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5863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42770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1056</v>
      </c>
      <c r="D3721" s="2" t="str">
        <f t="shared" si="57"/>
        <v>Error?</v>
      </c>
    </row>
    <row r="3722" spans="1:4" x14ac:dyDescent="0.2">
      <c r="A3722" s="5">
        <v>3661</v>
      </c>
      <c r="B3722" s="138">
        <f>'Expenditures 15-22'!D285</f>
        <v>1056</v>
      </c>
      <c r="C3722" s="2" t="s">
        <v>594</v>
      </c>
      <c r="D3722" s="2" t="str">
        <f t="shared" si="57"/>
        <v>Error?</v>
      </c>
    </row>
    <row r="3723" spans="1:4" x14ac:dyDescent="0.2">
      <c r="A3723" s="5">
        <v>3662</v>
      </c>
      <c r="B3723" s="138">
        <f>'Expenditures 15-22'!K283</f>
        <v>1056</v>
      </c>
      <c r="C3723" s="2" t="s">
        <v>594</v>
      </c>
      <c r="D3723" s="2" t="str">
        <f t="shared" si="57"/>
        <v>Error?</v>
      </c>
    </row>
    <row r="3724" spans="1:4" x14ac:dyDescent="0.2">
      <c r="A3724" s="5">
        <v>3663</v>
      </c>
      <c r="B3724" s="138">
        <f>'Expenditures 15-22'!K285</f>
        <v>1056</v>
      </c>
      <c r="C3724" s="2" t="s">
        <v>594</v>
      </c>
      <c r="D3724" s="2" t="str">
        <f t="shared" si="57"/>
        <v>Error?</v>
      </c>
    </row>
    <row r="3725" spans="1:4" x14ac:dyDescent="0.2">
      <c r="A3725" s="5">
        <v>3664</v>
      </c>
      <c r="B3725" s="138">
        <f>'Tax Sched 23'!B13</f>
        <v>47948</v>
      </c>
      <c r="C3725" s="2" t="s">
        <v>594</v>
      </c>
      <c r="D3725" s="2" t="str">
        <f t="shared" si="57"/>
        <v>Error?</v>
      </c>
    </row>
    <row r="3726" spans="1:4" x14ac:dyDescent="0.2">
      <c r="A3726" s="5">
        <v>3665</v>
      </c>
      <c r="B3726" s="138">
        <f>'Tax Sched 23'!D13</f>
        <v>35689</v>
      </c>
      <c r="C3726" s="2" t="s">
        <v>594</v>
      </c>
      <c r="D3726" s="2" t="str">
        <f t="shared" si="57"/>
        <v>Error?</v>
      </c>
    </row>
    <row r="3727" spans="1:4" x14ac:dyDescent="0.2">
      <c r="A3727" s="5">
        <v>3666</v>
      </c>
      <c r="B3727" s="138">
        <f>'Tax Sched 23'!C13</f>
        <v>12259</v>
      </c>
      <c r="D3727" s="2" t="str">
        <f t="shared" si="57"/>
        <v>Error?</v>
      </c>
    </row>
    <row r="3728" spans="1:4" x14ac:dyDescent="0.2">
      <c r="A3728" s="5">
        <v>3667</v>
      </c>
      <c r="B3728" s="138">
        <f>'Tax Sched 23'!F13</f>
        <v>30342</v>
      </c>
      <c r="C3728" s="2" t="s">
        <v>594</v>
      </c>
      <c r="D3728" s="2" t="str">
        <f t="shared" si="57"/>
        <v>Error?</v>
      </c>
    </row>
    <row r="3729" spans="1:4" x14ac:dyDescent="0.2">
      <c r="A3729" s="5">
        <v>3668</v>
      </c>
      <c r="B3729" s="138">
        <f>'Tax Sched 23'!E13</f>
        <v>42601</v>
      </c>
      <c r="D3729" s="2" t="str">
        <f t="shared" si="57"/>
        <v>Error?</v>
      </c>
    </row>
    <row r="3730" spans="1:4" x14ac:dyDescent="0.2">
      <c r="A3730" s="5">
        <v>3669</v>
      </c>
      <c r="B3730" s="138">
        <f>'ICR Computation 30'!E10</f>
        <v>62210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1879859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6261823</v>
      </c>
      <c r="C4122" s="2" t="s">
        <v>594</v>
      </c>
      <c r="D4122" s="2" t="str">
        <f t="shared" si="63"/>
        <v>Error?</v>
      </c>
    </row>
    <row r="4123" spans="1:4" x14ac:dyDescent="0.2">
      <c r="A4123" s="5">
        <v>4062</v>
      </c>
      <c r="B4123" s="138">
        <f>'Acct Summary 7-8'!D10</f>
        <v>529777</v>
      </c>
      <c r="C4123" s="2" t="s">
        <v>594</v>
      </c>
      <c r="D4123" s="2" t="str">
        <f t="shared" si="63"/>
        <v>Error?</v>
      </c>
    </row>
    <row r="4124" spans="1:4" x14ac:dyDescent="0.2">
      <c r="A4124" s="5">
        <v>4063</v>
      </c>
      <c r="B4124" s="138">
        <f>'Acct Summary 7-8'!E10</f>
        <v>707292</v>
      </c>
      <c r="C4124" s="2" t="s">
        <v>594</v>
      </c>
      <c r="D4124" s="2" t="str">
        <f t="shared" si="63"/>
        <v>Error?</v>
      </c>
    </row>
    <row r="4125" spans="1:4" x14ac:dyDescent="0.2">
      <c r="A4125" s="5">
        <v>4064</v>
      </c>
      <c r="B4125" s="138">
        <f>'Acct Summary 7-8'!F10</f>
        <v>619707</v>
      </c>
      <c r="C4125" s="2" t="s">
        <v>594</v>
      </c>
      <c r="D4125" s="2" t="str">
        <f t="shared" si="63"/>
        <v>Error?</v>
      </c>
    </row>
    <row r="4126" spans="1:4" x14ac:dyDescent="0.2">
      <c r="A4126" s="5">
        <v>4065</v>
      </c>
      <c r="B4126" s="138">
        <f>'Acct Summary 7-8'!G10</f>
        <v>262064</v>
      </c>
      <c r="C4126" s="2" t="s">
        <v>594</v>
      </c>
      <c r="D4126" s="2" t="str">
        <f t="shared" si="63"/>
        <v>Error?</v>
      </c>
    </row>
    <row r="4127" spans="1:4" x14ac:dyDescent="0.2">
      <c r="A4127" s="5">
        <v>4066</v>
      </c>
      <c r="B4127" s="138">
        <f>'Acct Summary 7-8'!H10</f>
        <v>30731</v>
      </c>
      <c r="C4127" s="2" t="s">
        <v>594</v>
      </c>
      <c r="D4127" s="2" t="str">
        <f t="shared" si="63"/>
        <v>Error?</v>
      </c>
    </row>
    <row r="4128" spans="1:4" x14ac:dyDescent="0.2">
      <c r="A4128" s="5">
        <v>4067</v>
      </c>
      <c r="B4128" s="138">
        <f>'Acct Summary 7-8'!I10</f>
        <v>48748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48633</v>
      </c>
      <c r="C4130" s="2" t="s">
        <v>594</v>
      </c>
      <c r="D4130" s="2" t="str">
        <f t="shared" si="63"/>
        <v>Error?</v>
      </c>
    </row>
    <row r="4131" spans="1:4" x14ac:dyDescent="0.2">
      <c r="A4131" s="5">
        <v>4070</v>
      </c>
      <c r="B4131" s="138">
        <f>'Acct Summary 7-8'!C18</f>
        <v>1879859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6197918</v>
      </c>
      <c r="C4136" s="2" t="s">
        <v>594</v>
      </c>
      <c r="D4136" s="2" t="str">
        <f t="shared" si="63"/>
        <v>Error?</v>
      </c>
    </row>
    <row r="4137" spans="1:4" x14ac:dyDescent="0.2">
      <c r="A4137" s="5">
        <v>4076</v>
      </c>
      <c r="B4137" s="138">
        <f>'Acct Summary 7-8'!D19</f>
        <v>430574</v>
      </c>
      <c r="C4137" s="2" t="s">
        <v>594</v>
      </c>
      <c r="D4137" s="2" t="str">
        <f t="shared" si="63"/>
        <v>Error?</v>
      </c>
    </row>
    <row r="4138" spans="1:4" x14ac:dyDescent="0.2">
      <c r="A4138" s="5">
        <v>4077</v>
      </c>
      <c r="B4138" s="138">
        <f>'Acct Summary 7-8'!E19</f>
        <v>1111228</v>
      </c>
      <c r="C4138" s="2" t="s">
        <v>594</v>
      </c>
      <c r="D4138" s="2" t="str">
        <f t="shared" si="63"/>
        <v>Error?</v>
      </c>
    </row>
    <row r="4139" spans="1:4" x14ac:dyDescent="0.2">
      <c r="A4139" s="5">
        <v>4078</v>
      </c>
      <c r="B4139" s="138">
        <f>'Acct Summary 7-8'!F19</f>
        <v>464471</v>
      </c>
      <c r="C4139" s="2" t="s">
        <v>594</v>
      </c>
      <c r="D4139" s="2" t="str">
        <f t="shared" si="63"/>
        <v>Error?</v>
      </c>
    </row>
    <row r="4140" spans="1:4" x14ac:dyDescent="0.2">
      <c r="A4140" s="5">
        <v>4079</v>
      </c>
      <c r="B4140" s="138">
        <f>'Acct Summary 7-8'!G19</f>
        <v>149497</v>
      </c>
      <c r="C4140" s="2" t="s">
        <v>594</v>
      </c>
      <c r="D4140" s="2" t="str">
        <f t="shared" si="63"/>
        <v>Error?</v>
      </c>
    </row>
    <row r="4141" spans="1:4" x14ac:dyDescent="0.2">
      <c r="A4141" s="5">
        <v>4080</v>
      </c>
      <c r="B4141" s="138">
        <f>'Acct Summary 7-8'!H19</f>
        <v>57298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5863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2595000</v>
      </c>
      <c r="C4171" s="2" t="s">
        <v>594</v>
      </c>
      <c r="D4171" s="2" t="str">
        <f t="shared" si="64"/>
        <v>Error?</v>
      </c>
    </row>
    <row r="4172" spans="1:4" x14ac:dyDescent="0.2">
      <c r="A4172" s="5">
        <v>4111</v>
      </c>
      <c r="B4172" s="138">
        <f>'Short-Term Long-Term Debt 24'!J49</f>
        <v>2212439</v>
      </c>
      <c r="C4172" s="2" t="s">
        <v>594</v>
      </c>
      <c r="D4172" s="2" t="str">
        <f t="shared" si="64"/>
        <v>Error?</v>
      </c>
    </row>
    <row r="4173" spans="1:4" x14ac:dyDescent="0.2">
      <c r="A4173" s="5">
        <v>4112</v>
      </c>
      <c r="B4173" s="138">
        <f>'Short-Term Long-Term Debt 24'!H49</f>
        <v>1045000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1580.0000000000002</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2250</v>
      </c>
      <c r="C4268" s="2" t="s">
        <v>594</v>
      </c>
      <c r="D4268" s="2" t="str">
        <f t="shared" si="65"/>
        <v>Error?</v>
      </c>
    </row>
    <row r="4269" spans="1:5" x14ac:dyDescent="0.2">
      <c r="A4269" s="12">
        <v>4208</v>
      </c>
      <c r="B4269" s="138">
        <f>'FP Info 3'!J16</f>
        <v>1279263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21599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11268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85202077</v>
      </c>
      <c r="D4995" s="2" t="str">
        <f t="shared" si="77"/>
        <v>Error?</v>
      </c>
    </row>
    <row r="4996" spans="1:4" x14ac:dyDescent="0.2">
      <c r="A4996" s="12">
        <v>4935</v>
      </c>
      <c r="B4996" s="138">
        <f>'FP Info 3'!H31</f>
        <v>5878943.3130000001</v>
      </c>
      <c r="D4996" s="2" t="str">
        <f t="shared" si="77"/>
        <v>Error?</v>
      </c>
    </row>
    <row r="4997" spans="1:4" x14ac:dyDescent="0.2">
      <c r="A4997" s="12">
        <v>4936</v>
      </c>
      <c r="B4997" s="138">
        <f>'FP Info 3'!H37</f>
        <v>2595000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47948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1512040</v>
      </c>
      <c r="D5061" s="2" t="str">
        <f t="shared" si="78"/>
        <v>Error?</v>
      </c>
    </row>
    <row r="5062" spans="1:4" x14ac:dyDescent="0.2">
      <c r="A5062" s="10">
        <v>5001</v>
      </c>
      <c r="D5062" s="2" t="str">
        <f t="shared" si="78"/>
        <v>OK</v>
      </c>
    </row>
    <row r="5063" spans="1:4" x14ac:dyDescent="0.2">
      <c r="A5063" s="5">
        <v>5002</v>
      </c>
      <c r="B5063" s="138">
        <f>'Revenues 9-14'!C7</f>
        <v>19039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1579027</v>
      </c>
      <c r="C5066" s="2" t="s">
        <v>594</v>
      </c>
      <c r="D5066" s="2" t="str">
        <f t="shared" si="78"/>
        <v>Error?</v>
      </c>
    </row>
    <row r="5067" spans="1:4" x14ac:dyDescent="0.2">
      <c r="A5067" s="5">
        <v>5006</v>
      </c>
      <c r="B5067" s="138">
        <f>'Revenues 9-14'!C14</f>
        <v>5526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11508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17034</v>
      </c>
      <c r="C5071" s="2" t="s">
        <v>594</v>
      </c>
      <c r="D5071" s="2" t="str">
        <f t="shared" si="78"/>
        <v>Error?</v>
      </c>
    </row>
    <row r="5072" spans="1:4" x14ac:dyDescent="0.2">
      <c r="A5072" s="5">
        <v>5011</v>
      </c>
      <c r="B5072" s="138">
        <f>'Revenues 9-14'!C20</f>
        <v>60673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60673</v>
      </c>
      <c r="C5087" s="2" t="s">
        <v>594</v>
      </c>
      <c r="D5087" s="2" t="str">
        <f t="shared" si="78"/>
        <v>Error?</v>
      </c>
    </row>
    <row r="5088" spans="1:4" x14ac:dyDescent="0.2">
      <c r="A5088" s="5">
        <v>5027</v>
      </c>
      <c r="B5088" s="138">
        <f>'Revenues 9-14'!C65</f>
        <v>2472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2472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574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13156</v>
      </c>
      <c r="D5101" s="2" t="str">
        <f t="shared" si="78"/>
        <v>Error?</v>
      </c>
    </row>
    <row r="5102" spans="1:4" x14ac:dyDescent="0.2">
      <c r="A5102" s="5">
        <v>5041</v>
      </c>
      <c r="B5102" s="138">
        <f>'Revenues 9-14'!C82</f>
        <v>13730</v>
      </c>
      <c r="C5102" s="2" t="s">
        <v>594</v>
      </c>
      <c r="D5102" s="2" t="str">
        <f t="shared" si="78"/>
        <v>Error?</v>
      </c>
    </row>
    <row r="5103" spans="1:4" x14ac:dyDescent="0.2">
      <c r="A5103" s="5">
        <v>5042</v>
      </c>
      <c r="B5103" s="138">
        <f>'Revenues 9-14'!C84</f>
        <v>23499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23499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106215</v>
      </c>
      <c r="D5118" s="2" t="str">
        <f t="shared" si="78"/>
        <v>Error?</v>
      </c>
    </row>
    <row r="5119" spans="1:4" x14ac:dyDescent="0.2">
      <c r="A5119" s="5">
        <v>5058</v>
      </c>
      <c r="B5119" s="138">
        <f>'Revenues 9-14'!C107</f>
        <v>36243</v>
      </c>
      <c r="D5119" s="2" t="str">
        <f t="shared" ref="D5119:D5182" si="79">IF(ISBLANK(B5119),"OK",IF(A5119-B5119=0,"OK","Error?"))</f>
        <v>Error?</v>
      </c>
    </row>
    <row r="5120" spans="1:4" x14ac:dyDescent="0.2">
      <c r="A5120" s="5">
        <v>5059</v>
      </c>
      <c r="B5120" s="138">
        <f>'Revenues 9-14'!C108</f>
        <v>295430</v>
      </c>
      <c r="C5120" s="2" t="s">
        <v>594</v>
      </c>
      <c r="D5120" s="2" t="str">
        <f t="shared" si="79"/>
        <v>Error?</v>
      </c>
    </row>
    <row r="5121" spans="1:4" x14ac:dyDescent="0.2">
      <c r="A5121" s="5">
        <v>5060</v>
      </c>
      <c r="B5121" s="138">
        <f>'Revenues 9-14'!C109</f>
        <v>1991865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1708522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1708522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38073</v>
      </c>
      <c r="D5134" s="2" t="str">
        <f t="shared" si="79"/>
        <v>Error?</v>
      </c>
    </row>
    <row r="5135" spans="1:4" x14ac:dyDescent="0.2">
      <c r="A5135" s="5">
        <v>5074</v>
      </c>
      <c r="B5135" s="138">
        <f>'Revenues 9-14'!C126</f>
        <v>46151</v>
      </c>
      <c r="D5135" s="2" t="str">
        <f t="shared" si="79"/>
        <v>Error?</v>
      </c>
    </row>
    <row r="5136" spans="1:4" x14ac:dyDescent="0.2">
      <c r="A5136" s="10">
        <v>5075</v>
      </c>
      <c r="D5136" s="2" t="str">
        <f t="shared" si="79"/>
        <v>OK</v>
      </c>
    </row>
    <row r="5137" spans="1:4" x14ac:dyDescent="0.2">
      <c r="A5137" s="5">
        <v>5076</v>
      </c>
      <c r="B5137" s="138">
        <f>'Revenues 9-14'!C127</f>
        <v>15033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99257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1715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143077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255317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1963839</v>
      </c>
      <c r="C5223" s="2" t="s">
        <v>594</v>
      </c>
      <c r="D5223" s="2" t="str">
        <f t="shared" si="80"/>
        <v>Error?</v>
      </c>
    </row>
    <row r="5224" spans="1:4" x14ac:dyDescent="0.2">
      <c r="A5224" s="5">
        <v>5163</v>
      </c>
      <c r="B5224" s="138">
        <f>'Revenues 9-14'!C176</f>
        <v>36833</v>
      </c>
      <c r="D5224" s="2" t="str">
        <f t="shared" si="80"/>
        <v>Error?</v>
      </c>
    </row>
    <row r="5225" spans="1:4" x14ac:dyDescent="0.2">
      <c r="A5225" s="5">
        <v>5164</v>
      </c>
      <c r="B5225" s="138">
        <f>'Revenues 9-14'!C178</f>
        <v>36833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99866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31931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131797</v>
      </c>
      <c r="C5246" s="2" t="s">
        <v>594</v>
      </c>
      <c r="D5246" s="2" t="str">
        <f t="shared" si="80"/>
        <v>Error?</v>
      </c>
    </row>
    <row r="5247" spans="1:4" x14ac:dyDescent="0.2">
      <c r="A5247" s="5">
        <v>5186</v>
      </c>
      <c r="B5247" s="138">
        <f>'Revenues 9-14'!C203</f>
        <v>94416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94416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125458</v>
      </c>
      <c r="D5278" s="2" t="str">
        <f t="shared" si="81"/>
        <v>Error?</v>
      </c>
    </row>
    <row r="5279" spans="1:4" x14ac:dyDescent="0.2">
      <c r="A5279" s="5">
        <v>5218</v>
      </c>
      <c r="B5279" s="138">
        <f>'Revenues 9-14'!C221</f>
        <v>8027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133485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389427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426260</v>
      </c>
      <c r="C5326" s="2" t="s">
        <v>594</v>
      </c>
      <c r="D5326" s="2" t="str">
        <f t="shared" si="82"/>
        <v>Error?</v>
      </c>
    </row>
    <row r="5327" spans="1:4" x14ac:dyDescent="0.2">
      <c r="A5327" s="5">
        <v>5266</v>
      </c>
      <c r="B5327" s="138">
        <f>'Revenues 9-14'!C275</f>
        <v>4381964</v>
      </c>
      <c r="C5327" s="2" t="s">
        <v>594</v>
      </c>
      <c r="D5327" s="2" t="str">
        <f t="shared" si="82"/>
        <v>Error?</v>
      </c>
    </row>
    <row r="5328" spans="1:4" x14ac:dyDescent="0.2">
      <c r="A5328" s="5">
        <v>5267</v>
      </c>
      <c r="B5328" s="138">
        <f>'Revenues 9-14'!D5</f>
        <v>526341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526341</v>
      </c>
      <c r="C5334" s="2" t="s">
        <v>594</v>
      </c>
      <c r="D5334" s="2" t="str">
        <f t="shared" si="82"/>
        <v>Error?</v>
      </c>
    </row>
    <row r="5335" spans="1:4" x14ac:dyDescent="0.2">
      <c r="A5335" s="5">
        <v>5274</v>
      </c>
      <c r="B5335" s="138">
        <f>'Revenues 9-14'!D14</f>
        <v>1842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2342</v>
      </c>
      <c r="C5339" s="2" t="s">
        <v>594</v>
      </c>
      <c r="D5339" s="2" t="str">
        <f t="shared" si="82"/>
        <v>Error?</v>
      </c>
    </row>
    <row r="5340" spans="1:4" x14ac:dyDescent="0.2">
      <c r="A5340" s="5">
        <v>5279</v>
      </c>
      <c r="B5340" s="138">
        <f>'Revenues 9-14'!D65</f>
        <v>968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126</v>
      </c>
      <c r="D5354" s="2" t="str">
        <f t="shared" si="82"/>
        <v>Error?</v>
      </c>
    </row>
    <row r="5355" spans="1:4" x14ac:dyDescent="0.2">
      <c r="A5355" s="5">
        <v>5294</v>
      </c>
      <c r="B5355" s="138">
        <f>'Revenues 9-14'!D108</f>
        <v>126</v>
      </c>
      <c r="C5355" s="2" t="s">
        <v>594</v>
      </c>
      <c r="D5355" s="2" t="str">
        <f t="shared" si="82"/>
        <v>Error?</v>
      </c>
    </row>
    <row r="5356" spans="1:4" x14ac:dyDescent="0.2">
      <c r="A5356" s="5">
        <v>5295</v>
      </c>
      <c r="B5356" s="138">
        <f>'Revenues 9-14'!D109</f>
        <v>529777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529777</v>
      </c>
      <c r="C5508" s="2" t="s">
        <v>594</v>
      </c>
      <c r="D5508" s="2" t="str">
        <f t="shared" si="85"/>
        <v>Error?</v>
      </c>
    </row>
    <row r="5509" spans="1:4" x14ac:dyDescent="0.2">
      <c r="A5509" s="5">
        <v>5448</v>
      </c>
      <c r="B5509" s="138">
        <f>'Revenues 9-14'!E5</f>
        <v>703216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703216</v>
      </c>
      <c r="C5513" s="2" t="s">
        <v>594</v>
      </c>
      <c r="D5513" s="2" t="str">
        <f t="shared" si="85"/>
        <v>Error?</v>
      </c>
    </row>
    <row r="5514" spans="1:4" x14ac:dyDescent="0.2">
      <c r="A5514" s="5">
        <v>5453</v>
      </c>
      <c r="B5514" s="138">
        <f>'Revenues 9-14'!E14</f>
        <v>2461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2461</v>
      </c>
      <c r="C5518" s="2" t="s">
        <v>594</v>
      </c>
      <c r="D5518" s="2" t="str">
        <f t="shared" si="85"/>
        <v>Error?</v>
      </c>
    </row>
    <row r="5519" spans="1:4" x14ac:dyDescent="0.2">
      <c r="A5519" s="5">
        <v>5458</v>
      </c>
      <c r="B5519" s="138">
        <f>'Revenues 9-14'!E65</f>
        <v>1615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707292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707292</v>
      </c>
      <c r="C5552" s="2" t="s">
        <v>594</v>
      </c>
      <c r="D5552" s="2" t="str">
        <f t="shared" si="85"/>
        <v>Error?</v>
      </c>
    </row>
    <row r="5553" spans="1:4" x14ac:dyDescent="0.2">
      <c r="A5553" s="5">
        <v>5492</v>
      </c>
      <c r="B5553" s="138">
        <f>'Revenues 9-14'!F5</f>
        <v>114839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114839</v>
      </c>
      <c r="C5557" s="2" t="s">
        <v>594</v>
      </c>
      <c r="D5557" s="2" t="str">
        <f t="shared" si="85"/>
        <v>Error?</v>
      </c>
    </row>
    <row r="5558" spans="1:4" x14ac:dyDescent="0.2">
      <c r="A5558" s="5">
        <v>5497</v>
      </c>
      <c r="B5558" s="138">
        <f>'Revenues 9-14'!F14</f>
        <v>402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2679</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2679</v>
      </c>
      <c r="C5579" s="2" t="s">
        <v>594</v>
      </c>
      <c r="D5579" s="2" t="str">
        <f t="shared" si="86"/>
        <v>Error?</v>
      </c>
    </row>
    <row r="5580" spans="1:4" x14ac:dyDescent="0.2">
      <c r="A5580" s="5">
        <v>5519</v>
      </c>
      <c r="B5580" s="138">
        <f>'Revenues 9-14'!F65</f>
        <v>220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118140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194305</v>
      </c>
      <c r="D5615" s="2" t="str">
        <f t="shared" si="86"/>
        <v>Error?</v>
      </c>
    </row>
    <row r="5616" spans="1:4" x14ac:dyDescent="0.2">
      <c r="A5616" s="10">
        <v>5555</v>
      </c>
      <c r="D5616" s="2" t="str">
        <f t="shared" si="86"/>
        <v>OK</v>
      </c>
    </row>
    <row r="5617" spans="1:4" x14ac:dyDescent="0.2">
      <c r="A5617" s="5">
        <v>5556</v>
      </c>
      <c r="B5617" s="138">
        <f>'Revenues 9-14'!F152</f>
        <v>157262</v>
      </c>
      <c r="D5617" s="2" t="str">
        <f t="shared" si="86"/>
        <v>Error?</v>
      </c>
    </row>
    <row r="5618" spans="1:4" x14ac:dyDescent="0.2">
      <c r="A5618" s="5">
        <v>5557</v>
      </c>
      <c r="B5618" s="138">
        <f>'Revenues 9-14'!F154</f>
        <v>351567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351567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501567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619707</v>
      </c>
      <c r="C5720" s="2" t="s">
        <v>594</v>
      </c>
      <c r="D5720" s="2" t="str">
        <f t="shared" si="88"/>
        <v>Error?</v>
      </c>
    </row>
    <row r="5721" spans="1:4" x14ac:dyDescent="0.2">
      <c r="A5721" s="5">
        <v>5660</v>
      </c>
      <c r="B5721" s="138">
        <f>'Revenues 9-14'!G5</f>
        <v>128909</v>
      </c>
      <c r="D5721" s="2" t="str">
        <f t="shared" si="88"/>
        <v>Error?</v>
      </c>
    </row>
    <row r="5722" spans="1:4" x14ac:dyDescent="0.2">
      <c r="A5722" s="5">
        <v>5661</v>
      </c>
      <c r="B5722" s="138">
        <f>'Revenues 9-14'!G7</f>
        <v>0</v>
      </c>
      <c r="D5722" s="2" t="str">
        <f t="shared" si="88"/>
        <v>Error?</v>
      </c>
    </row>
    <row r="5723" spans="1:4" x14ac:dyDescent="0.2">
      <c r="A5723" s="5">
        <v>5662</v>
      </c>
      <c r="B5723" s="138">
        <f>'Revenues 9-14'!G8</f>
        <v>128909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257818</v>
      </c>
      <c r="C5725" s="2" t="s">
        <v>594</v>
      </c>
      <c r="D5725" s="2" t="str">
        <f t="shared" si="88"/>
        <v>Error?</v>
      </c>
    </row>
    <row r="5726" spans="1:4" x14ac:dyDescent="0.2">
      <c r="A5726" s="5">
        <v>5665</v>
      </c>
      <c r="B5726" s="138">
        <f>'Revenues 9-14'!G14</f>
        <v>915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2915</v>
      </c>
      <c r="C5730" s="2" t="s">
        <v>594</v>
      </c>
      <c r="D5730" s="2" t="str">
        <f t="shared" si="88"/>
        <v>Error?</v>
      </c>
    </row>
    <row r="5731" spans="1:4" x14ac:dyDescent="0.2">
      <c r="A5731" s="5">
        <v>5670</v>
      </c>
      <c r="B5731" s="138">
        <f>'Revenues 9-14'!G65</f>
        <v>1331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262064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1231</v>
      </c>
      <c r="C5881" s="2" t="s">
        <v>594</v>
      </c>
      <c r="D5881" s="2" t="str">
        <f t="shared" si="90"/>
        <v>Error?</v>
      </c>
    </row>
    <row r="5882" spans="1:4" x14ac:dyDescent="0.2">
      <c r="A5882" s="5">
        <v>5821</v>
      </c>
      <c r="B5882" s="138">
        <f>'Revenues 9-14'!H96</f>
        <v>29500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29500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30731</v>
      </c>
      <c r="C5915" s="2" t="s">
        <v>594</v>
      </c>
      <c r="D5915" s="2" t="str">
        <f t="shared" si="91"/>
        <v>Error?</v>
      </c>
    </row>
    <row r="5916" spans="1:4" x14ac:dyDescent="0.2">
      <c r="A5916" s="5">
        <v>5855</v>
      </c>
      <c r="B5916" s="138">
        <f>'Revenues 9-14'!I5</f>
        <v>47849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47849</v>
      </c>
      <c r="C5918" s="2" t="s">
        <v>594</v>
      </c>
      <c r="D5918" s="2" t="str">
        <f t="shared" si="91"/>
        <v>Error?</v>
      </c>
    </row>
    <row r="5919" spans="1:4" x14ac:dyDescent="0.2">
      <c r="A5919" s="5">
        <v>5858</v>
      </c>
      <c r="B5919" s="138">
        <f>'Revenues 9-14'!I14</f>
        <v>167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167</v>
      </c>
      <c r="C5923" s="2" t="s">
        <v>594</v>
      </c>
      <c r="D5923" s="2" t="str">
        <f t="shared" si="91"/>
        <v>Error?</v>
      </c>
    </row>
    <row r="5924" spans="1:4" x14ac:dyDescent="0.2">
      <c r="A5924" s="5">
        <v>5863</v>
      </c>
      <c r="B5924" s="138">
        <f>'Revenues 9-14'!I65</f>
        <v>732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48748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47849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47849</v>
      </c>
      <c r="C5987" s="2" t="s">
        <v>594</v>
      </c>
      <c r="D5987" s="2" t="str">
        <f t="shared" si="92"/>
        <v>Error?</v>
      </c>
    </row>
    <row r="5988" spans="1:4" x14ac:dyDescent="0.2">
      <c r="A5988" s="5">
        <v>5927</v>
      </c>
      <c r="B5988" s="138">
        <f>'Revenues 9-14'!K14</f>
        <v>167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167</v>
      </c>
      <c r="C5992" s="2" t="s">
        <v>594</v>
      </c>
      <c r="D5992" s="2" t="str">
        <f t="shared" si="92"/>
        <v>Error?</v>
      </c>
    </row>
    <row r="5993" spans="1:4" x14ac:dyDescent="0.2">
      <c r="A5993" s="5">
        <v>5932</v>
      </c>
      <c r="B5993" s="138">
        <f>'Revenues 9-14'!K65</f>
        <v>617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48633</v>
      </c>
      <c r="C6023" s="2" t="s">
        <v>594</v>
      </c>
      <c r="D6023" s="2" t="str">
        <f t="shared" si="93"/>
        <v>Error?</v>
      </c>
    </row>
    <row r="6024" spans="1:5" x14ac:dyDescent="0.2">
      <c r="A6024" s="5">
        <v>5963</v>
      </c>
      <c r="B6024" s="138">
        <f>'Revenues 9-14'!G109</f>
        <v>262064</v>
      </c>
      <c r="C6024" s="2" t="s">
        <v>594</v>
      </c>
      <c r="D6024" s="2" t="str">
        <f t="shared" si="93"/>
        <v>Error?</v>
      </c>
    </row>
    <row r="6025" spans="1:5" x14ac:dyDescent="0.2">
      <c r="A6025" s="5">
        <v>5964</v>
      </c>
      <c r="B6025" s="138">
        <f>'Revenues 9-14'!H109</f>
        <v>30731</v>
      </c>
      <c r="C6025" s="2" t="s">
        <v>594</v>
      </c>
      <c r="D6025" s="2" t="str">
        <f t="shared" si="93"/>
        <v>Error?</v>
      </c>
    </row>
    <row r="6026" spans="1:5" x14ac:dyDescent="0.2">
      <c r="A6026" s="5">
        <v>5965</v>
      </c>
      <c r="B6026" s="138">
        <f>'Revenues 9-14'!I109</f>
        <v>48748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48633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1056</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26782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544.29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630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167826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167826</v>
      </c>
      <c r="D6215" s="2" t="str">
        <f t="shared" si="96"/>
        <v>Error?</v>
      </c>
      <c r="E6215" s="2" t="s">
        <v>199</v>
      </c>
    </row>
    <row r="6216" spans="1:5" x14ac:dyDescent="0.2">
      <c r="A6216">
        <v>6155</v>
      </c>
      <c r="B6216" s="138">
        <f>'Assets-Liab 5-6'!J41</f>
        <v>167826</v>
      </c>
      <c r="D6216" s="2" t="str">
        <f t="shared" si="96"/>
        <v>Error?</v>
      </c>
      <c r="E6216" s="2" t="s">
        <v>199</v>
      </c>
    </row>
    <row r="6217" spans="1:5" x14ac:dyDescent="0.2">
      <c r="A6217">
        <v>6156</v>
      </c>
      <c r="B6217" s="138">
        <f>'Assets-Liab 5-6'!J4</f>
        <v>167826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255890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255890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255890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197212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197212</v>
      </c>
      <c r="D6229" s="2" t="str">
        <f t="shared" si="96"/>
        <v>Error?</v>
      </c>
      <c r="E6229" s="2" t="s">
        <v>199</v>
      </c>
    </row>
    <row r="6230" spans="1:5" x14ac:dyDescent="0.2">
      <c r="A6230">
        <v>6169</v>
      </c>
      <c r="B6230" s="138">
        <f>'Acct Summary 7-8'!J20</f>
        <v>58678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58678</v>
      </c>
      <c r="D6263" s="2" t="str">
        <f t="shared" si="96"/>
        <v>Error?</v>
      </c>
      <c r="E6263" s="2" t="s">
        <v>199</v>
      </c>
    </row>
    <row r="6264" spans="1:5" x14ac:dyDescent="0.2">
      <c r="A6264">
        <v>6203</v>
      </c>
      <c r="B6264" s="138">
        <f>'Acct Summary 7-8'!J79</f>
        <v>109148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167826</v>
      </c>
      <c r="D6266" s="2" t="str">
        <f t="shared" si="96"/>
        <v>Error?</v>
      </c>
      <c r="E6266" s="2" t="s">
        <v>199</v>
      </c>
    </row>
    <row r="6267" spans="1:5" x14ac:dyDescent="0.2">
      <c r="A6267">
        <v>6206</v>
      </c>
      <c r="B6267" s="138">
        <f>'Acct Summary 7-8'!C82</f>
        <v>63905</v>
      </c>
      <c r="D6267" s="2" t="str">
        <f t="shared" si="96"/>
        <v>Error?</v>
      </c>
      <c r="E6267" s="2" t="s">
        <v>199</v>
      </c>
    </row>
    <row r="6268" spans="1:5" x14ac:dyDescent="0.2">
      <c r="A6268">
        <v>6207</v>
      </c>
      <c r="B6268" s="138">
        <f>'Acct Summary 7-8'!D82</f>
        <v>99203</v>
      </c>
      <c r="D6268" s="2" t="str">
        <f t="shared" si="96"/>
        <v>Error?</v>
      </c>
      <c r="E6268" s="2" t="s">
        <v>199</v>
      </c>
    </row>
    <row r="6269" spans="1:5" x14ac:dyDescent="0.2">
      <c r="A6269">
        <v>6208</v>
      </c>
      <c r="B6269" s="138">
        <f>'Acct Summary 7-8'!E82</f>
        <v>-403936</v>
      </c>
      <c r="D6269" s="2" t="str">
        <f t="shared" si="96"/>
        <v>Error?</v>
      </c>
      <c r="E6269" s="2" t="s">
        <v>199</v>
      </c>
    </row>
    <row r="6270" spans="1:5" x14ac:dyDescent="0.2">
      <c r="A6270">
        <v>6209</v>
      </c>
      <c r="B6270" s="138">
        <f>'Acct Summary 7-8'!F82</f>
        <v>155236</v>
      </c>
      <c r="D6270" s="2" t="str">
        <f t="shared" si="96"/>
        <v>Error?</v>
      </c>
      <c r="E6270" s="2" t="s">
        <v>199</v>
      </c>
    </row>
    <row r="6271" spans="1:5" x14ac:dyDescent="0.2">
      <c r="A6271">
        <v>6210</v>
      </c>
      <c r="B6271" s="138">
        <f>'Acct Summary 7-8'!G82</f>
        <v>112567</v>
      </c>
      <c r="D6271" s="2" t="str">
        <f t="shared" ref="D6271:D6334" si="97">IF(ISBLANK(B6271),"OK",IF(A6271-B6271=0,"OK","Error?"))</f>
        <v>Error?</v>
      </c>
      <c r="E6271" s="2" t="s">
        <v>199</v>
      </c>
    </row>
    <row r="6272" spans="1:5" x14ac:dyDescent="0.2">
      <c r="A6272">
        <v>6211</v>
      </c>
      <c r="B6272" s="138">
        <f>'Acct Summary 7-8'!H82</f>
        <v>-26567</v>
      </c>
      <c r="D6272" s="2" t="str">
        <f t="shared" si="97"/>
        <v>Error?</v>
      </c>
      <c r="E6272" s="2" t="s">
        <v>199</v>
      </c>
    </row>
    <row r="6273" spans="1:5" x14ac:dyDescent="0.2">
      <c r="A6273">
        <v>6212</v>
      </c>
      <c r="B6273" s="138">
        <f>'Acct Summary 7-8'!I82</f>
        <v>48748</v>
      </c>
      <c r="D6273" s="2" t="str">
        <f t="shared" si="97"/>
        <v>Error?</v>
      </c>
      <c r="E6273" s="2" t="s">
        <v>199</v>
      </c>
    </row>
    <row r="6274" spans="1:5" x14ac:dyDescent="0.2">
      <c r="A6274">
        <v>6213</v>
      </c>
      <c r="B6274" s="138">
        <f>'Acct Summary 7-8'!J82</f>
        <v>58678</v>
      </c>
      <c r="D6274" s="2" t="str">
        <f t="shared" si="97"/>
        <v>Error?</v>
      </c>
      <c r="E6274" s="2" t="s">
        <v>199</v>
      </c>
    </row>
    <row r="6275" spans="1:5" x14ac:dyDescent="0.2">
      <c r="A6275">
        <v>6214</v>
      </c>
      <c r="B6275" s="138">
        <f>'Acct Summary 7-8'!K82</f>
        <v>42770</v>
      </c>
      <c r="D6275" s="2" t="str">
        <f t="shared" si="97"/>
        <v>Error?</v>
      </c>
      <c r="E6275" s="2" t="s">
        <v>199</v>
      </c>
    </row>
    <row r="6276" spans="1:5" x14ac:dyDescent="0.2">
      <c r="A6276">
        <v>6215</v>
      </c>
      <c r="B6276" s="138">
        <f>'Acct Summary 7-8'!C83</f>
        <v>0.15433977210701985</v>
      </c>
      <c r="D6276" s="2" t="str">
        <f t="shared" si="97"/>
        <v>Error?</v>
      </c>
      <c r="E6276" s="2" t="s">
        <v>199</v>
      </c>
    </row>
    <row r="6277" spans="1:5" x14ac:dyDescent="0.2">
      <c r="A6277">
        <v>6216</v>
      </c>
      <c r="B6277" s="138">
        <f>'Acct Summary 7-8'!D83</f>
        <v>0.28107610358701196</v>
      </c>
      <c r="D6277" s="2" t="str">
        <f t="shared" si="97"/>
        <v>Error?</v>
      </c>
      <c r="E6277" s="2" t="s">
        <v>199</v>
      </c>
    </row>
    <row r="6278" spans="1:5" x14ac:dyDescent="0.2">
      <c r="A6278">
        <v>6217</v>
      </c>
      <c r="B6278" s="138">
        <f>'Acct Summary 7-8'!E83</f>
        <v>-1.0558734424052634</v>
      </c>
      <c r="D6278" s="2" t="str">
        <f t="shared" si="97"/>
        <v>Error?</v>
      </c>
      <c r="E6278" s="2" t="s">
        <v>199</v>
      </c>
    </row>
    <row r="6279" spans="1:5" x14ac:dyDescent="0.2">
      <c r="A6279">
        <v>6218</v>
      </c>
      <c r="B6279" s="138">
        <f>'Acct Summary 7-8'!F83</f>
        <v>0.6837505946193555</v>
      </c>
      <c r="D6279" s="2" t="str">
        <f t="shared" si="97"/>
        <v>Error?</v>
      </c>
      <c r="E6279" s="2" t="s">
        <v>199</v>
      </c>
    </row>
    <row r="6280" spans="1:5" x14ac:dyDescent="0.2">
      <c r="A6280">
        <v>6219</v>
      </c>
      <c r="B6280" s="138">
        <f>'Acct Summary 7-8'!G83</f>
        <v>0.22603043671199979</v>
      </c>
      <c r="D6280" s="2" t="str">
        <f t="shared" si="97"/>
        <v>Error?</v>
      </c>
      <c r="E6280" s="2" t="s">
        <v>199</v>
      </c>
    </row>
    <row r="6281" spans="1:5" x14ac:dyDescent="0.2">
      <c r="A6281">
        <v>6220</v>
      </c>
      <c r="B6281" s="138">
        <f>'Acct Summary 7-8'!H83</f>
        <v>-7.5533657072022378E-2</v>
      </c>
      <c r="D6281" s="2" t="str">
        <f t="shared" si="97"/>
        <v>Error?</v>
      </c>
      <c r="E6281" s="2" t="s">
        <v>199</v>
      </c>
    </row>
    <row r="6282" spans="1:5" x14ac:dyDescent="0.2">
      <c r="A6282">
        <v>6221</v>
      </c>
      <c r="B6282" s="138">
        <f>'Acct Summary 7-8'!I83</f>
        <v>0.1709058909733446</v>
      </c>
      <c r="D6282" s="2" t="str">
        <f t="shared" si="97"/>
        <v>Error?</v>
      </c>
      <c r="E6282" s="2" t="s">
        <v>199</v>
      </c>
    </row>
    <row r="6283" spans="1:5" x14ac:dyDescent="0.2">
      <c r="A6283">
        <v>6222</v>
      </c>
      <c r="B6283" s="138">
        <f>'Acct Summary 7-8'!J83</f>
        <v>0.34963593245385099</v>
      </c>
      <c r="D6283" s="2" t="str">
        <f t="shared" si="97"/>
        <v>Error?</v>
      </c>
      <c r="E6283" s="2" t="s">
        <v>199</v>
      </c>
    </row>
    <row r="6284" spans="1:5" x14ac:dyDescent="0.2">
      <c r="A6284">
        <v>6223</v>
      </c>
      <c r="B6284" s="138">
        <f>'Acct Summary 7-8'!K83</f>
        <v>0.19370558743472571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248826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248826</v>
      </c>
      <c r="D6301" s="2" t="str">
        <f t="shared" si="97"/>
        <v>Error?</v>
      </c>
      <c r="E6301" s="2" t="s">
        <v>199</v>
      </c>
    </row>
    <row r="6302" spans="1:5" x14ac:dyDescent="0.2">
      <c r="A6302">
        <v>6241</v>
      </c>
      <c r="B6302" s="138">
        <f>'Revenues 9-14'!J14</f>
        <v>873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873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152972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5781</v>
      </c>
      <c r="D6350" s="2" t="str">
        <f t="shared" si="98"/>
        <v>Error?</v>
      </c>
      <c r="E6350" s="2" t="s">
        <v>199</v>
      </c>
    </row>
    <row r="6351" spans="1:5" x14ac:dyDescent="0.2">
      <c r="A6351">
        <v>6290</v>
      </c>
      <c r="B6351" s="138">
        <f>'Revenues 9-14'!J108</f>
        <v>5781</v>
      </c>
      <c r="D6351" s="2" t="str">
        <f t="shared" si="98"/>
        <v>Error?</v>
      </c>
      <c r="E6351" s="2" t="s">
        <v>199</v>
      </c>
    </row>
    <row r="6352" spans="1:5" x14ac:dyDescent="0.2">
      <c r="A6352">
        <v>6291</v>
      </c>
      <c r="B6352" s="138">
        <f>'Revenues 9-14'!J109</f>
        <v>255890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111881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125994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564059</v>
      </c>
      <c r="D6983" s="2" t="str">
        <f t="shared" si="108"/>
        <v>Error?</v>
      </c>
    </row>
    <row r="6984" spans="1:4" x14ac:dyDescent="0.2">
      <c r="A6984">
        <v>6923</v>
      </c>
      <c r="B6984" s="138">
        <f>'Expenditures 15-22'!K86</f>
        <v>564059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564059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197212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255890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3916</v>
      </c>
      <c r="D7073" s="2" t="str">
        <f t="shared" si="109"/>
        <v>Error?</v>
      </c>
    </row>
    <row r="7074" spans="1:4" x14ac:dyDescent="0.2">
      <c r="A7074">
        <v>7013</v>
      </c>
      <c r="B7074" s="138">
        <f>'Expenditures 15-22'!K216</f>
        <v>3916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1841</v>
      </c>
      <c r="D7093" s="2" t="str">
        <f t="shared" si="109"/>
        <v>Error?</v>
      </c>
    </row>
    <row r="7094" spans="1:4" x14ac:dyDescent="0.2">
      <c r="A7094">
        <v>7033</v>
      </c>
      <c r="B7094" s="138">
        <f>'Expenditures 15-22'!K254</f>
        <v>1841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89379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89379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7673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7673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96674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96674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3486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3486</v>
      </c>
      <c r="D7198" s="2" t="str">
        <f t="shared" si="111"/>
        <v>Error?</v>
      </c>
    </row>
    <row r="7199" spans="1:4" x14ac:dyDescent="0.2">
      <c r="A7199">
        <v>7138</v>
      </c>
      <c r="B7199" s="138">
        <f>'Expenditures 15-22'!C330</f>
        <v>96674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100538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197212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96674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100538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197212</v>
      </c>
      <c r="D7224" s="2" t="str">
        <f t="shared" si="111"/>
        <v>Error?</v>
      </c>
    </row>
    <row r="7225" spans="1:4" x14ac:dyDescent="0.2">
      <c r="A7225">
        <v>7164</v>
      </c>
      <c r="B7225" s="138">
        <f>'Expenditures 15-22'!K343</f>
        <v>58678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13969</v>
      </c>
      <c r="D7246" s="2" t="str">
        <f t="shared" si="112"/>
        <v>Error?</v>
      </c>
    </row>
    <row r="7247" spans="1:4" x14ac:dyDescent="0.2">
      <c r="A7247">
        <f t="shared" si="113"/>
        <v>7186</v>
      </c>
      <c r="B7247" s="138">
        <f>'Expenditures 15-22'!E7</f>
        <v>144</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448869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19206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444291</v>
      </c>
      <c r="D7797" s="2" t="str">
        <f t="shared" si="127"/>
        <v>Error?</v>
      </c>
      <c r="E7797" s="4" t="s">
        <v>2020</v>
      </c>
    </row>
    <row r="7798" spans="1:5" x14ac:dyDescent="0.2">
      <c r="A7798">
        <v>7737</v>
      </c>
      <c r="B7798" s="138">
        <f>'Contracts Paid in CY 29'!F141</f>
        <v>85345</v>
      </c>
      <c r="D7798" s="2" t="str">
        <f t="shared" si="127"/>
        <v>Error?</v>
      </c>
      <c r="E7798" s="4" t="s">
        <v>2020</v>
      </c>
    </row>
    <row r="7799" spans="1:5" x14ac:dyDescent="0.2">
      <c r="A7799">
        <v>7738</v>
      </c>
      <c r="B7799" s="138">
        <f>'Contracts Paid in CY 29'!G141</f>
        <v>358946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2" t="s">
        <v>1253</v>
      </c>
      <c r="B2" s="2412"/>
      <c r="C2" s="2412"/>
      <c r="D2" s="2412"/>
      <c r="E2" s="2412"/>
      <c r="F2" s="2412"/>
      <c r="G2" s="2412"/>
      <c r="H2" s="2412"/>
      <c r="I2" s="2412"/>
      <c r="J2" s="2412"/>
      <c r="K2" s="2412"/>
      <c r="L2" s="2412"/>
    </row>
    <row r="3" spans="1:29" ht="13.5" customHeight="1" x14ac:dyDescent="0.2">
      <c r="A3" s="2443" t="s">
        <v>1252</v>
      </c>
      <c r="B3" s="2443"/>
      <c r="C3" s="2443"/>
      <c r="D3" s="2443"/>
      <c r="E3" s="2443"/>
      <c r="F3" s="2443"/>
      <c r="G3" s="2443"/>
      <c r="H3" s="2443"/>
      <c r="I3" s="2443"/>
      <c r="J3" s="2443"/>
      <c r="K3" s="2443"/>
      <c r="L3" s="2443"/>
    </row>
    <row r="4" spans="1:29" ht="13.5" customHeight="1" x14ac:dyDescent="0.2">
      <c r="A4" s="2412" t="s">
        <v>1799</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4" t="str">
        <f>COVER!A17</f>
        <v>Shiloh Village SD 85</v>
      </c>
      <c r="B7" s="2435"/>
      <c r="C7" s="2435"/>
      <c r="D7" s="2436"/>
      <c r="E7" s="2437">
        <f>COVER!A13</f>
        <v>50082085002</v>
      </c>
      <c r="F7" s="2438"/>
      <c r="G7" s="2444" t="str">
        <f>COVER!T23</f>
        <v>065-023476</v>
      </c>
      <c r="H7" s="2445"/>
      <c r="I7" s="2445"/>
      <c r="J7" s="2445"/>
      <c r="K7" s="2445"/>
      <c r="L7" s="244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7"/>
      <c r="B9" s="2448"/>
      <c r="C9" s="2448"/>
      <c r="D9" s="2448"/>
      <c r="E9" s="2448"/>
      <c r="F9" s="2449"/>
      <c r="G9" s="2418" t="str">
        <f>COVER!T13</f>
        <v>SCHEFFEL BOYLE</v>
      </c>
      <c r="H9" s="2450"/>
      <c r="I9" s="2450"/>
      <c r="J9" s="2450"/>
      <c r="K9" s="2450"/>
      <c r="L9" s="2451"/>
    </row>
    <row r="10" spans="1:29" ht="13.5" customHeight="1" x14ac:dyDescent="0.2">
      <c r="A10" s="2424" t="str">
        <f>COVER!A38</f>
        <v>DALE F. SAUER</v>
      </c>
      <c r="B10" s="2425"/>
      <c r="C10" s="2425"/>
      <c r="D10" s="2425"/>
      <c r="E10" s="2425"/>
      <c r="F10" s="2426"/>
      <c r="G10" s="2418" t="str">
        <f>COVER!T17</f>
        <v>222 EAST MAIN STREET</v>
      </c>
      <c r="H10" s="2419"/>
      <c r="I10" s="2419"/>
      <c r="J10" s="2419"/>
      <c r="K10" s="2419"/>
      <c r="L10" s="2420"/>
    </row>
    <row r="11" spans="1:29" ht="13.5" customHeight="1" x14ac:dyDescent="0.2">
      <c r="A11" s="1184" t="s">
        <v>1599</v>
      </c>
      <c r="B11" s="1185"/>
      <c r="C11" s="1186"/>
      <c r="D11" s="1191"/>
      <c r="E11" s="1186"/>
      <c r="F11" s="1190"/>
      <c r="G11" s="2418" t="str">
        <f>COVER!T19</f>
        <v>BELLEVILLE</v>
      </c>
      <c r="H11" s="2419"/>
      <c r="I11" s="2419"/>
      <c r="J11" s="2419"/>
      <c r="K11" s="2419"/>
      <c r="L11" s="2420"/>
    </row>
    <row r="12" spans="1:29" ht="13.5" customHeight="1" x14ac:dyDescent="0.2">
      <c r="A12" s="2427" t="s">
        <v>1598</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1600</v>
      </c>
      <c r="H13" s="2414"/>
      <c r="I13" s="2430" t="str">
        <f>COVER!T25</f>
        <v>brain.otten@scheffelboyle.com</v>
      </c>
      <c r="J13" s="2431"/>
      <c r="K13" s="2431"/>
      <c r="L13" s="2432"/>
    </row>
    <row r="14" spans="1:29" ht="13.5" customHeight="1" x14ac:dyDescent="0.2">
      <c r="A14" s="2418" t="str">
        <f>COVER!A19</f>
        <v>125 DIAMOND COURT</v>
      </c>
      <c r="B14" s="2419"/>
      <c r="C14" s="2419"/>
      <c r="D14" s="2419"/>
      <c r="E14" s="2419"/>
      <c r="F14" s="2420"/>
      <c r="G14" s="1195" t="s">
        <v>1247</v>
      </c>
      <c r="H14" s="1193"/>
      <c r="I14" s="1193"/>
      <c r="J14" s="1193"/>
      <c r="K14" s="1193"/>
      <c r="L14" s="1194"/>
    </row>
    <row r="15" spans="1:29" ht="13.5" customHeight="1" x14ac:dyDescent="0.2">
      <c r="A15" s="2418" t="str">
        <f>COVER!A21</f>
        <v>SHILOH</v>
      </c>
      <c r="B15" s="2419"/>
      <c r="C15" s="2419"/>
      <c r="D15" s="2419"/>
      <c r="E15" s="2419"/>
      <c r="F15" s="2420"/>
      <c r="G15" s="2415" t="str">
        <f>COVER!T15</f>
        <v>BRAIN A. OTTEN</v>
      </c>
      <c r="H15" s="2416"/>
      <c r="I15" s="2416"/>
      <c r="J15" s="2416"/>
      <c r="K15" s="2416"/>
      <c r="L15" s="2417"/>
    </row>
    <row r="16" spans="1:29" ht="12.2" customHeight="1" x14ac:dyDescent="0.2">
      <c r="A16" s="2440">
        <f>COVER!A25</f>
        <v>62269</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5" t="s">
        <v>1246</v>
      </c>
      <c r="H17" s="1193"/>
      <c r="I17" s="1193"/>
      <c r="J17" s="1193"/>
      <c r="K17" s="1197" t="s">
        <v>1245</v>
      </c>
      <c r="L17" s="1190"/>
      <c r="M17" s="1183"/>
    </row>
    <row r="18" spans="1:13" ht="12.2" customHeight="1" x14ac:dyDescent="0.2">
      <c r="A18" s="2424"/>
      <c r="B18" s="2425"/>
      <c r="C18" s="2425"/>
      <c r="D18" s="2425"/>
      <c r="E18" s="2425"/>
      <c r="F18" s="2426"/>
      <c r="G18" s="2434" t="str">
        <f>COVER!T21</f>
        <v>618-277-8100</v>
      </c>
      <c r="H18" s="2435"/>
      <c r="I18" s="2435"/>
      <c r="J18" s="2435"/>
      <c r="K18" s="2434" t="str">
        <f>COVER!X21</f>
        <v>618-277-9307</v>
      </c>
      <c r="L18" s="243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6" t="str">
        <f>'Single Audit Cover'!A7</f>
        <v>Shiloh Village SD 85</v>
      </c>
      <c r="B1" s="2433"/>
      <c r="C1" s="2433"/>
      <c r="D1" s="2433"/>
    </row>
    <row r="2" spans="1:11" s="1214" customFormat="1" ht="12.75" x14ac:dyDescent="0.2">
      <c r="A2" s="2457">
        <f>'Single Audit Cover'!E7</f>
        <v>50082085002</v>
      </c>
      <c r="B2" s="2458"/>
      <c r="C2" s="2458"/>
      <c r="D2" s="2458"/>
    </row>
    <row r="3" spans="1:11" s="1214" customFormat="1" ht="12.75" x14ac:dyDescent="0.2">
      <c r="A3" s="2456" t="s">
        <v>1593</v>
      </c>
      <c r="B3" s="2433"/>
      <c r="C3" s="2433"/>
      <c r="D3" s="2433"/>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0" t="str">
        <f>'Single Audit Cover'!A7</f>
        <v>Shiloh Village SD 85</v>
      </c>
      <c r="B1" s="2460"/>
      <c r="C1" s="2460"/>
      <c r="D1" s="2460"/>
      <c r="E1" s="2460"/>
    </row>
    <row r="2" spans="1:5" x14ac:dyDescent="0.2">
      <c r="A2" s="2461">
        <f>'Single Audit Cover'!E7</f>
        <v>50082085002</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59" t="s">
        <v>1305</v>
      </c>
    </row>
    <row r="10" spans="1:5" x14ac:dyDescent="0.2">
      <c r="A10" s="1260" t="s">
        <v>1304</v>
      </c>
      <c r="B10" s="1261" t="s">
        <v>1303</v>
      </c>
      <c r="C10" s="1261"/>
      <c r="D10" s="1262">
        <f>SUM('Acct Summary 7-8'!C7:K7)</f>
        <v>426260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26782</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-21599</v>
      </c>
    </row>
    <row r="19" spans="1:4" ht="13.5" thickBot="1" x14ac:dyDescent="0.25">
      <c r="A19" s="1264" t="s">
        <v>1297</v>
      </c>
      <c r="D19" s="1265">
        <f>SUM(D10:D17)</f>
        <v>431443</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2"/>
      <c r="B24" s="2462"/>
      <c r="D24" s="1267"/>
    </row>
    <row r="25" spans="1:4" x14ac:dyDescent="0.2">
      <c r="A25" s="2459"/>
      <c r="B25" s="2459"/>
      <c r="D25" s="1267"/>
    </row>
    <row r="26" spans="1:4" x14ac:dyDescent="0.2">
      <c r="A26" s="2459"/>
      <c r="B26" s="2459"/>
      <c r="D26" s="1267"/>
    </row>
    <row r="27" spans="1:4" x14ac:dyDescent="0.2">
      <c r="A27" s="2459"/>
      <c r="B27" s="2459"/>
      <c r="D27" s="1267"/>
    </row>
    <row r="28" spans="1:4" x14ac:dyDescent="0.2">
      <c r="A28" s="2459"/>
      <c r="B28" s="2459"/>
      <c r="D28" s="1267"/>
    </row>
    <row r="29" spans="1:4" x14ac:dyDescent="0.2">
      <c r="A29" s="2459"/>
      <c r="B29" s="2459"/>
      <c r="D29" s="1267"/>
    </row>
    <row r="30" spans="1:4" x14ac:dyDescent="0.2">
      <c r="A30" s="2459"/>
      <c r="B30" s="2459"/>
      <c r="D30" s="1267"/>
    </row>
    <row r="32" spans="1:4" x14ac:dyDescent="0.2">
      <c r="A32" s="1259" t="s">
        <v>1295</v>
      </c>
      <c r="D32" s="1262">
        <f>SUM(D19:D30)</f>
        <v>431443</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9"/>
      <c r="B40" s="2459"/>
      <c r="D40" s="1267"/>
    </row>
    <row r="41" spans="1:4" x14ac:dyDescent="0.2">
      <c r="A41" s="2459"/>
      <c r="B41" s="2459"/>
      <c r="D41" s="1270"/>
    </row>
    <row r="42" spans="1:4" x14ac:dyDescent="0.2">
      <c r="A42" s="2459"/>
      <c r="B42" s="2459"/>
      <c r="D42" s="1270"/>
    </row>
    <row r="43" spans="1:4" x14ac:dyDescent="0.2">
      <c r="A43" s="2459"/>
      <c r="B43" s="2459"/>
      <c r="D43" s="1270"/>
    </row>
    <row r="44" spans="1:4" x14ac:dyDescent="0.2">
      <c r="A44" s="2459"/>
      <c r="B44" s="2459"/>
      <c r="D44" s="1270"/>
    </row>
    <row r="45" spans="1:4" x14ac:dyDescent="0.2">
      <c r="A45" s="2459"/>
      <c r="B45" s="2459"/>
      <c r="D45" s="1270"/>
    </row>
    <row r="47" spans="1:4" x14ac:dyDescent="0.2">
      <c r="B47" s="1271" t="s">
        <v>1289</v>
      </c>
      <c r="C47" s="1271"/>
      <c r="D47" s="1272">
        <f>SUM(D35:D45)</f>
        <v>0</v>
      </c>
    </row>
    <row r="49" spans="2:4" x14ac:dyDescent="0.2">
      <c r="B49" s="1271" t="s">
        <v>1288</v>
      </c>
      <c r="C49" s="1271"/>
      <c r="D49" s="1272">
        <f>D32-D47</f>
        <v>431443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3" t="str">
        <f>'Single Audit Cover'!A7</f>
        <v>Shiloh Village SD 85</v>
      </c>
      <c r="B1" s="2473"/>
      <c r="C1" s="2473"/>
      <c r="D1" s="2473"/>
      <c r="E1" s="2473"/>
      <c r="F1" s="2473"/>
    </row>
    <row r="2" spans="1:7" ht="13.5" customHeight="1" x14ac:dyDescent="0.2">
      <c r="A2" s="2474">
        <f>'Single Audit Cover'!E7</f>
        <v>50082085002</v>
      </c>
      <c r="B2" s="2474"/>
      <c r="C2" s="2474"/>
      <c r="D2" s="2474"/>
      <c r="E2" s="2474"/>
      <c r="F2" s="2474"/>
      <c r="G2" s="1274"/>
    </row>
    <row r="3" spans="1:7" ht="15.75" customHeight="1" x14ac:dyDescent="0.2">
      <c r="A3" s="2475" t="s">
        <v>1333</v>
      </c>
      <c r="B3" s="2475"/>
      <c r="C3" s="2475"/>
      <c r="D3" s="2475"/>
      <c r="E3" s="2475"/>
      <c r="F3" s="2475"/>
    </row>
    <row r="4" spans="1:7" ht="13.5" customHeight="1" x14ac:dyDescent="0.2">
      <c r="A4" s="2476" t="str">
        <f>'Single Audit Cover'!A4</f>
        <v>Year Ending June 30, 2018</v>
      </c>
      <c r="B4" s="2476"/>
      <c r="C4" s="2476"/>
      <c r="D4" s="2476"/>
      <c r="E4" s="2476"/>
      <c r="F4" s="2476"/>
    </row>
    <row r="5" spans="1:7" ht="8.25" customHeight="1" x14ac:dyDescent="0.2">
      <c r="C5" s="317"/>
      <c r="D5" s="317"/>
    </row>
    <row r="6" spans="1:7" ht="13.5" customHeight="1" x14ac:dyDescent="0.2">
      <c r="A6" s="1275" t="s">
        <v>1831</v>
      </c>
      <c r="C6" s="317"/>
      <c r="D6" s="317"/>
    </row>
    <row r="7" spans="1:7" ht="60.95" customHeight="1" x14ac:dyDescent="0.2">
      <c r="A7" s="2472" t="s">
        <v>1832</v>
      </c>
      <c r="B7" s="2472"/>
      <c r="C7" s="2472"/>
      <c r="D7" s="2472"/>
      <c r="E7" s="2472"/>
      <c r="F7" s="2472"/>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72" t="s">
        <v>1834</v>
      </c>
      <c r="B13" s="2472"/>
      <c r="C13" s="2472"/>
      <c r="D13" s="2472"/>
      <c r="E13" s="2472"/>
      <c r="F13" s="2472"/>
    </row>
    <row r="14" spans="1:7" ht="9.75" customHeight="1" x14ac:dyDescent="0.2">
      <c r="C14" s="1259"/>
      <c r="D14" s="1259"/>
    </row>
    <row r="15" spans="1:7" ht="13.5" customHeight="1" x14ac:dyDescent="0.2">
      <c r="C15" s="1869" t="s">
        <v>1332</v>
      </c>
      <c r="D15" s="2470" t="s">
        <v>1331</v>
      </c>
      <c r="E15" s="2470"/>
      <c r="F15" s="2470"/>
    </row>
    <row r="16" spans="1:7" ht="13.5" customHeight="1" x14ac:dyDescent="0.2">
      <c r="A16" s="1281"/>
      <c r="B16" s="1275" t="s">
        <v>1330</v>
      </c>
      <c r="C16" s="1869" t="s">
        <v>1329</v>
      </c>
      <c r="D16" s="2471" t="s">
        <v>1670</v>
      </c>
      <c r="E16" s="2471"/>
      <c r="F16" s="2471"/>
    </row>
    <row r="17" spans="1:6" ht="20.45" customHeight="1" x14ac:dyDescent="0.2">
      <c r="A17" s="1282"/>
      <c r="B17" s="1283"/>
      <c r="C17" s="1284"/>
      <c r="D17" s="2465"/>
      <c r="E17" s="2465"/>
      <c r="F17" s="2465"/>
    </row>
    <row r="18" spans="1:6" ht="20.65" customHeight="1" x14ac:dyDescent="0.2">
      <c r="A18" s="1282"/>
      <c r="B18" s="1283"/>
      <c r="C18" s="1284"/>
      <c r="D18" s="2465"/>
      <c r="E18" s="2465"/>
      <c r="F18" s="2465"/>
    </row>
    <row r="19" spans="1:6" ht="20.65" customHeight="1" x14ac:dyDescent="0.2">
      <c r="A19" s="1282"/>
      <c r="B19" s="1283"/>
      <c r="C19" s="1284"/>
      <c r="D19" s="2465"/>
      <c r="E19" s="2465"/>
      <c r="F19" s="2465"/>
    </row>
    <row r="20" spans="1:6" ht="20.65" customHeight="1" x14ac:dyDescent="0.2">
      <c r="A20" s="1282"/>
      <c r="B20" s="1283"/>
      <c r="C20" s="1284"/>
      <c r="D20" s="2465"/>
      <c r="E20" s="2465"/>
      <c r="F20" s="2465"/>
    </row>
    <row r="21" spans="1:6" ht="20.65" customHeight="1" x14ac:dyDescent="0.2">
      <c r="A21" s="1282"/>
      <c r="B21" s="1283"/>
      <c r="C21" s="1284"/>
      <c r="D21" s="2465"/>
      <c r="E21" s="2465"/>
      <c r="F21" s="2465"/>
    </row>
    <row r="22" spans="1:6" ht="20.65" customHeight="1" x14ac:dyDescent="0.2">
      <c r="A22" s="1282"/>
      <c r="B22" s="1283"/>
      <c r="C22" s="1284"/>
      <c r="D22" s="2465"/>
      <c r="E22" s="2465"/>
      <c r="F22" s="2465"/>
    </row>
    <row r="23" spans="1:6" ht="20.65" customHeight="1" x14ac:dyDescent="0.2">
      <c r="A23" s="1282"/>
      <c r="B23" s="1283"/>
      <c r="C23" s="1284"/>
      <c r="D23" s="2465"/>
      <c r="E23" s="2465"/>
      <c r="F23" s="2465"/>
    </row>
    <row r="24" spans="1:6" ht="20.65" customHeight="1" x14ac:dyDescent="0.2">
      <c r="A24" s="1282"/>
      <c r="B24" s="1283"/>
      <c r="C24" s="1284"/>
      <c r="D24" s="2465"/>
      <c r="E24" s="2465"/>
      <c r="F24" s="2465"/>
    </row>
    <row r="25" spans="1:6" ht="20.65" customHeight="1" x14ac:dyDescent="0.2">
      <c r="A25" s="1282"/>
      <c r="B25" s="1283"/>
      <c r="C25" s="1284"/>
      <c r="D25" s="2465"/>
      <c r="E25" s="2465"/>
      <c r="F25" s="2465"/>
    </row>
    <row r="26" spans="1:6" ht="20.65" customHeight="1" x14ac:dyDescent="0.2">
      <c r="A26" s="1282"/>
      <c r="B26" s="1283"/>
      <c r="C26" s="1284"/>
      <c r="D26" s="2465"/>
      <c r="E26" s="2465"/>
      <c r="F26" s="2465"/>
    </row>
    <row r="27" spans="1:6" ht="20.65" customHeight="1" x14ac:dyDescent="0.2">
      <c r="A27" s="1282"/>
      <c r="B27" s="1283"/>
      <c r="C27" s="1284"/>
      <c r="D27" s="2465"/>
      <c r="E27" s="2465"/>
      <c r="F27" s="2465"/>
    </row>
    <row r="28" spans="1:6" ht="20.65" customHeight="1" x14ac:dyDescent="0.2">
      <c r="A28" s="1282"/>
      <c r="B28" s="1283"/>
      <c r="C28" s="1284"/>
      <c r="D28" s="2465"/>
      <c r="E28" s="2465"/>
      <c r="F28" s="2465"/>
    </row>
    <row r="29" spans="1:6" ht="20.65" customHeight="1" x14ac:dyDescent="0.2">
      <c r="A29" s="1282"/>
      <c r="B29" s="1283"/>
      <c r="C29" s="1284"/>
      <c r="D29" s="2465"/>
      <c r="E29" s="2465"/>
      <c r="F29" s="2465"/>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66" t="s">
        <v>1835</v>
      </c>
      <c r="B32" s="2466"/>
      <c r="C32" s="2466"/>
      <c r="D32" s="2466"/>
      <c r="E32" s="2466"/>
      <c r="F32" s="2466"/>
    </row>
    <row r="33" spans="1:6" ht="13.5" customHeight="1" x14ac:dyDescent="0.2">
      <c r="A33" s="328" t="s">
        <v>1509</v>
      </c>
      <c r="B33" s="328"/>
      <c r="C33" s="1287">
        <v>0</v>
      </c>
      <c r="D33" s="1926"/>
      <c r="E33" s="1285"/>
    </row>
    <row r="34" spans="1:6" ht="13.5" customHeight="1" x14ac:dyDescent="0.2">
      <c r="A34" s="328" t="s">
        <v>1949</v>
      </c>
      <c r="B34" s="328"/>
      <c r="C34" s="1288">
        <v>0</v>
      </c>
      <c r="D34" s="1926" t="s">
        <v>1671</v>
      </c>
      <c r="E34" s="2467">
        <f>+C33+C34</f>
        <v>0</v>
      </c>
      <c r="F34" s="2468"/>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c r="D38" s="1926"/>
      <c r="E38" s="1285"/>
    </row>
    <row r="39" spans="1:6" ht="14.25" customHeight="1" x14ac:dyDescent="0.2">
      <c r="A39" s="328"/>
      <c r="B39" s="328" t="s">
        <v>1511</v>
      </c>
      <c r="C39" s="1291"/>
      <c r="D39" s="1926"/>
      <c r="E39" s="1285"/>
    </row>
    <row r="40" spans="1:6" ht="14.25" customHeight="1" x14ac:dyDescent="0.2">
      <c r="A40" s="328"/>
      <c r="B40" s="328" t="s">
        <v>1512</v>
      </c>
      <c r="C40" s="1291"/>
      <c r="D40" s="1926"/>
      <c r="E40" s="1285"/>
    </row>
    <row r="41" spans="1:6" ht="14.25" customHeight="1" x14ac:dyDescent="0.2">
      <c r="A41" s="328"/>
      <c r="B41" s="328" t="s">
        <v>1513</v>
      </c>
      <c r="C41" s="1291"/>
      <c r="D41" s="1926"/>
      <c r="E41" s="1285"/>
    </row>
    <row r="42" spans="1:6" ht="14.25" customHeight="1" x14ac:dyDescent="0.2">
      <c r="A42" s="328" t="s">
        <v>1514</v>
      </c>
      <c r="B42" s="328"/>
      <c r="C42" s="1924"/>
      <c r="D42" s="1926"/>
      <c r="E42" s="1285"/>
    </row>
    <row r="43" spans="1:6" ht="14.25" customHeight="1" x14ac:dyDescent="0.2">
      <c r="A43" s="328" t="s">
        <v>1515</v>
      </c>
      <c r="B43" s="328"/>
      <c r="C43" s="1292"/>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9" t="s">
        <v>1672</v>
      </c>
      <c r="C49" s="2469"/>
      <c r="D49" s="2469"/>
      <c r="E49" s="1398"/>
    </row>
    <row r="50" spans="1:5" s="1299" customFormat="1" ht="3.75" customHeight="1" x14ac:dyDescent="0.2">
      <c r="A50" s="1298"/>
      <c r="B50" s="1868"/>
      <c r="C50" s="1868"/>
      <c r="D50" s="1868"/>
      <c r="E50" s="1398"/>
    </row>
    <row r="51" spans="1:5" s="1299" customFormat="1" ht="20.25" customHeight="1" x14ac:dyDescent="0.2">
      <c r="A51" s="1300">
        <v>6</v>
      </c>
      <c r="B51" s="2464" t="s">
        <v>1632</v>
      </c>
      <c r="C51" s="2464"/>
      <c r="D51" s="2464"/>
    </row>
    <row r="52" spans="1:5" ht="14.25" customHeight="1" x14ac:dyDescent="0.2">
      <c r="A52" s="1300"/>
      <c r="B52" s="2464"/>
      <c r="C52" s="2464"/>
      <c r="D52" s="24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3" t="str">
        <f>'Single Audit Cover'!A7</f>
        <v>Shiloh Village SD 85</v>
      </c>
      <c r="C1" s="2477"/>
      <c r="D1" s="2477"/>
      <c r="E1" s="2477"/>
      <c r="F1" s="2477"/>
      <c r="G1" s="2477"/>
      <c r="H1" s="2477"/>
      <c r="I1" s="2477"/>
      <c r="J1" s="2477"/>
      <c r="K1" s="2477"/>
      <c r="L1" s="2477"/>
      <c r="M1" s="2477"/>
    </row>
    <row r="2" spans="2:14" ht="15" x14ac:dyDescent="0.2">
      <c r="B2" s="2474">
        <f>'Single Audit Cover'!E7</f>
        <v>50082085002</v>
      </c>
      <c r="C2" s="2474"/>
      <c r="D2" s="2474"/>
      <c r="E2" s="2474"/>
      <c r="F2" s="2474"/>
      <c r="G2" s="2474"/>
      <c r="H2" s="2474"/>
      <c r="I2" s="2474"/>
      <c r="J2" s="2474"/>
      <c r="K2" s="2474"/>
      <c r="L2" s="2474"/>
      <c r="M2" s="2474"/>
      <c r="N2" s="1301"/>
    </row>
    <row r="3" spans="2:14" ht="15" x14ac:dyDescent="0.2">
      <c r="B3" s="2478" t="s">
        <v>1281</v>
      </c>
      <c r="C3" s="2478"/>
      <c r="D3" s="2478"/>
      <c r="E3" s="2478"/>
      <c r="F3" s="2478"/>
      <c r="G3" s="2478"/>
      <c r="H3" s="2478"/>
      <c r="I3" s="2478"/>
      <c r="J3" s="2478"/>
      <c r="K3" s="2478"/>
      <c r="L3" s="2478"/>
      <c r="M3" s="2478"/>
      <c r="N3" s="1301"/>
    </row>
    <row r="4" spans="2:14" ht="15" x14ac:dyDescent="0.2">
      <c r="B4" s="2479" t="str">
        <f>'Single Audit Cover'!A4</f>
        <v>Year Ending June 30, 2018</v>
      </c>
      <c r="C4" s="2479"/>
      <c r="D4" s="2479"/>
      <c r="E4" s="2479"/>
      <c r="F4" s="2479"/>
      <c r="G4" s="2479"/>
      <c r="H4" s="2479"/>
      <c r="I4" s="2479"/>
      <c r="J4" s="2479"/>
      <c r="K4" s="2479"/>
      <c r="L4" s="2479"/>
      <c r="M4" s="2479"/>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7" sqref="A7:D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1230</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9" t="s">
        <v>1731</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9" t="s">
        <v>331</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1390</v>
      </c>
      <c r="B70" s="2102"/>
      <c r="C70" s="2102"/>
      <c r="D70" s="2102"/>
      <c r="E70" s="2103"/>
      <c r="F70" s="2103"/>
      <c r="G70" s="2103"/>
      <c r="H70" s="2103"/>
      <c r="I70" s="210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1387</v>
      </c>
      <c r="B83" s="2104"/>
      <c r="C83" s="2104"/>
      <c r="D83" s="210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2086</v>
      </c>
      <c r="D114" s="209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1397</v>
      </c>
      <c r="D117" s="2097"/>
      <c r="E117" s="2098"/>
      <c r="F117" s="2098"/>
      <c r="G117" s="2098"/>
      <c r="H117" s="2098"/>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Shiloh Village SD 85</v>
      </c>
      <c r="C1" s="2492"/>
      <c r="D1" s="2492"/>
      <c r="E1" s="2492"/>
      <c r="F1" s="2492"/>
      <c r="G1" s="2492"/>
      <c r="H1" s="2492"/>
      <c r="I1" s="2492"/>
      <c r="J1" s="1421"/>
    </row>
    <row r="2" spans="2:10" s="317" customFormat="1" ht="12.75" customHeight="1" x14ac:dyDescent="0.2">
      <c r="B2" s="2493">
        <f>'Single Audit Cover'!E7</f>
        <v>50082085002</v>
      </c>
      <c r="C2" s="2494"/>
      <c r="D2" s="2494"/>
      <c r="E2" s="2494"/>
      <c r="F2" s="2494"/>
      <c r="G2" s="2494"/>
      <c r="H2" s="2494"/>
      <c r="I2" s="2494"/>
      <c r="J2" s="1421"/>
    </row>
    <row r="3" spans="2:10" s="317" customFormat="1" ht="12.75" customHeight="1" x14ac:dyDescent="0.2">
      <c r="B3" s="2495" t="s">
        <v>1347</v>
      </c>
      <c r="C3" s="2496"/>
      <c r="D3" s="2496"/>
      <c r="E3" s="2496"/>
      <c r="F3" s="2496"/>
      <c r="G3" s="2496"/>
      <c r="H3" s="2496"/>
      <c r="I3" s="2496"/>
      <c r="J3" s="1422"/>
    </row>
    <row r="4" spans="2:10" s="317" customFormat="1" ht="12.75" customHeight="1" x14ac:dyDescent="0.2">
      <c r="B4" s="2495" t="str">
        <f>'Single Audit Cover'!A4</f>
        <v>Year Ending June 30, 2018</v>
      </c>
      <c r="C4" s="2496"/>
      <c r="D4" s="2496"/>
      <c r="E4" s="2496"/>
      <c r="F4" s="2496"/>
      <c r="G4" s="2496"/>
      <c r="H4" s="2496"/>
      <c r="I4" s="2496"/>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5" t="s">
        <v>1346</v>
      </c>
      <c r="C7" s="2496"/>
      <c r="D7" s="2496"/>
      <c r="E7" s="2496"/>
      <c r="F7" s="2496"/>
      <c r="G7" s="2496"/>
      <c r="H7" s="2496"/>
      <c r="I7" s="2496"/>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7"/>
      <c r="D11" s="2497"/>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8"/>
      <c r="E29" s="2498"/>
      <c r="F29" s="2498"/>
      <c r="G29" s="2498"/>
      <c r="H29" s="2498"/>
      <c r="I29" s="2498"/>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9" t="s">
        <v>1854</v>
      </c>
      <c r="D37" s="2500"/>
      <c r="E37" s="2500"/>
      <c r="F37" s="2501"/>
      <c r="G37" s="2499" t="s">
        <v>1674</v>
      </c>
      <c r="H37" s="2500"/>
      <c r="I37" s="2501"/>
    </row>
    <row r="38" spans="2:9" ht="16.5" customHeight="1" x14ac:dyDescent="0.2">
      <c r="B38" s="1443"/>
      <c r="C38" s="2487"/>
      <c r="D38" s="2488"/>
      <c r="E38" s="2488"/>
      <c r="F38" s="2489"/>
      <c r="G38" s="2502"/>
      <c r="H38" s="2503"/>
      <c r="I38" s="2504"/>
    </row>
    <row r="39" spans="2:9" ht="16.5" customHeight="1" x14ac:dyDescent="0.2">
      <c r="B39" s="1443"/>
      <c r="C39" s="2487"/>
      <c r="D39" s="2488"/>
      <c r="E39" s="2488"/>
      <c r="F39" s="2489"/>
      <c r="G39" s="2490"/>
      <c r="H39" s="2490"/>
      <c r="I39" s="2490"/>
    </row>
    <row r="40" spans="2:9" ht="16.5" customHeight="1" x14ac:dyDescent="0.2">
      <c r="B40" s="1443"/>
      <c r="C40" s="2487"/>
      <c r="D40" s="2488"/>
      <c r="E40" s="2488"/>
      <c r="F40" s="2489"/>
      <c r="G40" s="2490"/>
      <c r="H40" s="2490"/>
      <c r="I40" s="2490"/>
    </row>
    <row r="41" spans="2:9" ht="16.5" customHeight="1" x14ac:dyDescent="0.2">
      <c r="B41" s="1443"/>
      <c r="C41" s="2487"/>
      <c r="D41" s="2488"/>
      <c r="E41" s="2488"/>
      <c r="F41" s="2489"/>
      <c r="G41" s="2490"/>
      <c r="H41" s="2490"/>
      <c r="I41" s="2490"/>
    </row>
    <row r="42" spans="2:9" ht="16.5" customHeight="1" x14ac:dyDescent="0.2">
      <c r="B42" s="1443"/>
      <c r="C42" s="2487"/>
      <c r="D42" s="2488"/>
      <c r="E42" s="2488"/>
      <c r="F42" s="2489"/>
      <c r="G42" s="2490"/>
      <c r="H42" s="2490"/>
      <c r="I42" s="2490"/>
    </row>
    <row r="43" spans="2:9" ht="16.5" customHeight="1" x14ac:dyDescent="0.2">
      <c r="B43" s="1443"/>
      <c r="C43" s="2480" t="s">
        <v>1675</v>
      </c>
      <c r="D43" s="2481"/>
      <c r="E43" s="2481"/>
      <c r="F43" s="2482"/>
      <c r="G43" s="2483">
        <f>SUM(G38:I42)</f>
        <v>0</v>
      </c>
      <c r="H43" s="2483"/>
      <c r="I43" s="2483"/>
    </row>
    <row r="44" spans="2:9" ht="12.75" customHeight="1" x14ac:dyDescent="0.2"/>
    <row r="45" spans="2:9" ht="12.75" customHeight="1" x14ac:dyDescent="0.2">
      <c r="B45" s="1434" t="s">
        <v>1952</v>
      </c>
      <c r="D45" s="2484">
        <v>0</v>
      </c>
      <c r="E45" s="2485"/>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6"/>
      <c r="F49" s="2486"/>
      <c r="G49" s="2486"/>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Shiloh Village SD 85</v>
      </c>
      <c r="C1" s="2491"/>
      <c r="D1" s="2491"/>
      <c r="E1" s="2491"/>
      <c r="F1" s="2491"/>
      <c r="G1" s="2491"/>
      <c r="H1" s="2491"/>
      <c r="I1" s="2491"/>
      <c r="J1" s="2491"/>
      <c r="K1" s="2491"/>
      <c r="L1" s="1373"/>
      <c r="M1" s="1373"/>
    </row>
    <row r="2" spans="1:13" ht="12" customHeight="1" x14ac:dyDescent="0.2">
      <c r="B2" s="2493">
        <f>'Single Audit Cover'!E7</f>
        <v>50082085002</v>
      </c>
      <c r="C2" s="2493"/>
      <c r="D2" s="2493"/>
      <c r="E2" s="2493"/>
      <c r="F2" s="2493"/>
      <c r="G2" s="2493"/>
      <c r="H2" s="2493"/>
      <c r="I2" s="2493"/>
      <c r="J2" s="2493"/>
      <c r="K2" s="2493"/>
      <c r="L2" s="1374"/>
      <c r="M2" s="1375"/>
    </row>
    <row r="3" spans="1:13" ht="10.35" customHeight="1" x14ac:dyDescent="0.2">
      <c r="B3" s="2507" t="s">
        <v>1347</v>
      </c>
      <c r="C3" s="2507"/>
      <c r="D3" s="2507"/>
      <c r="E3" s="2507"/>
      <c r="F3" s="2507"/>
      <c r="G3" s="2507"/>
      <c r="H3" s="2507"/>
      <c r="I3" s="2507"/>
      <c r="J3" s="2507"/>
      <c r="K3" s="2507"/>
      <c r="L3" s="1376"/>
      <c r="M3" s="1376"/>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8" t="s">
        <v>1363</v>
      </c>
      <c r="C7" s="2508"/>
      <c r="D7" s="2509"/>
      <c r="E7" s="2509"/>
      <c r="F7" s="2509"/>
      <c r="G7" s="2509"/>
      <c r="H7" s="2509"/>
      <c r="I7" s="2509"/>
      <c r="J7" s="2509"/>
      <c r="K7" s="250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6"/>
      <c r="C14" s="2506"/>
      <c r="D14" s="2506"/>
      <c r="E14" s="2506"/>
      <c r="F14" s="2506"/>
      <c r="G14" s="2506"/>
      <c r="H14" s="2506"/>
      <c r="I14" s="2506"/>
      <c r="J14" s="2506"/>
      <c r="K14" s="250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6"/>
      <c r="C17" s="2506"/>
      <c r="D17" s="2506"/>
      <c r="E17" s="2506"/>
      <c r="F17" s="2506"/>
      <c r="G17" s="2506"/>
      <c r="H17" s="2506"/>
      <c r="I17" s="2506"/>
      <c r="J17" s="2506"/>
      <c r="K17" s="2506"/>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10"/>
      <c r="C20" s="2510"/>
      <c r="D20" s="2506"/>
      <c r="E20" s="2506"/>
      <c r="F20" s="2506"/>
      <c r="G20" s="2506"/>
      <c r="H20" s="2506"/>
      <c r="I20" s="2506"/>
      <c r="J20" s="2506"/>
      <c r="K20" s="250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6"/>
      <c r="C23" s="2506"/>
      <c r="D23" s="2506"/>
      <c r="E23" s="2506"/>
      <c r="F23" s="2506"/>
      <c r="G23" s="2506"/>
      <c r="H23" s="2506"/>
      <c r="I23" s="2506"/>
      <c r="J23" s="2506"/>
      <c r="K23" s="2506"/>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6"/>
      <c r="C26" s="2506"/>
      <c r="D26" s="2506"/>
      <c r="E26" s="2506"/>
      <c r="F26" s="2506"/>
      <c r="G26" s="2506"/>
      <c r="H26" s="2506"/>
      <c r="I26" s="2506"/>
      <c r="J26" s="2506"/>
      <c r="K26" s="2506"/>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5"/>
      <c r="C29" s="2505"/>
      <c r="D29" s="2506"/>
      <c r="E29" s="2506"/>
      <c r="F29" s="2506"/>
      <c r="G29" s="2506"/>
      <c r="H29" s="2506"/>
      <c r="I29" s="2506"/>
      <c r="J29" s="2506"/>
      <c r="K29" s="250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5"/>
      <c r="C32" s="2505"/>
      <c r="D32" s="2506"/>
      <c r="E32" s="2506"/>
      <c r="F32" s="2506"/>
      <c r="G32" s="2506"/>
      <c r="H32" s="2506"/>
      <c r="I32" s="2506"/>
      <c r="J32" s="2506"/>
      <c r="K32" s="250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Shiloh Village SD 85</v>
      </c>
      <c r="C1" s="2514"/>
      <c r="D1" s="2514"/>
      <c r="E1" s="2514"/>
      <c r="F1" s="2514"/>
      <c r="G1" s="2514"/>
      <c r="H1" s="2514"/>
      <c r="I1" s="2514"/>
      <c r="J1" s="2514"/>
      <c r="K1" s="2514"/>
      <c r="L1" s="1464"/>
    </row>
    <row r="2" spans="1:12" ht="12.75" customHeight="1" x14ac:dyDescent="0.2">
      <c r="B2" s="2515">
        <f>'Single Audit Cover'!E7</f>
        <v>50082085002</v>
      </c>
      <c r="C2" s="2515"/>
      <c r="D2" s="2515"/>
      <c r="E2" s="2515"/>
      <c r="F2" s="2515"/>
      <c r="G2" s="2515"/>
      <c r="H2" s="2515"/>
      <c r="I2" s="2515"/>
      <c r="J2" s="2515"/>
      <c r="K2" s="2515"/>
      <c r="L2" s="1465"/>
    </row>
    <row r="3" spans="1:12" ht="12.75" customHeight="1" x14ac:dyDescent="0.2">
      <c r="B3" s="2507" t="s">
        <v>1347</v>
      </c>
      <c r="C3" s="2507"/>
      <c r="D3" s="2507"/>
      <c r="E3" s="2507"/>
      <c r="F3" s="2507"/>
      <c r="G3" s="2507"/>
      <c r="H3" s="2507"/>
      <c r="I3" s="2507"/>
      <c r="J3" s="2507"/>
      <c r="K3" s="2507"/>
      <c r="L3" s="1376"/>
    </row>
    <row r="4" spans="1:12" ht="12.75" customHeight="1" x14ac:dyDescent="0.2">
      <c r="B4" s="2507" t="str">
        <f>'Single Audit Cover'!A4</f>
        <v>Year Ending June 30, 2018</v>
      </c>
      <c r="C4" s="2507"/>
      <c r="D4" s="2507"/>
      <c r="E4" s="2507"/>
      <c r="F4" s="2507"/>
      <c r="G4" s="2507"/>
      <c r="H4" s="2507"/>
      <c r="I4" s="2507"/>
      <c r="J4" s="2507"/>
      <c r="K4" s="2507"/>
      <c r="L4" s="1376"/>
    </row>
    <row r="5" spans="1:12" ht="5.25" customHeight="1" x14ac:dyDescent="0.2">
      <c r="B5" s="1259" t="s">
        <v>1231</v>
      </c>
      <c r="C5" s="1259"/>
      <c r="L5" s="322"/>
    </row>
    <row r="6" spans="1:12" ht="30.75" customHeight="1" x14ac:dyDescent="0.2">
      <c r="A6" s="322"/>
      <c r="B6" s="2516" t="s">
        <v>1375</v>
      </c>
      <c r="C6" s="2516"/>
      <c r="D6" s="2516"/>
      <c r="E6" s="2516"/>
      <c r="F6" s="2516"/>
      <c r="G6" s="2516"/>
      <c r="H6" s="2516"/>
      <c r="I6" s="2516"/>
      <c r="J6" s="2516"/>
      <c r="K6" s="2516"/>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8"/>
      <c r="G12" s="2498"/>
      <c r="H12" s="2498"/>
      <c r="I12" s="2498"/>
      <c r="J12" s="2498"/>
      <c r="K12" s="2498"/>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1"/>
      <c r="E14" s="2511"/>
      <c r="F14" s="2511"/>
      <c r="H14" s="1474" t="s">
        <v>1370</v>
      </c>
      <c r="I14" s="2512"/>
      <c r="J14" s="2512"/>
      <c r="K14" s="251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2"/>
      <c r="E16" s="2512"/>
      <c r="F16" s="2512"/>
      <c r="G16" s="2512"/>
      <c r="H16" s="2512"/>
      <c r="I16" s="2512"/>
      <c r="J16" s="2512"/>
      <c r="K16" s="2512"/>
      <c r="L16" s="322"/>
    </row>
    <row r="17" spans="2:12" ht="13.5" customHeight="1" x14ac:dyDescent="0.2">
      <c r="B17" s="1386" t="s">
        <v>1368</v>
      </c>
      <c r="C17" s="1386"/>
      <c r="D17" s="2513"/>
      <c r="E17" s="2513"/>
      <c r="F17" s="2513"/>
      <c r="G17" s="2513"/>
      <c r="H17" s="2513"/>
      <c r="I17" s="2513"/>
      <c r="J17" s="2513"/>
      <c r="K17" s="251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6"/>
      <c r="C20" s="2506"/>
      <c r="D20" s="2506"/>
      <c r="E20" s="2506"/>
      <c r="F20" s="2506"/>
      <c r="G20" s="2506"/>
      <c r="H20" s="2506"/>
      <c r="I20" s="2506"/>
      <c r="J20" s="2506"/>
      <c r="K20" s="250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1" t="str">
        <f>'Single Audit Cover'!A7</f>
        <v>Shiloh Village SD 85</v>
      </c>
      <c r="C1" s="2491"/>
      <c r="D1" s="2491"/>
      <c r="E1" s="1490"/>
    </row>
    <row r="2" spans="2:5" s="1281" customFormat="1" ht="12.75" customHeight="1" x14ac:dyDescent="0.2">
      <c r="B2" s="2493">
        <f>'Single Audit Cover'!E7</f>
        <v>50082085002</v>
      </c>
      <c r="C2" s="2493"/>
      <c r="D2" s="2493"/>
      <c r="E2" s="1491"/>
    </row>
    <row r="3" spans="2:5" ht="12.75" customHeight="1" x14ac:dyDescent="0.2">
      <c r="B3" s="2507" t="s">
        <v>1869</v>
      </c>
      <c r="C3" s="2507"/>
      <c r="D3" s="2507"/>
      <c r="E3" s="1273"/>
    </row>
    <row r="4" spans="2:5" s="1281" customFormat="1" ht="12.75" customHeight="1" x14ac:dyDescent="0.2">
      <c r="B4" s="2517" t="str">
        <f>'Single Audit Cover'!A4</f>
        <v>Year Ending June 30, 2018</v>
      </c>
      <c r="C4" s="2517"/>
      <c r="D4" s="2517"/>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7" sqref="A7:D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404</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85202077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1.5800000000000002E-2</v>
      </c>
      <c r="E10" s="356" t="s">
        <v>1062</v>
      </c>
      <c r="F10" s="355">
        <v>5.4999999999999997E-3</v>
      </c>
      <c r="G10" s="356" t="s">
        <v>1062</v>
      </c>
      <c r="H10" s="355">
        <v>1.1999999999999999E-3</v>
      </c>
      <c r="I10" s="356" t="s">
        <v>1063</v>
      </c>
      <c r="J10" s="1753">
        <f>ROUND(D10+F10+H10,5)</f>
        <v>2.2499999999999999E-2</v>
      </c>
      <c r="K10" s="222"/>
      <c r="L10" s="355">
        <v>5.0000000000000001E-4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5580196</v>
      </c>
      <c r="E16" s="356"/>
      <c r="F16" s="1754">
        <f>SUM('Acct Summary 7-8'!C17,'Acct Summary 7-8'!D17,'Acct Summary 7-8'!F17)</f>
        <v>5213104</v>
      </c>
      <c r="G16" s="356"/>
      <c r="H16" s="1754">
        <f>SUM(D16-F16)</f>
        <v>367092</v>
      </c>
      <c r="I16" s="222"/>
      <c r="J16" s="1754">
        <f>SUM('Acct Summary 7-8'!C81,'Acct Summary 7-8'!D81,'Acct Summary 7-8'!F81,'Acct Summary 7-8'!I81)</f>
        <v>1279263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5878943.3130000001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2595000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0"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577</v>
      </c>
      <c r="B2" s="2134"/>
      <c r="C2" s="2134"/>
      <c r="D2" s="2134"/>
      <c r="E2" s="2134"/>
      <c r="F2" s="2134"/>
      <c r="G2" s="2134"/>
      <c r="H2" s="2134"/>
      <c r="I2" s="2134"/>
      <c r="J2" s="2134"/>
      <c r="K2" s="2134"/>
      <c r="L2" s="2134"/>
      <c r="M2" s="2134"/>
      <c r="N2" s="2134"/>
      <c r="O2" s="2134"/>
      <c r="P2" s="2134"/>
      <c r="Q2" s="2134"/>
      <c r="R2" s="2134"/>
    </row>
    <row r="3" spans="1:18" ht="12.75" x14ac:dyDescent="0.2">
      <c r="A3" s="2135" t="s">
        <v>1480</v>
      </c>
      <c r="B3" s="2135"/>
      <c r="C3" s="2135"/>
      <c r="D3" s="2135"/>
      <c r="E3" s="2135"/>
      <c r="F3" s="2135"/>
      <c r="G3" s="2135"/>
      <c r="H3" s="2135"/>
      <c r="I3" s="2135"/>
      <c r="J3" s="2135"/>
      <c r="K3" s="2135"/>
      <c r="L3" s="2135"/>
      <c r="M3" s="2135"/>
      <c r="N3" s="2135"/>
      <c r="O3" s="2135"/>
      <c r="P3" s="2135"/>
      <c r="Q3" s="2135"/>
      <c r="R3" s="2135"/>
    </row>
    <row r="4" spans="1:18" x14ac:dyDescent="0.2">
      <c r="A4" s="2136" t="s">
        <v>1635</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Shiloh Village SD 85</v>
      </c>
      <c r="E7" s="391"/>
      <c r="G7" s="252"/>
      <c r="H7" s="387"/>
      <c r="I7" s="387"/>
      <c r="J7" s="387"/>
      <c r="K7" s="387"/>
      <c r="L7" s="329"/>
      <c r="M7" s="329"/>
      <c r="N7" s="329"/>
      <c r="O7" s="329"/>
      <c r="P7" s="329"/>
    </row>
    <row r="8" spans="1:18" ht="12.75" x14ac:dyDescent="0.2">
      <c r="A8" s="329"/>
      <c r="B8" s="329"/>
      <c r="C8" s="389" t="s">
        <v>1187</v>
      </c>
      <c r="D8" s="392">
        <f>COVER!A13</f>
        <v>50082085002</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1279263</v>
      </c>
      <c r="I12" s="404"/>
      <c r="J12" s="404"/>
      <c r="K12" s="405">
        <f>TRUNC((H12/H13*100000),5)/100000</f>
        <v>0.22925054960000002</v>
      </c>
      <c r="L12" s="406"/>
      <c r="M12" s="360" t="s">
        <v>1206</v>
      </c>
      <c r="N12" s="360"/>
      <c r="O12" s="407">
        <v>0.35</v>
      </c>
      <c r="P12" s="218"/>
      <c r="Q12" s="218"/>
    </row>
    <row r="13" spans="1:18" s="408" customFormat="1" ht="12.75" x14ac:dyDescent="0.2">
      <c r="A13" s="218"/>
      <c r="B13" s="401"/>
      <c r="C13" s="2132" t="s">
        <v>1391</v>
      </c>
      <c r="D13" s="2133"/>
      <c r="E13" s="218"/>
      <c r="F13" s="409" t="s">
        <v>826</v>
      </c>
      <c r="G13" s="402"/>
      <c r="H13" s="403">
        <f>SUM('Acct Summary 7-8'!C8+'Acct Summary 7-8'!D8+'Acct Summary 7-8'!F8+'Acct Summary 7-8'!I8)+H14</f>
        <v>5580196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5213104</v>
      </c>
      <c r="I17" s="404"/>
      <c r="J17" s="416"/>
      <c r="K17" s="405">
        <f>TRUNC((H17/H18*100000),5)/100000</f>
        <v>0.93421521389999995</v>
      </c>
      <c r="L17" s="406"/>
      <c r="M17" s="417" t="s">
        <v>1233</v>
      </c>
      <c r="O17" s="418" t="str">
        <f>IF(AND(O16="2", J20 &gt; 2),"1",IF(AND(O16 = "1", J20 &gt; 2),"2",IF(AND(O16="1", J20 &gt;1),"1","0")))</f>
        <v>0</v>
      </c>
      <c r="P17" s="218"/>
    </row>
    <row r="18" spans="1:18" s="408" customFormat="1" ht="11.25" x14ac:dyDescent="0.2">
      <c r="A18" s="218"/>
      <c r="B18" s="401"/>
      <c r="C18" s="2132" t="s">
        <v>1384</v>
      </c>
      <c r="D18" s="2133"/>
      <c r="E18" s="218"/>
      <c r="F18" s="419" t="s">
        <v>827</v>
      </c>
      <c r="G18" s="402"/>
      <c r="H18" s="403">
        <f>SUM('Acct Summary 7-8'!C8+'Acct Summary 7-8'!D8+'Acct Summary 7-8'!F8+'Acct Summary 7-8'!I8)+H19</f>
        <v>5580196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9" t="s">
        <v>1479</v>
      </c>
      <c r="D24" s="2129"/>
      <c r="E24" s="218"/>
      <c r="F24" s="218" t="s">
        <v>465</v>
      </c>
      <c r="G24" s="402"/>
      <c r="H24" s="403">
        <f>SUM('Assets-Liab 5-6'!C4+'Assets-Liab 5-6'!D4+'Assets-Liab 5-6'!F4+'Assets-Liab 5-6'!I4+'Assets-Liab 5-6'!C5+'Assets-Liab 5-6'!D5+'Assets-Liab 5-6'!F5+'Assets-Liab 5-6'!I5)</f>
        <v>1278633</v>
      </c>
      <c r="I24" s="422"/>
      <c r="J24" s="422"/>
      <c r="K24" s="423">
        <f>TRUNC(((H24/H25*100000)/100000),2)</f>
        <v>88.29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14480.844440000001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1629489.72263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2595000</v>
      </c>
      <c r="I32" s="420"/>
      <c r="J32" s="420"/>
      <c r="K32" s="423">
        <f>TRUNC(100-((((H32/H33*100))*100)/100),2)</f>
        <v>55.85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5878943.3130000001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9" activePane="bottomLeft" state="frozen"/>
      <selection activeCell="A7" sqref="A7:D7"/>
      <selection pane="bottomLeft" activeCell="A7" sqref="A7:D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9" t="s">
        <v>1030</v>
      </c>
      <c r="B3" s="2140"/>
      <c r="C3" s="1580"/>
      <c r="D3" s="1581"/>
      <c r="E3" s="1581"/>
      <c r="F3" s="1581"/>
      <c r="G3" s="1581"/>
      <c r="H3" s="1581"/>
      <c r="I3" s="1581"/>
      <c r="J3" s="1581"/>
      <c r="K3" s="1581"/>
      <c r="L3" s="1581"/>
      <c r="M3" s="1582"/>
      <c r="N3" s="1583"/>
    </row>
    <row r="4" spans="1:14" ht="13.5" customHeight="1" x14ac:dyDescent="0.2">
      <c r="A4" s="463" t="s">
        <v>1750</v>
      </c>
      <c r="B4" s="464"/>
      <c r="C4" s="465">
        <v>413424</v>
      </c>
      <c r="D4" s="466">
        <v>352940</v>
      </c>
      <c r="E4" s="466">
        <v>382561</v>
      </c>
      <c r="F4" s="466">
        <v>227036</v>
      </c>
      <c r="G4" s="466">
        <v>498017</v>
      </c>
      <c r="H4" s="466">
        <v>351724</v>
      </c>
      <c r="I4" s="466">
        <v>285233</v>
      </c>
      <c r="J4" s="467">
        <v>167826</v>
      </c>
      <c r="K4" s="466">
        <v>220799</v>
      </c>
      <c r="L4" s="466">
        <v>87615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630</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414054</v>
      </c>
      <c r="D13" s="1758">
        <f t="shared" ref="D13:L13" si="0">SUM(D4:D12)</f>
        <v>352940</v>
      </c>
      <c r="E13" s="1758">
        <f t="shared" si="0"/>
        <v>382561</v>
      </c>
      <c r="F13" s="1758">
        <f t="shared" si="0"/>
        <v>227036</v>
      </c>
      <c r="G13" s="1758">
        <f t="shared" si="0"/>
        <v>498017</v>
      </c>
      <c r="H13" s="1758">
        <f t="shared" si="0"/>
        <v>351724</v>
      </c>
      <c r="I13" s="1758">
        <f t="shared" si="0"/>
        <v>285233</v>
      </c>
      <c r="J13" s="1758">
        <f t="shared" si="0"/>
        <v>167826</v>
      </c>
      <c r="K13" s="1758">
        <f t="shared" si="0"/>
        <v>220799</v>
      </c>
      <c r="L13" s="1758">
        <f t="shared" si="0"/>
        <v>87615</v>
      </c>
      <c r="M13" s="468"/>
      <c r="N13" s="469"/>
    </row>
    <row r="14" spans="1:14" ht="18" customHeight="1" thickTop="1" x14ac:dyDescent="0.2">
      <c r="A14" s="2141" t="s">
        <v>149</v>
      </c>
      <c r="B14" s="2142"/>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850953</v>
      </c>
      <c r="N16" s="484"/>
    </row>
    <row r="17" spans="1:14" s="485" customFormat="1" ht="12.75" customHeight="1" x14ac:dyDescent="0.2">
      <c r="A17" s="482" t="s">
        <v>1470</v>
      </c>
      <c r="B17" s="483">
        <v>230</v>
      </c>
      <c r="C17" s="477"/>
      <c r="D17" s="477"/>
      <c r="E17" s="477"/>
      <c r="F17" s="477"/>
      <c r="G17" s="477"/>
      <c r="H17" s="477"/>
      <c r="I17" s="477"/>
      <c r="J17" s="477"/>
      <c r="K17" s="477"/>
      <c r="L17" s="477"/>
      <c r="M17" s="467">
        <v>19052323</v>
      </c>
      <c r="N17" s="484"/>
    </row>
    <row r="18" spans="1:14" s="485" customFormat="1" ht="12.75" customHeight="1" x14ac:dyDescent="0.2">
      <c r="A18" s="482" t="s">
        <v>1471</v>
      </c>
      <c r="B18" s="483">
        <v>240</v>
      </c>
      <c r="C18" s="477"/>
      <c r="D18" s="477"/>
      <c r="E18" s="477"/>
      <c r="F18" s="477"/>
      <c r="G18" s="477"/>
      <c r="H18" s="477"/>
      <c r="I18" s="477"/>
      <c r="J18" s="477"/>
      <c r="K18" s="477"/>
      <c r="L18" s="477"/>
      <c r="M18" s="467">
        <v>160743</v>
      </c>
      <c r="N18" s="484"/>
    </row>
    <row r="19" spans="1:14" s="485" customFormat="1" ht="12.75" customHeight="1" x14ac:dyDescent="0.2">
      <c r="A19" s="482" t="s">
        <v>1472</v>
      </c>
      <c r="B19" s="483">
        <v>250</v>
      </c>
      <c r="C19" s="477"/>
      <c r="D19" s="477"/>
      <c r="E19" s="477"/>
      <c r="F19" s="477"/>
      <c r="G19" s="477"/>
      <c r="H19" s="477"/>
      <c r="I19" s="477"/>
      <c r="J19" s="477"/>
      <c r="K19" s="477"/>
      <c r="L19" s="477"/>
      <c r="M19" s="467">
        <v>1311548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382561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2212439</v>
      </c>
    </row>
    <row r="23" spans="1:14" ht="13.5" customHeight="1" thickBot="1" x14ac:dyDescent="0.25">
      <c r="A23" s="1757" t="s">
        <v>664</v>
      </c>
      <c r="B23" s="1762"/>
      <c r="C23" s="468"/>
      <c r="D23" s="468"/>
      <c r="E23" s="468"/>
      <c r="F23" s="468"/>
      <c r="G23" s="468"/>
      <c r="H23" s="468"/>
      <c r="I23" s="468"/>
      <c r="J23" s="468"/>
      <c r="K23" s="468"/>
      <c r="L23" s="468"/>
      <c r="M23" s="1709">
        <f>SUM(M15:M22)</f>
        <v>21375567</v>
      </c>
      <c r="N23" s="1709">
        <f>SUM(N21:N22)</f>
        <v>2595000</v>
      </c>
    </row>
    <row r="24" spans="1:14" ht="18" customHeight="1" thickTop="1" x14ac:dyDescent="0.2">
      <c r="A24" s="2143" t="s">
        <v>619</v>
      </c>
      <c r="B24" s="2144"/>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87615</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87615</v>
      </c>
      <c r="M34" s="468"/>
      <c r="N34" s="480"/>
    </row>
    <row r="35" spans="1:14" ht="18" customHeight="1" thickTop="1" x14ac:dyDescent="0.2">
      <c r="A35" s="2145" t="s">
        <v>550</v>
      </c>
      <c r="B35" s="2146"/>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2595000</v>
      </c>
    </row>
    <row r="37" spans="1:14" ht="13.5" thickBot="1" x14ac:dyDescent="0.25">
      <c r="A37" s="1757" t="s">
        <v>674</v>
      </c>
      <c r="B37" s="1762"/>
      <c r="C37" s="477"/>
      <c r="D37" s="477"/>
      <c r="E37" s="477"/>
      <c r="F37" s="477"/>
      <c r="G37" s="477"/>
      <c r="H37" s="477"/>
      <c r="I37" s="477"/>
      <c r="J37" s="477"/>
      <c r="K37" s="477"/>
      <c r="L37" s="480"/>
      <c r="M37" s="468"/>
      <c r="N37" s="1709">
        <f>SUM(N36:N36)</f>
        <v>2595000</v>
      </c>
    </row>
    <row r="38" spans="1:14" s="329" customFormat="1" ht="13.5" customHeight="1" thickTop="1" x14ac:dyDescent="0.2">
      <c r="A38" s="496" t="s">
        <v>440</v>
      </c>
      <c r="B38" s="483">
        <v>714</v>
      </c>
      <c r="C38" s="466">
        <v>177612</v>
      </c>
      <c r="D38" s="466"/>
      <c r="E38" s="466"/>
      <c r="F38" s="466"/>
      <c r="G38" s="466">
        <v>99200</v>
      </c>
      <c r="H38" s="466"/>
      <c r="I38" s="466"/>
      <c r="J38" s="467"/>
      <c r="K38" s="466"/>
      <c r="L38" s="481"/>
      <c r="M38" s="497"/>
      <c r="N38" s="497"/>
    </row>
    <row r="39" spans="1:14" s="329" customFormat="1" ht="13.5" customHeight="1" x14ac:dyDescent="0.2">
      <c r="A39" s="496" t="s">
        <v>360</v>
      </c>
      <c r="B39" s="483">
        <v>730</v>
      </c>
      <c r="C39" s="466">
        <v>236442</v>
      </c>
      <c r="D39" s="466">
        <v>352940</v>
      </c>
      <c r="E39" s="466">
        <v>382561</v>
      </c>
      <c r="F39" s="466">
        <v>227036</v>
      </c>
      <c r="G39" s="466">
        <v>398817</v>
      </c>
      <c r="H39" s="466">
        <f>378291-26567</f>
        <v>351724</v>
      </c>
      <c r="I39" s="466">
        <f>236485+48748</f>
        <v>285233</v>
      </c>
      <c r="J39" s="467">
        <f>109148+58678</f>
        <v>167826</v>
      </c>
      <c r="K39" s="466">
        <f>178029+42770</f>
        <v>220799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21375567</v>
      </c>
      <c r="N40" s="497"/>
    </row>
    <row r="41" spans="1:14" ht="13.5" customHeight="1" thickBot="1" x14ac:dyDescent="0.25">
      <c r="A41" s="1757" t="s">
        <v>676</v>
      </c>
      <c r="B41" s="1727"/>
      <c r="C41" s="1709">
        <f>(SUM(C34,C37,C38,C39))</f>
        <v>414054</v>
      </c>
      <c r="D41" s="1709">
        <f t="shared" ref="D41:L41" si="2">SUM(D34,D37,D38:D39)</f>
        <v>352940</v>
      </c>
      <c r="E41" s="1709">
        <f t="shared" si="2"/>
        <v>382561</v>
      </c>
      <c r="F41" s="1709">
        <f t="shared" si="2"/>
        <v>227036</v>
      </c>
      <c r="G41" s="1709">
        <f t="shared" si="2"/>
        <v>498017</v>
      </c>
      <c r="H41" s="1709">
        <f t="shared" si="2"/>
        <v>351724</v>
      </c>
      <c r="I41" s="1709">
        <f t="shared" si="2"/>
        <v>285233</v>
      </c>
      <c r="J41" s="1709">
        <f t="shared" si="2"/>
        <v>167826</v>
      </c>
      <c r="K41" s="1709">
        <f t="shared" si="2"/>
        <v>220799</v>
      </c>
      <c r="L41" s="1709">
        <f t="shared" si="2"/>
        <v>87615</v>
      </c>
      <c r="M41" s="1709">
        <f>SUM(M40)</f>
        <v>21375567</v>
      </c>
      <c r="N41" s="1709">
        <f>SUM(N37)</f>
        <v>2595000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7" sqref="A7:D7"/>
      <selection pane="bottomLeft" activeCell="A7" sqref="A7:D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7" t="s">
        <v>1237</v>
      </c>
      <c r="B3" s="2168"/>
      <c r="C3" s="1594"/>
      <c r="D3" s="1595"/>
      <c r="E3" s="1595"/>
      <c r="F3" s="1595"/>
      <c r="G3" s="1595"/>
      <c r="H3" s="1595"/>
      <c r="I3" s="1595"/>
      <c r="J3" s="1595"/>
      <c r="K3" s="1596"/>
      <c r="L3" s="506"/>
    </row>
    <row r="4" spans="1:13" ht="15.75" customHeight="1" x14ac:dyDescent="0.2">
      <c r="A4" s="1952" t="s">
        <v>1579</v>
      </c>
      <c r="B4" s="1953">
        <v>1000</v>
      </c>
      <c r="C4" s="1763">
        <f>'Revenues 9-14'!C109</f>
        <v>1991865</v>
      </c>
      <c r="D4" s="1763">
        <f>'Revenues 9-14'!D109</f>
        <v>529777</v>
      </c>
      <c r="E4" s="1763">
        <f>'Revenues 9-14'!E109</f>
        <v>707292</v>
      </c>
      <c r="F4" s="1763">
        <f>'Revenues 9-14'!F109</f>
        <v>118140</v>
      </c>
      <c r="G4" s="1763">
        <f>'Revenues 9-14'!G109</f>
        <v>262064</v>
      </c>
      <c r="H4" s="1763">
        <f>'Revenues 9-14'!H109</f>
        <v>30731</v>
      </c>
      <c r="I4" s="1763">
        <f>'Revenues 9-14'!I109</f>
        <v>48748</v>
      </c>
      <c r="J4" s="1763">
        <f>'Revenues 9-14'!J109</f>
        <v>255890</v>
      </c>
      <c r="K4" s="1763">
        <f>'Revenues 9-14'!K109</f>
        <v>48633</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1963839</v>
      </c>
      <c r="D6" s="1764">
        <f>'Revenues 9-14'!D173</f>
        <v>0</v>
      </c>
      <c r="E6" s="1764">
        <f>'Revenues 9-14'!E173</f>
        <v>0</v>
      </c>
      <c r="F6" s="1764">
        <f>'Revenues 9-14'!F173</f>
        <v>501567</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426260</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4381964</v>
      </c>
      <c r="D8" s="1709">
        <f t="shared" ref="D8:K8" si="0">SUM(D4:D7)</f>
        <v>529777</v>
      </c>
      <c r="E8" s="1709">
        <f t="shared" si="0"/>
        <v>707292</v>
      </c>
      <c r="F8" s="1709">
        <f t="shared" si="0"/>
        <v>619707</v>
      </c>
      <c r="G8" s="1709">
        <f t="shared" si="0"/>
        <v>262064</v>
      </c>
      <c r="H8" s="1709">
        <f t="shared" si="0"/>
        <v>30731</v>
      </c>
      <c r="I8" s="1709">
        <f t="shared" si="0"/>
        <v>48748</v>
      </c>
      <c r="J8" s="1709">
        <f t="shared" si="0"/>
        <v>255890</v>
      </c>
      <c r="K8" s="1709">
        <f t="shared" si="0"/>
        <v>48633</v>
      </c>
      <c r="L8" s="347"/>
    </row>
    <row r="9" spans="1:13" ht="15.75" thickTop="1" x14ac:dyDescent="0.2">
      <c r="A9" s="514" t="s">
        <v>1752</v>
      </c>
      <c r="B9" s="515">
        <v>3998</v>
      </c>
      <c r="C9" s="481">
        <v>1879859</v>
      </c>
      <c r="D9" s="516"/>
      <c r="E9" s="481"/>
      <c r="F9" s="481"/>
      <c r="G9" s="517"/>
      <c r="H9" s="481"/>
      <c r="I9" s="509" t="s">
        <v>1231</v>
      </c>
      <c r="J9" s="478"/>
      <c r="K9" s="481"/>
      <c r="L9" s="347"/>
    </row>
    <row r="10" spans="1:13" s="519" customFormat="1" ht="13.5" thickBot="1" x14ac:dyDescent="0.25">
      <c r="A10" s="1757" t="s">
        <v>1235</v>
      </c>
      <c r="B10" s="1730"/>
      <c r="C10" s="1709">
        <f>SUM(C8:C9)</f>
        <v>6261823</v>
      </c>
      <c r="D10" s="1709">
        <f t="shared" ref="D10:K10" si="1">SUM(D8:D9)</f>
        <v>529777</v>
      </c>
      <c r="E10" s="1709">
        <f t="shared" si="1"/>
        <v>707292</v>
      </c>
      <c r="F10" s="1709">
        <f t="shared" si="1"/>
        <v>619707</v>
      </c>
      <c r="G10" s="1709">
        <f t="shared" si="1"/>
        <v>262064</v>
      </c>
      <c r="H10" s="1709">
        <f t="shared" si="1"/>
        <v>30731</v>
      </c>
      <c r="I10" s="1709">
        <f t="shared" si="1"/>
        <v>48748</v>
      </c>
      <c r="J10" s="1709">
        <f t="shared" si="1"/>
        <v>255890</v>
      </c>
      <c r="K10" s="1709">
        <f t="shared" si="1"/>
        <v>48633</v>
      </c>
      <c r="L10" s="518"/>
    </row>
    <row r="11" spans="1:13" s="519" customFormat="1" ht="16.7" customHeight="1" thickTop="1" x14ac:dyDescent="0.2">
      <c r="A11" s="2141" t="s">
        <v>1238</v>
      </c>
      <c r="B11" s="2142"/>
      <c r="C11" s="1591"/>
      <c r="D11" s="1592"/>
      <c r="E11" s="1592"/>
      <c r="F11" s="1592"/>
      <c r="G11" s="1592"/>
      <c r="H11" s="1592"/>
      <c r="I11" s="1592"/>
      <c r="J11" s="1592"/>
      <c r="K11" s="1593"/>
      <c r="L11" s="518"/>
    </row>
    <row r="12" spans="1:13" ht="15.75" customHeight="1" x14ac:dyDescent="0.2">
      <c r="A12" s="1597" t="s">
        <v>476</v>
      </c>
      <c r="B12" s="1599">
        <v>1000</v>
      </c>
      <c r="C12" s="1763">
        <f>'Expenditures 15-22'!K33</f>
        <v>2674991</v>
      </c>
      <c r="D12" s="520" t="s">
        <v>1231</v>
      </c>
      <c r="E12" s="468" t="s">
        <v>1231</v>
      </c>
      <c r="F12" s="468" t="s">
        <v>1231</v>
      </c>
      <c r="G12" s="1763">
        <f>'Expenditures 15-22'!K229</f>
        <v>65724</v>
      </c>
      <c r="H12" s="521"/>
      <c r="I12" s="468" t="s">
        <v>1231</v>
      </c>
      <c r="J12" s="468" t="s">
        <v>1231</v>
      </c>
      <c r="K12" s="521" t="s">
        <v>1231</v>
      </c>
      <c r="L12" s="347"/>
    </row>
    <row r="13" spans="1:13" ht="15.75" customHeight="1" x14ac:dyDescent="0.2">
      <c r="A13" s="1597" t="s">
        <v>477</v>
      </c>
      <c r="B13" s="1599">
        <v>2000</v>
      </c>
      <c r="C13" s="1764">
        <f>'Expenditures 15-22'!K74</f>
        <v>899836</v>
      </c>
      <c r="D13" s="1764">
        <f>'Expenditures 15-22'!K129</f>
        <v>430574</v>
      </c>
      <c r="E13" s="469" t="s">
        <v>1231</v>
      </c>
      <c r="F13" s="1764">
        <f>'Expenditures 15-22'!K184</f>
        <v>464471</v>
      </c>
      <c r="G13" s="1764">
        <f>'Expenditures 15-22'!K279</f>
        <v>70712</v>
      </c>
      <c r="H13" s="1764">
        <f>'Expenditures 15-22'!K303</f>
        <v>57298</v>
      </c>
      <c r="I13" s="468" t="s">
        <v>1231</v>
      </c>
      <c r="J13" s="1764">
        <f>'Expenditures 15-22'!K330</f>
        <v>197212</v>
      </c>
      <c r="K13" s="1768">
        <f>'Expenditures 15-22'!K352</f>
        <v>5863</v>
      </c>
      <c r="L13" s="347"/>
    </row>
    <row r="14" spans="1:13" ht="15.75" customHeight="1" x14ac:dyDescent="0.2">
      <c r="A14" s="1597" t="s">
        <v>469</v>
      </c>
      <c r="B14" s="1599">
        <v>3000</v>
      </c>
      <c r="C14" s="1764">
        <f>'Expenditures 15-22'!K75</f>
        <v>102576</v>
      </c>
      <c r="D14" s="1764">
        <f>'Expenditures 15-22'!K130</f>
        <v>0</v>
      </c>
      <c r="E14" s="520" t="s">
        <v>1231</v>
      </c>
      <c r="F14" s="1764">
        <f>'Expenditures 15-22'!K185</f>
        <v>0</v>
      </c>
      <c r="G14" s="1764">
        <f>'Expenditures 15-22'!K280</f>
        <v>12005</v>
      </c>
      <c r="H14" s="512"/>
      <c r="I14" s="468" t="s">
        <v>1231</v>
      </c>
      <c r="J14" s="468" t="s">
        <v>1231</v>
      </c>
      <c r="K14" s="512" t="s">
        <v>1231</v>
      </c>
      <c r="L14" s="347"/>
    </row>
    <row r="15" spans="1:13" ht="15.75" customHeight="1" x14ac:dyDescent="0.2">
      <c r="A15" s="1597" t="s">
        <v>109</v>
      </c>
      <c r="B15" s="1599">
        <v>4000</v>
      </c>
      <c r="C15" s="1764">
        <f>'Expenditures 15-22'!K102</f>
        <v>640656</v>
      </c>
      <c r="D15" s="1764">
        <f>'Expenditures 15-22'!K139</f>
        <v>0</v>
      </c>
      <c r="E15" s="1764">
        <f>'Expenditures 15-22'!K160</f>
        <v>0</v>
      </c>
      <c r="F15" s="1764">
        <f>'Expenditures 15-22'!K196</f>
        <v>0</v>
      </c>
      <c r="G15" s="1764">
        <f>'Expenditures 15-22'!K285</f>
        <v>1056</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1111228</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4318059</v>
      </c>
      <c r="D17" s="1709">
        <f t="shared" si="2"/>
        <v>430574</v>
      </c>
      <c r="E17" s="1709">
        <f t="shared" si="2"/>
        <v>1111228</v>
      </c>
      <c r="F17" s="1709">
        <f t="shared" si="2"/>
        <v>464471</v>
      </c>
      <c r="G17" s="1709">
        <f t="shared" si="2"/>
        <v>149497</v>
      </c>
      <c r="H17" s="1709">
        <f t="shared" si="2"/>
        <v>57298</v>
      </c>
      <c r="I17" s="468"/>
      <c r="J17" s="1709">
        <f>SUM(J12:J16)</f>
        <v>197212</v>
      </c>
      <c r="K17" s="1709">
        <f>SUM(K12:K16)</f>
        <v>5863</v>
      </c>
      <c r="L17" s="347"/>
    </row>
    <row r="18" spans="1:12" ht="15" customHeight="1" thickTop="1" x14ac:dyDescent="0.2">
      <c r="A18" s="1765" t="s">
        <v>1753</v>
      </c>
      <c r="B18" s="1766">
        <v>4180</v>
      </c>
      <c r="C18" s="1763">
        <f t="shared" ref="C18:H18" si="3">C9</f>
        <v>1879859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6197918</v>
      </c>
      <c r="D19" s="1709">
        <f t="shared" si="4"/>
        <v>430574</v>
      </c>
      <c r="E19" s="1709">
        <f t="shared" si="4"/>
        <v>1111228</v>
      </c>
      <c r="F19" s="1709">
        <f t="shared" si="4"/>
        <v>464471</v>
      </c>
      <c r="G19" s="1709">
        <f t="shared" si="4"/>
        <v>149497</v>
      </c>
      <c r="H19" s="1709">
        <f t="shared" si="4"/>
        <v>57298</v>
      </c>
      <c r="I19" s="468"/>
      <c r="J19" s="1709">
        <f>SUM(J17:J18)</f>
        <v>197212</v>
      </c>
      <c r="K19" s="1709">
        <f>SUM(K17:K18)</f>
        <v>5863</v>
      </c>
      <c r="L19" s="347"/>
    </row>
    <row r="20" spans="1:12" ht="16.5" thickTop="1" thickBot="1" x14ac:dyDescent="0.25">
      <c r="A20" s="2157" t="s">
        <v>1754</v>
      </c>
      <c r="B20" s="2158"/>
      <c r="C20" s="1767">
        <f>C8-C17</f>
        <v>63905</v>
      </c>
      <c r="D20" s="1767">
        <f t="shared" ref="D20:K20" si="5">D8-D17</f>
        <v>99203</v>
      </c>
      <c r="E20" s="1767">
        <f t="shared" si="5"/>
        <v>-403936</v>
      </c>
      <c r="F20" s="1767">
        <f t="shared" si="5"/>
        <v>155236</v>
      </c>
      <c r="G20" s="1767">
        <f t="shared" si="5"/>
        <v>112567</v>
      </c>
      <c r="H20" s="1767">
        <f t="shared" si="5"/>
        <v>-26567</v>
      </c>
      <c r="I20" s="1767">
        <f t="shared" si="5"/>
        <v>48748</v>
      </c>
      <c r="J20" s="1767">
        <f t="shared" si="5"/>
        <v>58678</v>
      </c>
      <c r="K20" s="1767">
        <f t="shared" si="5"/>
        <v>42770</v>
      </c>
      <c r="L20" s="347"/>
    </row>
    <row r="21" spans="1:12" ht="16.7" customHeight="1" thickTop="1" x14ac:dyDescent="0.2">
      <c r="A21" s="2169" t="s">
        <v>616</v>
      </c>
      <c r="B21" s="2170"/>
      <c r="C21" s="1591"/>
      <c r="D21" s="1592"/>
      <c r="E21" s="1592"/>
      <c r="F21" s="1592"/>
      <c r="G21" s="1592"/>
      <c r="H21" s="1592"/>
      <c r="I21" s="1592"/>
      <c r="J21" s="1592"/>
      <c r="K21" s="1593"/>
      <c r="L21" s="524"/>
    </row>
    <row r="22" spans="1:12" ht="15.75" customHeight="1" collapsed="1" x14ac:dyDescent="0.2">
      <c r="A22" s="2165" t="s">
        <v>617</v>
      </c>
      <c r="B22" s="2166"/>
      <c r="C22" s="477"/>
      <c r="D22" s="477"/>
      <c r="E22" s="477"/>
      <c r="F22" s="477"/>
      <c r="G22" s="477"/>
      <c r="H22" s="477"/>
      <c r="I22" s="477"/>
      <c r="J22" s="477"/>
      <c r="K22" s="477"/>
      <c r="L22" s="347"/>
    </row>
    <row r="23" spans="1:12" s="485" customFormat="1" ht="15.75" customHeight="1" x14ac:dyDescent="0.2">
      <c r="A23" s="2161" t="s">
        <v>311</v>
      </c>
      <c r="B23" s="2162"/>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3" t="s">
        <v>1038</v>
      </c>
      <c r="B32" s="2164"/>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5" t="s">
        <v>110</v>
      </c>
      <c r="B45" s="2166"/>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7" t="s">
        <v>460</v>
      </c>
      <c r="B76" s="2148"/>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9" t="s">
        <v>1239</v>
      </c>
      <c r="B77" s="2150"/>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53" t="s">
        <v>618</v>
      </c>
      <c r="B78" s="2154"/>
      <c r="C78" s="1723">
        <f t="shared" ref="C78:K78" si="9">C20+C77</f>
        <v>63905</v>
      </c>
      <c r="D78" s="1723">
        <f t="shared" si="9"/>
        <v>99203</v>
      </c>
      <c r="E78" s="1723">
        <f t="shared" si="9"/>
        <v>-403936</v>
      </c>
      <c r="F78" s="1723">
        <f t="shared" si="9"/>
        <v>155236</v>
      </c>
      <c r="G78" s="1723">
        <f t="shared" si="9"/>
        <v>112567</v>
      </c>
      <c r="H78" s="1723">
        <f t="shared" si="9"/>
        <v>-26567</v>
      </c>
      <c r="I78" s="1723">
        <f t="shared" si="9"/>
        <v>48748</v>
      </c>
      <c r="J78" s="1723">
        <f t="shared" si="9"/>
        <v>58678</v>
      </c>
      <c r="K78" s="1723">
        <f t="shared" si="9"/>
        <v>42770</v>
      </c>
      <c r="L78" s="533"/>
    </row>
    <row r="79" spans="1:12" ht="13.5" thickTop="1" x14ac:dyDescent="0.2">
      <c r="A79" s="1515" t="s">
        <v>2073</v>
      </c>
      <c r="B79" s="534"/>
      <c r="C79" s="478">
        <v>350149</v>
      </c>
      <c r="D79" s="535">
        <v>253737</v>
      </c>
      <c r="E79" s="535">
        <v>786497</v>
      </c>
      <c r="F79" s="535">
        <v>71800</v>
      </c>
      <c r="G79" s="535">
        <v>385450</v>
      </c>
      <c r="H79" s="535">
        <v>378291</v>
      </c>
      <c r="I79" s="535">
        <v>236485</v>
      </c>
      <c r="J79" s="535">
        <v>109148</v>
      </c>
      <c r="K79" s="535">
        <v>178029</v>
      </c>
      <c r="L79" s="347"/>
    </row>
    <row r="80" spans="1:12" x14ac:dyDescent="0.2">
      <c r="A80" s="2159" t="s">
        <v>1898</v>
      </c>
      <c r="B80" s="2160"/>
      <c r="C80" s="467"/>
      <c r="D80" s="467"/>
      <c r="E80" s="467"/>
      <c r="F80" s="467"/>
      <c r="G80" s="467"/>
      <c r="H80" s="467"/>
      <c r="I80" s="467"/>
      <c r="J80" s="467"/>
      <c r="K80" s="467"/>
      <c r="L80" s="347"/>
    </row>
    <row r="81" spans="1:12" ht="13.5" thickBot="1" x14ac:dyDescent="0.25">
      <c r="A81" s="2151" t="s">
        <v>2074</v>
      </c>
      <c r="B81" s="2152"/>
      <c r="C81" s="1709">
        <f>(SUM(C78:C80))</f>
        <v>414054</v>
      </c>
      <c r="D81" s="1709">
        <f>SUM(D78:D80)</f>
        <v>352940</v>
      </c>
      <c r="E81" s="1709">
        <f t="shared" ref="E81:K81" si="10">SUM(E78:E80)</f>
        <v>382561</v>
      </c>
      <c r="F81" s="1709">
        <f t="shared" si="10"/>
        <v>227036</v>
      </c>
      <c r="G81" s="1709">
        <f t="shared" si="10"/>
        <v>498017</v>
      </c>
      <c r="H81" s="1709">
        <f t="shared" si="10"/>
        <v>351724</v>
      </c>
      <c r="I81" s="1709">
        <f t="shared" si="10"/>
        <v>285233</v>
      </c>
      <c r="J81" s="1709">
        <f t="shared" si="10"/>
        <v>167826</v>
      </c>
      <c r="K81" s="1709">
        <f t="shared" si="10"/>
        <v>220799</v>
      </c>
      <c r="L81" s="347"/>
    </row>
    <row r="82" spans="1:12" ht="0.75" customHeight="1" thickTop="1" thickBot="1" x14ac:dyDescent="0.25">
      <c r="A82" s="536" t="s">
        <v>361</v>
      </c>
      <c r="B82" s="537"/>
      <c r="C82" s="538">
        <f>(C81-C79)</f>
        <v>63905</v>
      </c>
      <c r="D82" s="538">
        <f t="shared" ref="D82:K82" si="11">(D81-D79)</f>
        <v>99203</v>
      </c>
      <c r="E82" s="538">
        <f t="shared" si="11"/>
        <v>-403936</v>
      </c>
      <c r="F82" s="538">
        <f t="shared" si="11"/>
        <v>155236</v>
      </c>
      <c r="G82" s="538">
        <f t="shared" si="11"/>
        <v>112567</v>
      </c>
      <c r="H82" s="538">
        <f t="shared" si="11"/>
        <v>-26567</v>
      </c>
      <c r="I82" s="538">
        <f t="shared" si="11"/>
        <v>48748</v>
      </c>
      <c r="J82" s="538">
        <f t="shared" si="11"/>
        <v>58678</v>
      </c>
      <c r="K82" s="538">
        <f t="shared" si="11"/>
        <v>42770</v>
      </c>
    </row>
    <row r="83" spans="1:12" ht="14.25" hidden="1" thickTop="1" thickBot="1" x14ac:dyDescent="0.25">
      <c r="A83" s="539" t="s">
        <v>362</v>
      </c>
      <c r="B83" s="464"/>
      <c r="C83" s="540">
        <f>C82/C81</f>
        <v>0.15433977210701985</v>
      </c>
      <c r="D83" s="540">
        <f t="shared" ref="D83:K83" si="12">D82/D81</f>
        <v>0.28107610358701196</v>
      </c>
      <c r="E83" s="540">
        <f t="shared" si="12"/>
        <v>-1.0558734424052634</v>
      </c>
      <c r="F83" s="540">
        <f t="shared" si="12"/>
        <v>0.6837505946193555</v>
      </c>
      <c r="G83" s="540">
        <f t="shared" si="12"/>
        <v>0.22603043671199979</v>
      </c>
      <c r="H83" s="540">
        <f t="shared" si="12"/>
        <v>-7.5533657072022378E-2</v>
      </c>
      <c r="I83" s="540">
        <f t="shared" si="12"/>
        <v>0.1709058909733446</v>
      </c>
      <c r="J83" s="540">
        <f t="shared" si="12"/>
        <v>0.34963593245385099</v>
      </c>
      <c r="K83" s="540">
        <f t="shared" si="12"/>
        <v>0.19370558743472571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5" t="s">
        <v>1905</v>
      </c>
      <c r="B1" s="452"/>
      <c r="C1" s="453" t="s">
        <v>445</v>
      </c>
      <c r="D1" s="453" t="s">
        <v>446</v>
      </c>
      <c r="E1" s="453" t="s">
        <v>447</v>
      </c>
      <c r="F1" s="453" t="s">
        <v>448</v>
      </c>
      <c r="G1" s="453" t="s">
        <v>449</v>
      </c>
      <c r="H1" s="453" t="s">
        <v>450</v>
      </c>
      <c r="I1" s="453" t="s">
        <v>451</v>
      </c>
      <c r="J1" s="453" t="s">
        <v>452</v>
      </c>
      <c r="K1" s="453" t="s">
        <v>780</v>
      </c>
    </row>
    <row r="2" spans="1:12" ht="36" x14ac:dyDescent="0.2">
      <c r="A2" s="215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1512040</v>
      </c>
      <c r="D5" s="481">
        <v>526341</v>
      </c>
      <c r="E5" s="466">
        <v>703216</v>
      </c>
      <c r="F5" s="548">
        <v>114839</v>
      </c>
      <c r="G5" s="466">
        <v>128909</v>
      </c>
      <c r="H5" s="466"/>
      <c r="I5" s="466">
        <v>47849</v>
      </c>
      <c r="J5" s="467">
        <v>248826</v>
      </c>
      <c r="K5" s="466">
        <v>47849</v>
      </c>
    </row>
    <row r="6" spans="1:12" ht="15" x14ac:dyDescent="0.2">
      <c r="A6" s="463" t="s">
        <v>1761</v>
      </c>
      <c r="B6" s="470">
        <v>1130</v>
      </c>
      <c r="C6" s="466">
        <v>47948</v>
      </c>
      <c r="D6" s="466"/>
      <c r="E6" s="475"/>
      <c r="F6" s="475"/>
      <c r="G6" s="468"/>
      <c r="H6" s="468"/>
      <c r="I6" s="468"/>
      <c r="J6" s="468"/>
      <c r="K6" s="468"/>
    </row>
    <row r="7" spans="1:12" x14ac:dyDescent="0.2">
      <c r="A7" s="463" t="s">
        <v>112</v>
      </c>
      <c r="B7" s="549">
        <v>1140</v>
      </c>
      <c r="C7" s="466">
        <v>19039</v>
      </c>
      <c r="D7" s="466"/>
      <c r="E7" s="468"/>
      <c r="F7" s="467"/>
      <c r="G7" s="467"/>
      <c r="H7" s="467"/>
      <c r="I7" s="468"/>
      <c r="J7" s="468"/>
      <c r="K7" s="468"/>
    </row>
    <row r="8" spans="1:12" x14ac:dyDescent="0.2">
      <c r="A8" s="463" t="s">
        <v>433</v>
      </c>
      <c r="B8" s="470">
        <v>1150</v>
      </c>
      <c r="C8" s="475"/>
      <c r="D8" s="475"/>
      <c r="E8" s="477"/>
      <c r="F8" s="477"/>
      <c r="G8" s="481">
        <v>128909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1579027</v>
      </c>
      <c r="D12" s="1728">
        <f t="shared" si="0"/>
        <v>526341</v>
      </c>
      <c r="E12" s="1728">
        <f t="shared" si="0"/>
        <v>703216</v>
      </c>
      <c r="F12" s="1728">
        <f t="shared" si="0"/>
        <v>114839</v>
      </c>
      <c r="G12" s="1728">
        <f t="shared" si="0"/>
        <v>257818</v>
      </c>
      <c r="H12" s="1728">
        <f t="shared" si="0"/>
        <v>0</v>
      </c>
      <c r="I12" s="1728">
        <f t="shared" si="0"/>
        <v>47849</v>
      </c>
      <c r="J12" s="1728">
        <f t="shared" si="0"/>
        <v>248826</v>
      </c>
      <c r="K12" s="1709">
        <f t="shared" si="0"/>
        <v>47849</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5526</v>
      </c>
      <c r="D14" s="466">
        <v>1842</v>
      </c>
      <c r="E14" s="466">
        <v>2461</v>
      </c>
      <c r="F14" s="466">
        <v>402</v>
      </c>
      <c r="G14" s="466">
        <v>915</v>
      </c>
      <c r="H14" s="466"/>
      <c r="I14" s="466">
        <v>167</v>
      </c>
      <c r="J14" s="467">
        <v>873</v>
      </c>
      <c r="K14" s="466">
        <v>167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11508</v>
      </c>
      <c r="D16" s="466">
        <v>500</v>
      </c>
      <c r="E16" s="466"/>
      <c r="F16" s="466"/>
      <c r="G16" s="466">
        <v>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17034</v>
      </c>
      <c r="D18" s="1731">
        <f t="shared" ref="D18:K18" si="1">SUM(D14:D17)</f>
        <v>2342</v>
      </c>
      <c r="E18" s="1731">
        <f t="shared" si="1"/>
        <v>2461</v>
      </c>
      <c r="F18" s="1731">
        <f t="shared" si="1"/>
        <v>402</v>
      </c>
      <c r="G18" s="1731">
        <f t="shared" si="1"/>
        <v>2915</v>
      </c>
      <c r="H18" s="1731">
        <f t="shared" si="1"/>
        <v>0</v>
      </c>
      <c r="I18" s="1731">
        <f t="shared" si="1"/>
        <v>167</v>
      </c>
      <c r="J18" s="1731">
        <f t="shared" si="1"/>
        <v>873</v>
      </c>
      <c r="K18" s="1732">
        <f t="shared" si="1"/>
        <v>167</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60673</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60673</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2679</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2679</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2472</v>
      </c>
      <c r="D65" s="466">
        <v>968</v>
      </c>
      <c r="E65" s="466">
        <v>1615</v>
      </c>
      <c r="F65" s="467">
        <v>220</v>
      </c>
      <c r="G65" s="466">
        <v>1331</v>
      </c>
      <c r="H65" s="466">
        <v>1231</v>
      </c>
      <c r="I65" s="466">
        <v>732</v>
      </c>
      <c r="J65" s="467">
        <v>410</v>
      </c>
      <c r="K65" s="466">
        <v>617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2472</v>
      </c>
      <c r="D67" s="1709">
        <f t="shared" ref="D67:K67" si="2">SUM(D65:D66)</f>
        <v>968</v>
      </c>
      <c r="E67" s="1709">
        <f t="shared" si="2"/>
        <v>1615</v>
      </c>
      <c r="F67" s="1709">
        <f t="shared" si="2"/>
        <v>220</v>
      </c>
      <c r="G67" s="1709">
        <f t="shared" si="2"/>
        <v>1331</v>
      </c>
      <c r="H67" s="1709">
        <f t="shared" si="2"/>
        <v>1231</v>
      </c>
      <c r="I67" s="1709">
        <f t="shared" si="2"/>
        <v>732</v>
      </c>
      <c r="J67" s="1709">
        <f t="shared" si="2"/>
        <v>410</v>
      </c>
      <c r="K67" s="1709">
        <f t="shared" si="2"/>
        <v>617</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574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13156</v>
      </c>
      <c r="D81" s="466"/>
      <c r="E81" s="468"/>
      <c r="F81" s="468"/>
      <c r="G81" s="468"/>
      <c r="H81" s="468"/>
      <c r="I81" s="468"/>
      <c r="J81" s="468"/>
      <c r="K81" s="468"/>
    </row>
    <row r="82" spans="1:11" ht="12.75" customHeight="1" thickBot="1" x14ac:dyDescent="0.25">
      <c r="A82" s="1729" t="s">
        <v>259</v>
      </c>
      <c r="B82" s="1730"/>
      <c r="C82" s="1728">
        <f>SUM(C77:C81)</f>
        <v>13730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23499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23499</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v>29500</v>
      </c>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152972</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106215</v>
      </c>
      <c r="D106" s="489"/>
      <c r="E106" s="467"/>
      <c r="F106" s="467"/>
      <c r="G106" s="467"/>
      <c r="H106" s="467"/>
      <c r="I106" s="521"/>
      <c r="J106" s="467"/>
      <c r="K106" s="467"/>
    </row>
    <row r="107" spans="1:12" ht="12.75" customHeight="1" x14ac:dyDescent="0.2">
      <c r="A107" s="463" t="s">
        <v>80</v>
      </c>
      <c r="B107" s="470">
        <v>1999</v>
      </c>
      <c r="C107" s="551">
        <v>36243</v>
      </c>
      <c r="D107" s="466">
        <v>126</v>
      </c>
      <c r="E107" s="466"/>
      <c r="F107" s="466"/>
      <c r="G107" s="466"/>
      <c r="H107" s="466"/>
      <c r="I107" s="466"/>
      <c r="J107" s="467">
        <v>5781</v>
      </c>
      <c r="K107" s="466"/>
    </row>
    <row r="108" spans="1:12" ht="12.75" customHeight="1" thickBot="1" x14ac:dyDescent="0.25">
      <c r="A108" s="1729" t="s">
        <v>508</v>
      </c>
      <c r="B108" s="1733"/>
      <c r="C108" s="1728">
        <f>SUM(C95:C107)</f>
        <v>295430</v>
      </c>
      <c r="D108" s="1728">
        <f t="shared" ref="D108:K108" si="3">SUM(D95:D107)</f>
        <v>126</v>
      </c>
      <c r="E108" s="1728">
        <f t="shared" si="3"/>
        <v>0</v>
      </c>
      <c r="F108" s="1728">
        <f t="shared" si="3"/>
        <v>0</v>
      </c>
      <c r="G108" s="1728">
        <f t="shared" si="3"/>
        <v>0</v>
      </c>
      <c r="H108" s="1728">
        <f t="shared" si="3"/>
        <v>29500</v>
      </c>
      <c r="I108" s="1728">
        <f t="shared" si="3"/>
        <v>0</v>
      </c>
      <c r="J108" s="1728">
        <f t="shared" si="3"/>
        <v>5781</v>
      </c>
      <c r="K108" s="1709">
        <f t="shared" si="3"/>
        <v>0</v>
      </c>
    </row>
    <row r="109" spans="1:12" ht="14.25" thickTop="1" thickBot="1" x14ac:dyDescent="0.25">
      <c r="A109" s="1734" t="s">
        <v>266</v>
      </c>
      <c r="B109" s="1735" t="s">
        <v>591</v>
      </c>
      <c r="C109" s="1736">
        <f t="shared" ref="C109:K109" si="4">SUM(C12,C18,C40,C63,C67,C75,C82,C93,C108,)</f>
        <v>1991865</v>
      </c>
      <c r="D109" s="1736">
        <f t="shared" si="4"/>
        <v>529777</v>
      </c>
      <c r="E109" s="1736">
        <f t="shared" si="4"/>
        <v>707292</v>
      </c>
      <c r="F109" s="1736">
        <f t="shared" si="4"/>
        <v>118140</v>
      </c>
      <c r="G109" s="1736">
        <f t="shared" si="4"/>
        <v>262064</v>
      </c>
      <c r="H109" s="1736">
        <f t="shared" si="4"/>
        <v>30731</v>
      </c>
      <c r="I109" s="1736">
        <f t="shared" si="4"/>
        <v>48748</v>
      </c>
      <c r="J109" s="1736">
        <f t="shared" si="4"/>
        <v>255890</v>
      </c>
      <c r="K109" s="1723">
        <f t="shared" si="4"/>
        <v>48633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1708522</v>
      </c>
      <c r="D117" s="481"/>
      <c r="E117" s="466"/>
      <c r="F117" s="481">
        <v>150000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1708522</v>
      </c>
      <c r="D121" s="1728">
        <f t="shared" si="5"/>
        <v>0</v>
      </c>
      <c r="E121" s="1728">
        <f t="shared" si="5"/>
        <v>0</v>
      </c>
      <c r="F121" s="1728">
        <f t="shared" si="5"/>
        <v>150000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38073</v>
      </c>
      <c r="D125" s="561"/>
      <c r="E125" s="468"/>
      <c r="F125" s="466"/>
      <c r="G125" s="468"/>
      <c r="H125" s="468"/>
      <c r="I125" s="468"/>
      <c r="J125" s="468"/>
      <c r="K125" s="468"/>
    </row>
    <row r="126" spans="1:11" ht="12.75" customHeight="1" x14ac:dyDescent="0.2">
      <c r="A126" s="463" t="s">
        <v>922</v>
      </c>
      <c r="B126" s="562">
        <v>3110</v>
      </c>
      <c r="C126" s="551">
        <v>46151</v>
      </c>
      <c r="D126" s="466"/>
      <c r="E126" s="468"/>
      <c r="F126" s="466"/>
      <c r="G126" s="468"/>
      <c r="H126" s="468"/>
      <c r="I126" s="468"/>
      <c r="J126" s="468"/>
      <c r="K126" s="468"/>
    </row>
    <row r="127" spans="1:11" ht="12.75" customHeight="1" x14ac:dyDescent="0.2">
      <c r="A127" s="463" t="s">
        <v>107</v>
      </c>
      <c r="B127" s="562">
        <v>3120</v>
      </c>
      <c r="C127" s="466">
        <v>15033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99257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1715</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194305</v>
      </c>
      <c r="G151" s="467"/>
      <c r="H151" s="468"/>
      <c r="I151" s="468"/>
      <c r="J151" s="468"/>
      <c r="K151" s="468"/>
    </row>
    <row r="152" spans="1:11" ht="12.75" customHeight="1" x14ac:dyDescent="0.2">
      <c r="A152" s="463" t="s">
        <v>1117</v>
      </c>
      <c r="B152" s="562">
        <v>3510</v>
      </c>
      <c r="C152" s="551"/>
      <c r="D152" s="466"/>
      <c r="E152" s="561"/>
      <c r="F152" s="466">
        <v>157262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351567</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143077</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11268</v>
      </c>
      <c r="D171" s="580"/>
      <c r="E171" s="580"/>
      <c r="F171" s="580"/>
      <c r="G171" s="581"/>
      <c r="H171" s="582"/>
      <c r="I171" s="581"/>
      <c r="J171" s="581"/>
      <c r="K171" s="582"/>
    </row>
    <row r="172" spans="1:11" ht="12.75" customHeight="1" thickTop="1" thickBot="1" x14ac:dyDescent="0.25">
      <c r="A172" s="2175" t="s">
        <v>418</v>
      </c>
      <c r="B172" s="2176"/>
      <c r="C172" s="1743">
        <f t="shared" ref="C172:K172" si="6">SUM(C131,C140,C144,C145:C149,C154,C155:C170,C171)</f>
        <v>255317</v>
      </c>
      <c r="D172" s="1743">
        <f t="shared" si="6"/>
        <v>0</v>
      </c>
      <c r="E172" s="1743">
        <f t="shared" si="6"/>
        <v>0</v>
      </c>
      <c r="F172" s="1743">
        <f t="shared" si="6"/>
        <v>351567</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1963839</v>
      </c>
      <c r="D173" s="1736">
        <f>SUM(D121,D172)</f>
        <v>0</v>
      </c>
      <c r="E173" s="1736">
        <f>SUM(E121,E172)</f>
        <v>0</v>
      </c>
      <c r="F173" s="1736">
        <f t="shared" ref="F173:K173" si="7">SUM(F121,F172)</f>
        <v>501567</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516">
        <v>36833</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1" t="s">
        <v>1764</v>
      </c>
      <c r="B178" s="2182"/>
      <c r="C178" s="1728">
        <f>SUM(C176:C177)</f>
        <v>36833</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5" t="s">
        <v>1763</v>
      </c>
      <c r="B179" s="218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3" t="s">
        <v>818</v>
      </c>
      <c r="B184" s="2184"/>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9" t="s">
        <v>1906</v>
      </c>
      <c r="B185" s="2180"/>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99866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31931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131797</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94416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94416</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125458</v>
      </c>
      <c r="D220" s="466"/>
      <c r="E220" s="468"/>
      <c r="F220" s="466"/>
      <c r="G220" s="466"/>
      <c r="H220" s="468"/>
      <c r="I220" s="468"/>
      <c r="J220" s="468"/>
      <c r="K220" s="468"/>
    </row>
    <row r="221" spans="1:11" ht="12.75" customHeight="1" x14ac:dyDescent="0.2">
      <c r="A221" s="463" t="s">
        <v>1114</v>
      </c>
      <c r="B221" s="470">
        <v>4625</v>
      </c>
      <c r="C221" s="551">
        <v>8027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133485</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5470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2660</v>
      </c>
      <c r="D270" s="576"/>
      <c r="E270" s="468"/>
      <c r="F270" s="576"/>
      <c r="G270" s="576"/>
      <c r="H270" s="468"/>
      <c r="I270" s="468"/>
      <c r="J270" s="468"/>
      <c r="K270" s="468"/>
    </row>
    <row r="271" spans="1:11" ht="12.75" customHeight="1" thickTop="1" thickBot="1" x14ac:dyDescent="0.25">
      <c r="A271" s="463" t="s">
        <v>395</v>
      </c>
      <c r="B271" s="470">
        <v>4992</v>
      </c>
      <c r="C271" s="575">
        <v>21599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389427</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426260</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4381964</v>
      </c>
      <c r="D275" s="1736">
        <f t="shared" si="12"/>
        <v>529777</v>
      </c>
      <c r="E275" s="1736">
        <f t="shared" si="12"/>
        <v>707292</v>
      </c>
      <c r="F275" s="1736">
        <f t="shared" si="12"/>
        <v>619707</v>
      </c>
      <c r="G275" s="1736">
        <f t="shared" si="12"/>
        <v>262064</v>
      </c>
      <c r="H275" s="1736">
        <f t="shared" si="12"/>
        <v>30731</v>
      </c>
      <c r="I275" s="1736">
        <f t="shared" si="12"/>
        <v>48748</v>
      </c>
      <c r="J275" s="1736">
        <f t="shared" si="12"/>
        <v>255890</v>
      </c>
      <c r="K275" s="1723">
        <f t="shared" si="12"/>
        <v>48633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10" workbookViewId="0">
      <pane ySplit="2" topLeftCell="A3" activePane="bottomLeft" state="frozen"/>
      <selection activeCell="A7" sqref="A7:D7"/>
      <selection pane="bottomLeft" activeCell="A7" sqref="A7:D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1614384</v>
      </c>
      <c r="D5" s="466">
        <v>202062</v>
      </c>
      <c r="E5" s="466">
        <v>25426</v>
      </c>
      <c r="F5" s="466">
        <v>29464</v>
      </c>
      <c r="G5" s="466"/>
      <c r="H5" s="466"/>
      <c r="I5" s="467"/>
      <c r="J5" s="467"/>
      <c r="K5" s="1692">
        <f>SUM(C5:J5)</f>
        <v>1871336</v>
      </c>
      <c r="L5" s="466">
        <v>1882350</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111881</v>
      </c>
      <c r="D7" s="467">
        <v>13969</v>
      </c>
      <c r="E7" s="467">
        <v>144</v>
      </c>
      <c r="F7" s="467"/>
      <c r="G7" s="467"/>
      <c r="H7" s="467"/>
      <c r="I7" s="467"/>
      <c r="J7" s="467"/>
      <c r="K7" s="1692">
        <f t="shared" ref="K7:K32" si="0">SUM(C7:J7)</f>
        <v>125994</v>
      </c>
      <c r="L7" s="466">
        <v>124010</v>
      </c>
    </row>
    <row r="8" spans="1:14" x14ac:dyDescent="0.2">
      <c r="A8" s="1525" t="s">
        <v>166</v>
      </c>
      <c r="B8" s="615">
        <v>1200</v>
      </c>
      <c r="C8" s="466">
        <v>474939</v>
      </c>
      <c r="D8" s="466">
        <v>48776</v>
      </c>
      <c r="E8" s="466"/>
      <c r="F8" s="466">
        <v>750</v>
      </c>
      <c r="G8" s="466"/>
      <c r="H8" s="466"/>
      <c r="I8" s="467"/>
      <c r="J8" s="467"/>
      <c r="K8" s="1692">
        <f t="shared" si="0"/>
        <v>524465</v>
      </c>
      <c r="L8" s="466">
        <v>525500</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63170</v>
      </c>
      <c r="D10" s="466">
        <v>10329</v>
      </c>
      <c r="E10" s="466">
        <v>3900</v>
      </c>
      <c r="F10" s="466"/>
      <c r="G10" s="466"/>
      <c r="H10" s="466"/>
      <c r="I10" s="467"/>
      <c r="J10" s="467"/>
      <c r="K10" s="1692">
        <f t="shared" si="0"/>
        <v>77399</v>
      </c>
      <c r="L10" s="466">
        <v>84719</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66139</v>
      </c>
      <c r="D14" s="466">
        <v>3582</v>
      </c>
      <c r="E14" s="466">
        <v>3431</v>
      </c>
      <c r="F14" s="466">
        <v>1970</v>
      </c>
      <c r="G14" s="466"/>
      <c r="H14" s="466">
        <v>675</v>
      </c>
      <c r="I14" s="467"/>
      <c r="J14" s="467"/>
      <c r="K14" s="1692">
        <f t="shared" si="0"/>
        <v>75797</v>
      </c>
      <c r="L14" s="466">
        <v>62607</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2330513</v>
      </c>
      <c r="D33" s="1691">
        <f t="shared" ref="D33:L33" si="1">SUM(D5:D32)</f>
        <v>278718</v>
      </c>
      <c r="E33" s="1691">
        <f t="shared" si="1"/>
        <v>32901</v>
      </c>
      <c r="F33" s="1691">
        <f t="shared" si="1"/>
        <v>32184</v>
      </c>
      <c r="G33" s="1691">
        <f t="shared" si="1"/>
        <v>0</v>
      </c>
      <c r="H33" s="1691">
        <f t="shared" si="1"/>
        <v>675</v>
      </c>
      <c r="I33" s="1691">
        <f t="shared" si="1"/>
        <v>0</v>
      </c>
      <c r="J33" s="1691">
        <f t="shared" si="1"/>
        <v>0</v>
      </c>
      <c r="K33" s="1691">
        <f t="shared" si="1"/>
        <v>2674991</v>
      </c>
      <c r="L33" s="1691">
        <f t="shared" si="1"/>
        <v>2679186</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45395</v>
      </c>
      <c r="D36" s="481">
        <v>1007</v>
      </c>
      <c r="E36" s="481"/>
      <c r="F36" s="481"/>
      <c r="G36" s="481"/>
      <c r="H36" s="481"/>
      <c r="I36" s="467"/>
      <c r="J36" s="467"/>
      <c r="K36" s="1692">
        <f t="shared" ref="K36:K41" si="2">SUM(C36:J36)</f>
        <v>46402</v>
      </c>
      <c r="L36" s="466">
        <v>49962</v>
      </c>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22616</v>
      </c>
      <c r="D38" s="466">
        <v>4054</v>
      </c>
      <c r="E38" s="466">
        <v>129</v>
      </c>
      <c r="F38" s="466">
        <v>2150</v>
      </c>
      <c r="G38" s="466"/>
      <c r="H38" s="466">
        <v>50</v>
      </c>
      <c r="I38" s="467"/>
      <c r="J38" s="467"/>
      <c r="K38" s="1692">
        <f t="shared" si="2"/>
        <v>28999</v>
      </c>
      <c r="L38" s="466">
        <v>28665</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72215</v>
      </c>
      <c r="D40" s="466">
        <v>1430</v>
      </c>
      <c r="E40" s="466"/>
      <c r="F40" s="466"/>
      <c r="G40" s="466"/>
      <c r="H40" s="466"/>
      <c r="I40" s="467"/>
      <c r="J40" s="467"/>
      <c r="K40" s="1692">
        <f t="shared" si="2"/>
        <v>73645</v>
      </c>
      <c r="L40" s="466">
        <v>73569</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140226</v>
      </c>
      <c r="D42" s="1691">
        <f t="shared" ref="D42:L42" si="3">SUM(D36:D41)</f>
        <v>6491</v>
      </c>
      <c r="E42" s="1691">
        <f t="shared" si="3"/>
        <v>129</v>
      </c>
      <c r="F42" s="1691">
        <f t="shared" si="3"/>
        <v>2150</v>
      </c>
      <c r="G42" s="1691">
        <f t="shared" si="3"/>
        <v>0</v>
      </c>
      <c r="H42" s="1691">
        <f t="shared" si="3"/>
        <v>50</v>
      </c>
      <c r="I42" s="1691">
        <f t="shared" si="3"/>
        <v>0</v>
      </c>
      <c r="J42" s="1691">
        <f t="shared" si="3"/>
        <v>0</v>
      </c>
      <c r="K42" s="1691">
        <f t="shared" si="3"/>
        <v>149046</v>
      </c>
      <c r="L42" s="1691">
        <f t="shared" si="3"/>
        <v>152196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5679</v>
      </c>
      <c r="F44" s="481"/>
      <c r="G44" s="481"/>
      <c r="H44" s="481"/>
      <c r="I44" s="467"/>
      <c r="J44" s="467"/>
      <c r="K44" s="1693">
        <f>SUM(C44:J44)</f>
        <v>5679</v>
      </c>
      <c r="L44" s="481">
        <v>8000</v>
      </c>
    </row>
    <row r="45" spans="1:14" x14ac:dyDescent="0.2">
      <c r="A45" s="1525" t="s">
        <v>869</v>
      </c>
      <c r="B45" s="615">
        <v>2220</v>
      </c>
      <c r="C45" s="466">
        <v>79411</v>
      </c>
      <c r="D45" s="466">
        <v>8836</v>
      </c>
      <c r="E45" s="466"/>
      <c r="F45" s="466">
        <v>3584</v>
      </c>
      <c r="G45" s="466"/>
      <c r="H45" s="466">
        <v>12850</v>
      </c>
      <c r="I45" s="467"/>
      <c r="J45" s="467"/>
      <c r="K45" s="1693">
        <f>SUM(C45:J45)</f>
        <v>104681</v>
      </c>
      <c r="L45" s="466">
        <v>101224</v>
      </c>
    </row>
    <row r="46" spans="1:14" x14ac:dyDescent="0.2">
      <c r="A46" s="1525" t="s">
        <v>870</v>
      </c>
      <c r="B46" s="615">
        <v>2230</v>
      </c>
      <c r="C46" s="466"/>
      <c r="D46" s="466"/>
      <c r="E46" s="466">
        <v>203</v>
      </c>
      <c r="F46" s="466"/>
      <c r="G46" s="466"/>
      <c r="H46" s="466"/>
      <c r="I46" s="467"/>
      <c r="J46" s="467"/>
      <c r="K46" s="1693">
        <f>SUM(C46:J46)</f>
        <v>203</v>
      </c>
      <c r="L46" s="466"/>
    </row>
    <row r="47" spans="1:14" ht="12.75" customHeight="1" thickBot="1" x14ac:dyDescent="0.25">
      <c r="A47" s="1689" t="s">
        <v>582</v>
      </c>
      <c r="B47" s="1690" t="s">
        <v>32</v>
      </c>
      <c r="C47" s="1691">
        <f>SUM(C44:C46)</f>
        <v>79411</v>
      </c>
      <c r="D47" s="1691">
        <f t="shared" ref="D47:K47" si="4">SUM(D44:D46)</f>
        <v>8836</v>
      </c>
      <c r="E47" s="1691">
        <f t="shared" si="4"/>
        <v>5882</v>
      </c>
      <c r="F47" s="1691">
        <f t="shared" si="4"/>
        <v>3584</v>
      </c>
      <c r="G47" s="1691">
        <f t="shared" si="4"/>
        <v>0</v>
      </c>
      <c r="H47" s="1691">
        <f t="shared" si="4"/>
        <v>12850</v>
      </c>
      <c r="I47" s="1691">
        <f t="shared" si="4"/>
        <v>0</v>
      </c>
      <c r="J47" s="1691">
        <f t="shared" si="4"/>
        <v>0</v>
      </c>
      <c r="K47" s="1691">
        <f t="shared" si="4"/>
        <v>110563</v>
      </c>
      <c r="L47" s="1691">
        <f>SUM(L44:L46)</f>
        <v>109224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14596</v>
      </c>
      <c r="D49" s="481">
        <v>1395</v>
      </c>
      <c r="E49" s="481">
        <v>25210</v>
      </c>
      <c r="F49" s="481">
        <v>6830</v>
      </c>
      <c r="G49" s="481"/>
      <c r="H49" s="481">
        <v>4257</v>
      </c>
      <c r="I49" s="467"/>
      <c r="J49" s="467"/>
      <c r="K49" s="1693">
        <f>SUM(C49:J49)</f>
        <v>52288</v>
      </c>
      <c r="L49" s="481">
        <v>61003</v>
      </c>
    </row>
    <row r="50" spans="1:14" x14ac:dyDescent="0.2">
      <c r="A50" s="1525" t="s">
        <v>872</v>
      </c>
      <c r="B50" s="615">
        <v>2320</v>
      </c>
      <c r="C50" s="466">
        <v>171622</v>
      </c>
      <c r="D50" s="466">
        <v>14326</v>
      </c>
      <c r="E50" s="466">
        <v>493</v>
      </c>
      <c r="F50" s="466">
        <v>2020</v>
      </c>
      <c r="G50" s="466"/>
      <c r="H50" s="466">
        <v>1447</v>
      </c>
      <c r="I50" s="467"/>
      <c r="J50" s="467"/>
      <c r="K50" s="1693">
        <f>SUM(C50:J50)</f>
        <v>189908</v>
      </c>
      <c r="L50" s="466">
        <v>185125</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186218</v>
      </c>
      <c r="D53" s="1691">
        <f t="shared" ref="D53:L53" si="5">SUM(D49:D52)</f>
        <v>15721</v>
      </c>
      <c r="E53" s="1691">
        <f t="shared" si="5"/>
        <v>25703</v>
      </c>
      <c r="F53" s="1691">
        <f t="shared" si="5"/>
        <v>8850</v>
      </c>
      <c r="G53" s="1691">
        <f t="shared" si="5"/>
        <v>0</v>
      </c>
      <c r="H53" s="1691">
        <f t="shared" si="5"/>
        <v>5704</v>
      </c>
      <c r="I53" s="1691">
        <f t="shared" si="5"/>
        <v>0</v>
      </c>
      <c r="J53" s="1691">
        <f t="shared" si="5"/>
        <v>0</v>
      </c>
      <c r="K53" s="1691">
        <f t="shared" si="5"/>
        <v>242196</v>
      </c>
      <c r="L53" s="1691">
        <f t="shared" si="5"/>
        <v>246128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228192</v>
      </c>
      <c r="D55" s="481">
        <v>27559</v>
      </c>
      <c r="E55" s="481"/>
      <c r="F55" s="481">
        <v>1829</v>
      </c>
      <c r="G55" s="481"/>
      <c r="H55" s="481">
        <v>1402</v>
      </c>
      <c r="I55" s="467"/>
      <c r="J55" s="467"/>
      <c r="K55" s="1693">
        <f>SUM(C55:J55)</f>
        <v>258982</v>
      </c>
      <c r="L55" s="481">
        <v>258260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228192</v>
      </c>
      <c r="D57" s="1695">
        <f t="shared" ref="D57:K57" si="6">SUM(D55:D56)</f>
        <v>27559</v>
      </c>
      <c r="E57" s="1695">
        <f t="shared" si="6"/>
        <v>0</v>
      </c>
      <c r="F57" s="1695">
        <f t="shared" si="6"/>
        <v>1829</v>
      </c>
      <c r="G57" s="1695">
        <f t="shared" si="6"/>
        <v>0</v>
      </c>
      <c r="H57" s="1695">
        <f t="shared" si="6"/>
        <v>1402</v>
      </c>
      <c r="I57" s="1695">
        <f t="shared" si="6"/>
        <v>0</v>
      </c>
      <c r="J57" s="1695">
        <f t="shared" si="6"/>
        <v>0</v>
      </c>
      <c r="K57" s="1695">
        <f t="shared" si="6"/>
        <v>258982</v>
      </c>
      <c r="L57" s="1691">
        <f>SUM(L55:L56)</f>
        <v>258260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c r="D60" s="466"/>
      <c r="E60" s="466"/>
      <c r="F60" s="466"/>
      <c r="G60" s="466"/>
      <c r="H60" s="466"/>
      <c r="I60" s="467"/>
      <c r="J60" s="467"/>
      <c r="K60" s="1693">
        <f t="shared" si="7"/>
        <v>0</v>
      </c>
      <c r="L60" s="466"/>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66867</v>
      </c>
      <c r="D63" s="466">
        <v>9953</v>
      </c>
      <c r="E63" s="466">
        <v>62210</v>
      </c>
      <c r="F63" s="466"/>
      <c r="G63" s="466"/>
      <c r="H63" s="466">
        <v>19</v>
      </c>
      <c r="I63" s="467"/>
      <c r="J63" s="467"/>
      <c r="K63" s="1693">
        <f t="shared" si="7"/>
        <v>139049</v>
      </c>
      <c r="L63" s="466">
        <v>163731</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66867</v>
      </c>
      <c r="D65" s="1691">
        <f t="shared" ref="D65:L65" si="8">SUM(D59:D64)</f>
        <v>9953</v>
      </c>
      <c r="E65" s="1691">
        <f t="shared" si="8"/>
        <v>62210</v>
      </c>
      <c r="F65" s="1691">
        <f t="shared" si="8"/>
        <v>0</v>
      </c>
      <c r="G65" s="1691">
        <f t="shared" si="8"/>
        <v>0</v>
      </c>
      <c r="H65" s="1691">
        <f t="shared" si="8"/>
        <v>19</v>
      </c>
      <c r="I65" s="1691">
        <f t="shared" si="8"/>
        <v>0</v>
      </c>
      <c r="J65" s="1691">
        <f t="shared" si="8"/>
        <v>0</v>
      </c>
      <c r="K65" s="1691">
        <f t="shared" si="8"/>
        <v>139049</v>
      </c>
      <c r="L65" s="1691">
        <f t="shared" si="8"/>
        <v>163731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700914</v>
      </c>
      <c r="D74" s="1698">
        <f t="shared" ref="D74:K74" si="10">SUM(D42,D47,D53,D57,D65,D72,D73)</f>
        <v>68560</v>
      </c>
      <c r="E74" s="1698">
        <f t="shared" si="10"/>
        <v>93924</v>
      </c>
      <c r="F74" s="1698">
        <f t="shared" si="10"/>
        <v>16413</v>
      </c>
      <c r="G74" s="1698">
        <f t="shared" si="10"/>
        <v>0</v>
      </c>
      <c r="H74" s="1698">
        <f t="shared" si="10"/>
        <v>20025</v>
      </c>
      <c r="I74" s="1698">
        <f t="shared" si="10"/>
        <v>0</v>
      </c>
      <c r="J74" s="1698">
        <f t="shared" si="10"/>
        <v>0</v>
      </c>
      <c r="K74" s="1698">
        <f t="shared" si="10"/>
        <v>899836</v>
      </c>
      <c r="L74" s="1698">
        <f>SUM(L42,L47,L53,L57,L65,L72,L73)</f>
        <v>929539</v>
      </c>
    </row>
    <row r="75" spans="1:14" s="259" customFormat="1" ht="15.75" customHeight="1" thickTop="1" thickBot="1" x14ac:dyDescent="0.25">
      <c r="A75" s="1631" t="s">
        <v>49</v>
      </c>
      <c r="B75" s="1632" t="s">
        <v>596</v>
      </c>
      <c r="C75" s="573">
        <v>88045</v>
      </c>
      <c r="D75" s="573">
        <v>448</v>
      </c>
      <c r="E75" s="573"/>
      <c r="F75" s="573">
        <v>14083</v>
      </c>
      <c r="G75" s="573"/>
      <c r="H75" s="573"/>
      <c r="I75" s="531"/>
      <c r="J75" s="531"/>
      <c r="K75" s="1691">
        <f>SUM(C75:J75)</f>
        <v>102576</v>
      </c>
      <c r="L75" s="576">
        <v>93000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76597</v>
      </c>
      <c r="F79" s="617"/>
      <c r="G79" s="617"/>
      <c r="H79" s="466"/>
      <c r="I79" s="477"/>
      <c r="J79" s="477"/>
      <c r="K79" s="1692">
        <f t="shared" si="11"/>
        <v>76597</v>
      </c>
      <c r="L79" s="466">
        <v>79800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76597</v>
      </c>
      <c r="F84" s="617"/>
      <c r="G84" s="617"/>
      <c r="H84" s="1691">
        <f>SUM(H78:H83)</f>
        <v>0</v>
      </c>
      <c r="I84" s="477"/>
      <c r="J84" s="477"/>
      <c r="K84" s="1691">
        <f>SUM(K78:K83)</f>
        <v>76597</v>
      </c>
      <c r="L84" s="1691">
        <f>SUM(L78:L83)</f>
        <v>79800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564059</v>
      </c>
      <c r="I86" s="477"/>
      <c r="J86" s="477"/>
      <c r="K86" s="1698">
        <f t="shared" ref="K86:K98" si="12">H86</f>
        <v>564059</v>
      </c>
      <c r="L86" s="530">
        <v>600000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564059</v>
      </c>
      <c r="I92" s="477"/>
      <c r="J92" s="477"/>
      <c r="K92" s="1698">
        <f t="shared" si="12"/>
        <v>564059</v>
      </c>
      <c r="L92" s="1691">
        <f>SUM(L85:L91)</f>
        <v>600000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76597</v>
      </c>
      <c r="F102" s="617"/>
      <c r="G102" s="617"/>
      <c r="H102" s="1698">
        <f>SUM(H84,H92,H100,H101)</f>
        <v>564059</v>
      </c>
      <c r="I102" s="477"/>
      <c r="J102" s="477"/>
      <c r="K102" s="1698">
        <f>SUM(K84,K92,K100,K101)</f>
        <v>640656</v>
      </c>
      <c r="L102" s="1698">
        <f>SUM(L84,L92,L100,L101)</f>
        <v>679800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3119472</v>
      </c>
      <c r="D114" s="1691">
        <f t="shared" ref="D114:K114" si="13">SUM(D33,D74,D75,D102,D112,D113)</f>
        <v>347726</v>
      </c>
      <c r="E114" s="1691">
        <f t="shared" si="13"/>
        <v>203422</v>
      </c>
      <c r="F114" s="1691">
        <f t="shared" si="13"/>
        <v>62680</v>
      </c>
      <c r="G114" s="1691">
        <f t="shared" si="13"/>
        <v>0</v>
      </c>
      <c r="H114" s="1691">
        <f>SUM(H33,H74,H75,H102,H112,H113)</f>
        <v>584759</v>
      </c>
      <c r="I114" s="1691">
        <f t="shared" si="13"/>
        <v>0</v>
      </c>
      <c r="J114" s="1691">
        <f t="shared" si="13"/>
        <v>0</v>
      </c>
      <c r="K114" s="1691">
        <f t="shared" si="13"/>
        <v>4318059</v>
      </c>
      <c r="L114" s="1691">
        <f>SUM(L33,L74,L75,L102,L112,L113)</f>
        <v>4381525</v>
      </c>
    </row>
    <row r="115" spans="1:14" ht="13.5" thickTop="1" x14ac:dyDescent="0.2">
      <c r="A115" s="2212" t="s">
        <v>1053</v>
      </c>
      <c r="B115" s="2213"/>
      <c r="C115" s="619"/>
      <c r="D115" s="619"/>
      <c r="E115" s="619"/>
      <c r="F115" s="619"/>
      <c r="G115" s="619"/>
      <c r="H115" s="619"/>
      <c r="I115" s="619"/>
      <c r="J115" s="619"/>
      <c r="K115" s="1705">
        <f>'Revenues 9-14'!C275-'Expenditures 15-22'!K114</f>
        <v>63905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144300</v>
      </c>
      <c r="D124" s="466">
        <v>30332</v>
      </c>
      <c r="E124" s="466">
        <v>64693</v>
      </c>
      <c r="F124" s="466">
        <v>191249</v>
      </c>
      <c r="G124" s="466"/>
      <c r="H124" s="466"/>
      <c r="I124" s="467"/>
      <c r="J124" s="467"/>
      <c r="K124" s="1691">
        <f>SUM(C124:J124)</f>
        <v>430574</v>
      </c>
      <c r="L124" s="466">
        <v>416325</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144300</v>
      </c>
      <c r="D127" s="1691">
        <f t="shared" ref="D127:L127" si="14">SUM(D122:D126)</f>
        <v>30332</v>
      </c>
      <c r="E127" s="1691">
        <f t="shared" si="14"/>
        <v>64693</v>
      </c>
      <c r="F127" s="1691">
        <f t="shared" si="14"/>
        <v>191249</v>
      </c>
      <c r="G127" s="1691">
        <f t="shared" si="14"/>
        <v>0</v>
      </c>
      <c r="H127" s="1691">
        <f t="shared" si="14"/>
        <v>0</v>
      </c>
      <c r="I127" s="1691">
        <f t="shared" si="14"/>
        <v>0</v>
      </c>
      <c r="J127" s="1691">
        <f t="shared" si="14"/>
        <v>0</v>
      </c>
      <c r="K127" s="1691">
        <f t="shared" si="14"/>
        <v>430574</v>
      </c>
      <c r="L127" s="1691">
        <f t="shared" si="14"/>
        <v>416325</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144300</v>
      </c>
      <c r="D129" s="1698">
        <f t="shared" ref="D129:L129" si="15">SUM(D120,D127,D128)</f>
        <v>30332</v>
      </c>
      <c r="E129" s="1698">
        <f t="shared" si="15"/>
        <v>64693</v>
      </c>
      <c r="F129" s="1698">
        <f t="shared" si="15"/>
        <v>191249</v>
      </c>
      <c r="G129" s="1698">
        <f t="shared" si="15"/>
        <v>0</v>
      </c>
      <c r="H129" s="1698">
        <f t="shared" si="15"/>
        <v>0</v>
      </c>
      <c r="I129" s="1698">
        <f t="shared" si="15"/>
        <v>0</v>
      </c>
      <c r="J129" s="1698">
        <f t="shared" si="15"/>
        <v>0</v>
      </c>
      <c r="K129" s="1698">
        <f t="shared" si="15"/>
        <v>430574</v>
      </c>
      <c r="L129" s="1698">
        <f t="shared" si="15"/>
        <v>416325</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2" t="s">
        <v>641</v>
      </c>
      <c r="B151" s="2184"/>
      <c r="C151" s="1691">
        <f>SUM(C129,C130,C139,C149,C150)</f>
        <v>144300</v>
      </c>
      <c r="D151" s="1691">
        <f t="shared" ref="D151:K151" si="16">SUM(D129,D130,D139,D149,D150)</f>
        <v>30332</v>
      </c>
      <c r="E151" s="1691">
        <f t="shared" si="16"/>
        <v>64693</v>
      </c>
      <c r="F151" s="1691">
        <f t="shared" si="16"/>
        <v>191249</v>
      </c>
      <c r="G151" s="1691">
        <f t="shared" si="16"/>
        <v>0</v>
      </c>
      <c r="H151" s="1691">
        <f t="shared" si="16"/>
        <v>0</v>
      </c>
      <c r="I151" s="1691">
        <f t="shared" si="16"/>
        <v>0</v>
      </c>
      <c r="J151" s="1691">
        <f t="shared" si="16"/>
        <v>0</v>
      </c>
      <c r="K151" s="1691">
        <f t="shared" si="16"/>
        <v>430574</v>
      </c>
      <c r="L151" s="1691">
        <f>SUM(L129,L130,L139,L149,L150)</f>
        <v>416325</v>
      </c>
    </row>
    <row r="152" spans="1:14" ht="12.75" customHeight="1" thickTop="1" x14ac:dyDescent="0.2">
      <c r="A152" s="2205" t="s">
        <v>1240</v>
      </c>
      <c r="B152" s="2206"/>
      <c r="C152" s="619"/>
      <c r="D152" s="619"/>
      <c r="E152" s="619"/>
      <c r="F152" s="619"/>
      <c r="G152" s="619"/>
      <c r="H152" s="619"/>
      <c r="I152" s="619"/>
      <c r="J152" s="617"/>
      <c r="K152" s="1705">
        <f>'Revenues 9-14'!D275-'Expenditures 15-22'!K151</f>
        <v>99203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63753</v>
      </c>
      <c r="I169" s="617"/>
      <c r="J169" s="617"/>
      <c r="K169" s="1692">
        <f>SUM(C169:H169)</f>
        <v>63753</v>
      </c>
      <c r="L169" s="657">
        <v>64000</v>
      </c>
    </row>
    <row r="170" spans="1:14" ht="33.75" customHeight="1" x14ac:dyDescent="0.2">
      <c r="A170" s="670" t="s">
        <v>1769</v>
      </c>
      <c r="B170" s="672" t="s">
        <v>31</v>
      </c>
      <c r="C170" s="617"/>
      <c r="D170" s="617"/>
      <c r="E170" s="617"/>
      <c r="F170" s="617"/>
      <c r="G170" s="617"/>
      <c r="H170" s="569">
        <v>1045000</v>
      </c>
      <c r="I170" s="617"/>
      <c r="J170" s="617"/>
      <c r="K170" s="1692">
        <f>SUM(C170:J170)</f>
        <v>1045000</v>
      </c>
      <c r="L170" s="569">
        <v>1045000</v>
      </c>
    </row>
    <row r="171" spans="1:14" ht="15.75" customHeight="1" x14ac:dyDescent="0.2">
      <c r="A171" s="622" t="s">
        <v>790</v>
      </c>
      <c r="B171" s="673" t="s">
        <v>86</v>
      </c>
      <c r="C171" s="617"/>
      <c r="D171" s="617"/>
      <c r="E171" s="466"/>
      <c r="F171" s="617"/>
      <c r="G171" s="617"/>
      <c r="H171" s="569">
        <v>2475</v>
      </c>
      <c r="I171" s="477"/>
      <c r="J171" s="617"/>
      <c r="K171" s="1692">
        <f>SUM(C171:J171)</f>
        <v>2475</v>
      </c>
      <c r="L171" s="569">
        <v>3000</v>
      </c>
    </row>
    <row r="172" spans="1:14" ht="12.75" customHeight="1" thickBot="1" x14ac:dyDescent="0.25">
      <c r="A172" s="1689" t="s">
        <v>659</v>
      </c>
      <c r="B172" s="1690" t="s">
        <v>513</v>
      </c>
      <c r="C172" s="617"/>
      <c r="D172" s="617"/>
      <c r="E172" s="1698">
        <f>SUM(E168,E169,E170,E171)</f>
        <v>0</v>
      </c>
      <c r="F172" s="617"/>
      <c r="G172" s="617"/>
      <c r="H172" s="1698">
        <f>SUM(H168,H169,H170,H171)</f>
        <v>1111228</v>
      </c>
      <c r="I172" s="639"/>
      <c r="J172" s="617"/>
      <c r="K172" s="1698">
        <f>SUM(K168,K169,K170,K171)</f>
        <v>1111228</v>
      </c>
      <c r="L172" s="1698">
        <f>SUM(L168,L169,L170,L171)</f>
        <v>1112000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1111228</v>
      </c>
      <c r="I174" s="639"/>
      <c r="J174" s="617"/>
      <c r="K174" s="1698">
        <f>SUM(K160,K172,K173)</f>
        <v>1111228</v>
      </c>
      <c r="L174" s="1698">
        <f>SUM(L160,L172,L173)</f>
        <v>1112000</v>
      </c>
    </row>
    <row r="175" spans="1:14" ht="13.5" thickTop="1" x14ac:dyDescent="0.2">
      <c r="A175" s="2212" t="s">
        <v>1053</v>
      </c>
      <c r="B175" s="2213"/>
      <c r="C175" s="617"/>
      <c r="D175" s="617"/>
      <c r="E175" s="617"/>
      <c r="F175" s="617"/>
      <c r="G175" s="617"/>
      <c r="H175" s="619"/>
      <c r="I175" s="617"/>
      <c r="J175" s="617"/>
      <c r="K175" s="1705">
        <f>'Revenues 9-14'!E275-'Expenditures 15-22'!K174</f>
        <v>-403936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461326</v>
      </c>
      <c r="F182" s="466">
        <v>3145</v>
      </c>
      <c r="G182" s="466"/>
      <c r="H182" s="466"/>
      <c r="I182" s="467"/>
      <c r="J182" s="467"/>
      <c r="K182" s="1692">
        <f>SUM(C182:J182)</f>
        <v>464471</v>
      </c>
      <c r="L182" s="466">
        <v>498850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461326</v>
      </c>
      <c r="F184" s="1698">
        <f t="shared" si="17"/>
        <v>3145</v>
      </c>
      <c r="G184" s="1698">
        <f t="shared" si="17"/>
        <v>0</v>
      </c>
      <c r="H184" s="1698">
        <f t="shared" si="17"/>
        <v>0</v>
      </c>
      <c r="I184" s="1698">
        <f t="shared" si="17"/>
        <v>0</v>
      </c>
      <c r="J184" s="1698">
        <f t="shared" si="17"/>
        <v>0</v>
      </c>
      <c r="K184" s="1698">
        <f>SUM(K180,K182,K183)</f>
        <v>464471</v>
      </c>
      <c r="L184" s="1698">
        <f>SUM(L180, L182:L183)</f>
        <v>498850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461326</v>
      </c>
      <c r="F210" s="1691">
        <f>SUM(F184,F185)</f>
        <v>3145</v>
      </c>
      <c r="G210" s="1691">
        <f>SUM(G184,G185)</f>
        <v>0</v>
      </c>
      <c r="H210" s="1691">
        <f>SUM(H184,H185,H196,H208,H209)</f>
        <v>0</v>
      </c>
      <c r="I210" s="1691">
        <f>SUM(I184,I185)</f>
        <v>0</v>
      </c>
      <c r="J210" s="1691">
        <f>SUM(J184,J185)</f>
        <v>0</v>
      </c>
      <c r="K210" s="1692">
        <f>SUM(K184,K185,K196,K208,K209)</f>
        <v>464471</v>
      </c>
      <c r="L210" s="1691">
        <f>SUM(L184,L185,L196,L208,L209)</f>
        <v>498850</v>
      </c>
    </row>
    <row r="211" spans="1:14" ht="13.5" thickTop="1" x14ac:dyDescent="0.2">
      <c r="A211" s="2212" t="s">
        <v>1053</v>
      </c>
      <c r="B211" s="2213"/>
      <c r="C211" s="619"/>
      <c r="D211" s="619"/>
      <c r="E211" s="619"/>
      <c r="F211" s="619"/>
      <c r="G211" s="619"/>
      <c r="H211" s="619"/>
      <c r="I211" s="617"/>
      <c r="J211" s="617"/>
      <c r="K211" s="1705">
        <f>'Revenues 9-14'!F275-'Expenditures 15-22'!K210</f>
        <v>155236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26210</v>
      </c>
      <c r="E215" s="617"/>
      <c r="F215" s="617"/>
      <c r="G215" s="617"/>
      <c r="H215" s="617"/>
      <c r="I215" s="617"/>
      <c r="J215" s="617"/>
      <c r="K215" s="1692">
        <f>D215</f>
        <v>26210</v>
      </c>
      <c r="L215" s="466">
        <v>27000</v>
      </c>
    </row>
    <row r="216" spans="1:14" x14ac:dyDescent="0.2">
      <c r="A216" s="1525" t="s">
        <v>165</v>
      </c>
      <c r="B216" s="615" t="s">
        <v>1024</v>
      </c>
      <c r="C216" s="617"/>
      <c r="D216" s="467">
        <v>3916</v>
      </c>
      <c r="E216" s="617"/>
      <c r="F216" s="617"/>
      <c r="G216" s="617"/>
      <c r="H216" s="617"/>
      <c r="I216" s="617"/>
      <c r="J216" s="617"/>
      <c r="K216" s="1692">
        <f t="shared" ref="K216:K228" si="19">D216</f>
        <v>3916</v>
      </c>
      <c r="L216" s="466">
        <v>5000</v>
      </c>
    </row>
    <row r="217" spans="1:14" x14ac:dyDescent="0.2">
      <c r="A217" s="1525" t="s">
        <v>166</v>
      </c>
      <c r="B217" s="615">
        <v>1200</v>
      </c>
      <c r="C217" s="617"/>
      <c r="D217" s="466">
        <v>31513</v>
      </c>
      <c r="E217" s="617"/>
      <c r="F217" s="617"/>
      <c r="G217" s="617"/>
      <c r="H217" s="617"/>
      <c r="I217" s="617"/>
      <c r="J217" s="617"/>
      <c r="K217" s="1692">
        <f t="shared" si="19"/>
        <v>31513</v>
      </c>
      <c r="L217" s="466">
        <v>25000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2279</v>
      </c>
      <c r="E219" s="617"/>
      <c r="F219" s="617"/>
      <c r="G219" s="617"/>
      <c r="H219" s="617"/>
      <c r="I219" s="617"/>
      <c r="J219" s="617"/>
      <c r="K219" s="1692">
        <f t="shared" si="19"/>
        <v>2279</v>
      </c>
      <c r="L219" s="466">
        <v>3600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1806</v>
      </c>
      <c r="E223" s="617"/>
      <c r="F223" s="617"/>
      <c r="G223" s="617"/>
      <c r="H223" s="617"/>
      <c r="I223" s="617"/>
      <c r="J223" s="617"/>
      <c r="K223" s="1692">
        <f t="shared" si="19"/>
        <v>1806</v>
      </c>
      <c r="L223" s="466">
        <v>2000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65724</v>
      </c>
      <c r="E229" s="617"/>
      <c r="F229" s="617"/>
      <c r="G229" s="617"/>
      <c r="H229" s="617"/>
      <c r="I229" s="617"/>
      <c r="J229" s="617"/>
      <c r="K229" s="1691">
        <f>SUM(K215:K228)</f>
        <v>65724</v>
      </c>
      <c r="L229" s="1691">
        <f>SUM(L215:L228)</f>
        <v>62600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734</v>
      </c>
      <c r="E232" s="617"/>
      <c r="F232" s="617"/>
      <c r="G232" s="617"/>
      <c r="H232" s="617"/>
      <c r="I232" s="617"/>
      <c r="J232" s="617"/>
      <c r="K232" s="1692">
        <f t="shared" ref="K232:K237" si="20">D232</f>
        <v>734</v>
      </c>
      <c r="L232" s="466">
        <v>840</v>
      </c>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v>5236</v>
      </c>
      <c r="E234" s="617"/>
      <c r="F234" s="617"/>
      <c r="G234" s="617"/>
      <c r="H234" s="617"/>
      <c r="I234" s="617"/>
      <c r="J234" s="617"/>
      <c r="K234" s="1692">
        <f t="shared" si="20"/>
        <v>5236</v>
      </c>
      <c r="L234" s="466">
        <v>6200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1047</v>
      </c>
      <c r="E236" s="617"/>
      <c r="F236" s="617"/>
      <c r="G236" s="617"/>
      <c r="H236" s="617"/>
      <c r="I236" s="617"/>
      <c r="J236" s="617"/>
      <c r="K236" s="1692">
        <f t="shared" si="20"/>
        <v>1047</v>
      </c>
      <c r="L236" s="466">
        <v>1000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7017</v>
      </c>
      <c r="E238" s="617"/>
      <c r="F238" s="617"/>
      <c r="G238" s="617"/>
      <c r="H238" s="617"/>
      <c r="I238" s="617"/>
      <c r="J238" s="617"/>
      <c r="K238" s="1691">
        <f>SUM(K232:K237)</f>
        <v>7017</v>
      </c>
      <c r="L238" s="1691">
        <f>SUM(L232:L237)</f>
        <v>8040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2491</v>
      </c>
      <c r="E241" s="617"/>
      <c r="F241" s="617"/>
      <c r="G241" s="617"/>
      <c r="H241" s="617"/>
      <c r="I241" s="617"/>
      <c r="J241" s="617"/>
      <c r="K241" s="1693">
        <f>D241</f>
        <v>2491</v>
      </c>
      <c r="L241" s="466">
        <v>2091</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2491</v>
      </c>
      <c r="E243" s="617"/>
      <c r="F243" s="617"/>
      <c r="G243" s="617"/>
      <c r="H243" s="617"/>
      <c r="I243" s="617"/>
      <c r="J243" s="617"/>
      <c r="K243" s="1691">
        <f>SUM(K240:K242)</f>
        <v>2491</v>
      </c>
      <c r="L243" s="1691">
        <f>SUM(L240:L242)</f>
        <v>2091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2329</v>
      </c>
      <c r="E245" s="617"/>
      <c r="F245" s="617"/>
      <c r="G245" s="617"/>
      <c r="H245" s="617"/>
      <c r="I245" s="617"/>
      <c r="J245" s="617"/>
      <c r="K245" s="1693">
        <f>D245</f>
        <v>2329</v>
      </c>
      <c r="L245" s="481">
        <v>2400</v>
      </c>
    </row>
    <row r="246" spans="1:12" x14ac:dyDescent="0.2">
      <c r="A246" s="1525" t="s">
        <v>872</v>
      </c>
      <c r="B246" s="615">
        <v>2320</v>
      </c>
      <c r="C246" s="617"/>
      <c r="D246" s="466">
        <v>9577</v>
      </c>
      <c r="E246" s="617"/>
      <c r="F246" s="617"/>
      <c r="G246" s="617"/>
      <c r="H246" s="617"/>
      <c r="I246" s="617"/>
      <c r="J246" s="617"/>
      <c r="K246" s="1693">
        <f t="shared" ref="K246:K256" si="21">D246</f>
        <v>9577</v>
      </c>
      <c r="L246" s="466">
        <v>9275</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v>1841</v>
      </c>
      <c r="E254" s="617"/>
      <c r="F254" s="617"/>
      <c r="G254" s="617"/>
      <c r="H254" s="617"/>
      <c r="I254" s="617"/>
      <c r="J254" s="617"/>
      <c r="K254" s="1693">
        <f t="shared" si="21"/>
        <v>1841</v>
      </c>
      <c r="L254" s="466">
        <v>2100</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13747</v>
      </c>
      <c r="E257" s="617"/>
      <c r="F257" s="617"/>
      <c r="G257" s="617"/>
      <c r="H257" s="617"/>
      <c r="I257" s="617"/>
      <c r="J257" s="617"/>
      <c r="K257" s="1691">
        <f>SUM(K245:K256)</f>
        <v>13747</v>
      </c>
      <c r="L257" s="1691">
        <f>SUM(L245:L256)</f>
        <v>13775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12040</v>
      </c>
      <c r="E259" s="617"/>
      <c r="F259" s="617"/>
      <c r="G259" s="617"/>
      <c r="H259" s="617"/>
      <c r="I259" s="617"/>
      <c r="J259" s="617"/>
      <c r="K259" s="1693">
        <f>D259</f>
        <v>12040</v>
      </c>
      <c r="L259" s="481">
        <v>11900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12040</v>
      </c>
      <c r="E261" s="617"/>
      <c r="F261" s="617"/>
      <c r="G261" s="617"/>
      <c r="H261" s="617"/>
      <c r="I261" s="617"/>
      <c r="J261" s="617"/>
      <c r="K261" s="1691">
        <f>SUM(K259:K260)</f>
        <v>12040</v>
      </c>
      <c r="L261" s="1691">
        <f>SUM(L259:L260)</f>
        <v>11900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c r="E264" s="617"/>
      <c r="F264" s="617"/>
      <c r="G264" s="617"/>
      <c r="H264" s="617"/>
      <c r="I264" s="617"/>
      <c r="J264" s="617"/>
      <c r="K264" s="1693">
        <f t="shared" ref="K264:K269" si="22">D264</f>
        <v>0</v>
      </c>
      <c r="L264" s="466"/>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25577</v>
      </c>
      <c r="E266" s="617"/>
      <c r="F266" s="617"/>
      <c r="G266" s="617"/>
      <c r="H266" s="617"/>
      <c r="I266" s="617"/>
      <c r="J266" s="617"/>
      <c r="K266" s="1693">
        <f t="shared" si="22"/>
        <v>25577</v>
      </c>
      <c r="L266" s="466">
        <v>25500</v>
      </c>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v>9840</v>
      </c>
      <c r="E268" s="617"/>
      <c r="F268" s="617"/>
      <c r="G268" s="617"/>
      <c r="H268" s="617"/>
      <c r="I268" s="617"/>
      <c r="J268" s="617"/>
      <c r="K268" s="1693">
        <f t="shared" si="22"/>
        <v>9840</v>
      </c>
      <c r="L268" s="466">
        <v>9550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35417</v>
      </c>
      <c r="E270" s="617"/>
      <c r="F270" s="617"/>
      <c r="G270" s="617"/>
      <c r="H270" s="617"/>
      <c r="I270" s="617"/>
      <c r="J270" s="617"/>
      <c r="K270" s="1691">
        <f>SUM(K263:K269)</f>
        <v>35417</v>
      </c>
      <c r="L270" s="1691">
        <f>SUM(L263:L269)</f>
        <v>35050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70712</v>
      </c>
      <c r="E279" s="617"/>
      <c r="F279" s="617"/>
      <c r="G279" s="617"/>
      <c r="H279" s="617"/>
      <c r="I279" s="617"/>
      <c r="J279" s="617"/>
      <c r="K279" s="1698">
        <f>SUM(K238,K243,K257,K261,K270,K277,K278)</f>
        <v>70712</v>
      </c>
      <c r="L279" s="1698">
        <f>SUM(L238,L243,L257,L261,L270,L277,L278)</f>
        <v>70856</v>
      </c>
    </row>
    <row r="280" spans="1:12" ht="15.75" customHeight="1" thickTop="1" thickBot="1" x14ac:dyDescent="0.25">
      <c r="A280" s="1645" t="s">
        <v>930</v>
      </c>
      <c r="B280" s="1634">
        <v>3000</v>
      </c>
      <c r="C280" s="617"/>
      <c r="D280" s="576">
        <v>12005</v>
      </c>
      <c r="E280" s="617"/>
      <c r="F280" s="617"/>
      <c r="G280" s="617"/>
      <c r="H280" s="617"/>
      <c r="I280" s="617"/>
      <c r="J280" s="617"/>
      <c r="K280" s="1700">
        <f>D280</f>
        <v>12005</v>
      </c>
      <c r="L280" s="576">
        <v>9000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v>1056</v>
      </c>
      <c r="E283" s="617"/>
      <c r="F283" s="617"/>
      <c r="G283" s="617"/>
      <c r="H283" s="617"/>
      <c r="I283" s="617"/>
      <c r="J283" s="617"/>
      <c r="K283" s="1692">
        <f>D283</f>
        <v>1056</v>
      </c>
      <c r="L283" s="466">
        <v>2500</v>
      </c>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1056</v>
      </c>
      <c r="E285" s="617"/>
      <c r="F285" s="617"/>
      <c r="G285" s="617"/>
      <c r="H285" s="617"/>
      <c r="I285" s="617"/>
      <c r="J285" s="617"/>
      <c r="K285" s="1691">
        <f>SUM(K282:K284)</f>
        <v>1056</v>
      </c>
      <c r="L285" s="1691">
        <f>SUM(L282:L284)</f>
        <v>2500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1">
        <f>SUM(D229,D279,D280,D285)</f>
        <v>149497</v>
      </c>
      <c r="E295" s="617"/>
      <c r="F295" s="617"/>
      <c r="G295" s="617"/>
      <c r="H295" s="1691">
        <f>H293</f>
        <v>0</v>
      </c>
      <c r="I295" s="617"/>
      <c r="J295" s="617"/>
      <c r="K295" s="1691">
        <f>SUM(K229,K279,K280,K285,K293,K294)</f>
        <v>149497</v>
      </c>
      <c r="L295" s="1691">
        <f>SUM(L229,L279,L280,L285,L293,L294)</f>
        <v>144956</v>
      </c>
    </row>
    <row r="296" spans="1:14" ht="13.5" thickTop="1" x14ac:dyDescent="0.2">
      <c r="A296" s="2212" t="s">
        <v>1053</v>
      </c>
      <c r="B296" s="2213"/>
      <c r="C296" s="617"/>
      <c r="D296" s="619"/>
      <c r="E296" s="617"/>
      <c r="F296" s="617"/>
      <c r="G296" s="617"/>
      <c r="H296" s="688"/>
      <c r="I296" s="617"/>
      <c r="J296" s="617"/>
      <c r="K296" s="1705">
        <f>'Revenues 9-14'!G275-'Expenditures 15-22'!K295</f>
        <v>112567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11713</v>
      </c>
      <c r="F301" s="466"/>
      <c r="G301" s="466">
        <v>45585</v>
      </c>
      <c r="H301" s="466"/>
      <c r="I301" s="467"/>
      <c r="J301" s="467"/>
      <c r="K301" s="1692">
        <f>SUM(C301:J301)</f>
        <v>57298</v>
      </c>
      <c r="L301" s="467">
        <v>27200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11713</v>
      </c>
      <c r="F303" s="1698">
        <f t="shared" si="23"/>
        <v>0</v>
      </c>
      <c r="G303" s="1698">
        <f t="shared" si="23"/>
        <v>45585</v>
      </c>
      <c r="H303" s="1698">
        <f t="shared" si="23"/>
        <v>0</v>
      </c>
      <c r="I303" s="1698">
        <f t="shared" si="23"/>
        <v>0</v>
      </c>
      <c r="J303" s="1698">
        <f t="shared" si="23"/>
        <v>0</v>
      </c>
      <c r="K303" s="1698">
        <f t="shared" si="23"/>
        <v>57298</v>
      </c>
      <c r="L303" s="1698">
        <f t="shared" si="23"/>
        <v>27200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1">
        <f>SUM(C303)</f>
        <v>0</v>
      </c>
      <c r="D312" s="1691">
        <f>SUM(D303)</f>
        <v>0</v>
      </c>
      <c r="E312" s="1691">
        <f>SUM(E303,E310)</f>
        <v>11713</v>
      </c>
      <c r="F312" s="1691">
        <f>SUM(F303)</f>
        <v>0</v>
      </c>
      <c r="G312" s="1691">
        <f>SUM(G303)</f>
        <v>45585</v>
      </c>
      <c r="H312" s="1691">
        <f>SUM(H303,H310)</f>
        <v>0</v>
      </c>
      <c r="I312" s="1691">
        <f>SUM(I303)</f>
        <v>0</v>
      </c>
      <c r="J312" s="1691">
        <f>SUM(J303)</f>
        <v>0</v>
      </c>
      <c r="K312" s="1691">
        <f>SUM(K303,K310,K311)</f>
        <v>57298</v>
      </c>
      <c r="L312" s="1691">
        <f>SUM(L303,L310,L311)</f>
        <v>27200</v>
      </c>
      <c r="M312" s="666"/>
      <c r="N312" s="666"/>
    </row>
    <row r="313" spans="1:14" ht="13.5" thickTop="1" x14ac:dyDescent="0.2">
      <c r="A313" s="2196" t="s">
        <v>1053</v>
      </c>
      <c r="B313" s="2197"/>
      <c r="C313" s="627"/>
      <c r="D313" s="627"/>
      <c r="E313" s="627"/>
      <c r="F313" s="627"/>
      <c r="G313" s="627"/>
      <c r="H313" s="627"/>
      <c r="I313" s="627"/>
      <c r="J313" s="627"/>
      <c r="K313" s="1706">
        <f>'Revenues 9-14'!H275-'Expenditures 15-22'!K312</f>
        <v>-26567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1750</v>
      </c>
      <c r="M321" s="666"/>
      <c r="N321" s="666"/>
    </row>
    <row r="322" spans="1:14" s="675" customFormat="1" x14ac:dyDescent="0.2">
      <c r="A322" s="1540" t="s">
        <v>256</v>
      </c>
      <c r="B322" s="698" t="s">
        <v>302</v>
      </c>
      <c r="C322" s="467"/>
      <c r="D322" s="467"/>
      <c r="E322" s="467">
        <v>89379</v>
      </c>
      <c r="F322" s="467"/>
      <c r="G322" s="467"/>
      <c r="H322" s="467"/>
      <c r="I322" s="467"/>
      <c r="J322" s="467"/>
      <c r="K322" s="1692">
        <f t="shared" si="24"/>
        <v>89379</v>
      </c>
      <c r="L322" s="467">
        <v>87000</v>
      </c>
      <c r="M322" s="666"/>
      <c r="N322" s="666"/>
    </row>
    <row r="323" spans="1:14" s="675" customFormat="1" x14ac:dyDescent="0.2">
      <c r="A323" s="1540" t="s">
        <v>726</v>
      </c>
      <c r="B323" s="698" t="s">
        <v>303</v>
      </c>
      <c r="C323" s="467"/>
      <c r="D323" s="467"/>
      <c r="E323" s="467">
        <v>7673</v>
      </c>
      <c r="F323" s="467"/>
      <c r="G323" s="467"/>
      <c r="H323" s="467"/>
      <c r="I323" s="467"/>
      <c r="J323" s="467"/>
      <c r="K323" s="1692">
        <f t="shared" si="24"/>
        <v>7673</v>
      </c>
      <c r="L323" s="467">
        <v>19500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96674</v>
      </c>
      <c r="D325" s="467"/>
      <c r="E325" s="467"/>
      <c r="F325" s="467"/>
      <c r="G325" s="467"/>
      <c r="H325" s="467"/>
      <c r="I325" s="467"/>
      <c r="J325" s="467"/>
      <c r="K325" s="1692">
        <f t="shared" si="24"/>
        <v>96674</v>
      </c>
      <c r="L325" s="467">
        <v>97250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3486</v>
      </c>
      <c r="F327" s="467"/>
      <c r="G327" s="467"/>
      <c r="H327" s="467"/>
      <c r="I327" s="467"/>
      <c r="J327" s="467"/>
      <c r="K327" s="1692">
        <f t="shared" si="24"/>
        <v>3486</v>
      </c>
      <c r="L327" s="467">
        <v>4500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96674</v>
      </c>
      <c r="D330" s="1691">
        <f t="shared" ref="D330:J330" si="25">SUM(D319:D329)</f>
        <v>0</v>
      </c>
      <c r="E330" s="1691">
        <f t="shared" si="25"/>
        <v>100538</v>
      </c>
      <c r="F330" s="1691">
        <f t="shared" si="25"/>
        <v>0</v>
      </c>
      <c r="G330" s="1691">
        <f t="shared" si="25"/>
        <v>0</v>
      </c>
      <c r="H330" s="1691">
        <f t="shared" si="25"/>
        <v>0</v>
      </c>
      <c r="I330" s="1691">
        <f t="shared" si="25"/>
        <v>0</v>
      </c>
      <c r="J330" s="1691">
        <f t="shared" si="25"/>
        <v>0</v>
      </c>
      <c r="K330" s="1691">
        <f>SUM(K319:K329)</f>
        <v>197212</v>
      </c>
      <c r="L330" s="1691">
        <f>SUM(L319:L329)</f>
        <v>210000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96674</v>
      </c>
      <c r="D342" s="1691">
        <f>SUM(D330)</f>
        <v>0</v>
      </c>
      <c r="E342" s="1691">
        <f>SUM(E330)</f>
        <v>100538</v>
      </c>
      <c r="F342" s="1691">
        <f>SUM(F330)</f>
        <v>0</v>
      </c>
      <c r="G342" s="1691">
        <f>SUM(G330)</f>
        <v>0</v>
      </c>
      <c r="H342" s="1691">
        <f>SUM(H330,H334,H340)</f>
        <v>0</v>
      </c>
      <c r="I342" s="1691">
        <f>SUM(I330)</f>
        <v>0</v>
      </c>
      <c r="J342" s="1691">
        <f>SUM(J330)</f>
        <v>0</v>
      </c>
      <c r="K342" s="1691">
        <f>SUM(K330,K334,K340)</f>
        <v>197212</v>
      </c>
      <c r="L342" s="1698">
        <f>SUM(L330,L340,L341)</f>
        <v>210000</v>
      </c>
    </row>
    <row r="343" spans="1:14" ht="12.75" customHeight="1" thickTop="1" x14ac:dyDescent="0.2">
      <c r="A343" s="2198" t="s">
        <v>1053</v>
      </c>
      <c r="B343" s="2199"/>
      <c r="C343" s="617"/>
      <c r="D343" s="617"/>
      <c r="E343" s="617"/>
      <c r="F343" s="617"/>
      <c r="G343" s="617"/>
      <c r="H343" s="617"/>
      <c r="I343" s="617"/>
      <c r="J343" s="617"/>
      <c r="K343" s="1705">
        <f>'Revenues 9-14'!J275-'Expenditures 15-22'!K342</f>
        <v>58678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5863</v>
      </c>
      <c r="F349" s="466"/>
      <c r="G349" s="466"/>
      <c r="H349" s="466"/>
      <c r="I349" s="467"/>
      <c r="J349" s="467"/>
      <c r="K349" s="1692">
        <f>SUM(C349:J349)</f>
        <v>5863</v>
      </c>
      <c r="L349" s="466">
        <v>5875</v>
      </c>
    </row>
    <row r="350" spans="1:14" ht="12.75" customHeight="1" thickBot="1" x14ac:dyDescent="0.25">
      <c r="A350" s="1689" t="s">
        <v>743</v>
      </c>
      <c r="B350" s="1690" t="s">
        <v>35</v>
      </c>
      <c r="C350" s="1691">
        <f>SUM(C348:C349)</f>
        <v>0</v>
      </c>
      <c r="D350" s="1691">
        <f t="shared" ref="D350:L350" si="26">SUM(D348:D349)</f>
        <v>0</v>
      </c>
      <c r="E350" s="1691">
        <f t="shared" si="26"/>
        <v>5863</v>
      </c>
      <c r="F350" s="1691">
        <f t="shared" si="26"/>
        <v>0</v>
      </c>
      <c r="G350" s="1691">
        <f t="shared" si="26"/>
        <v>0</v>
      </c>
      <c r="H350" s="1691">
        <f t="shared" si="26"/>
        <v>0</v>
      </c>
      <c r="I350" s="1691">
        <f t="shared" si="26"/>
        <v>0</v>
      </c>
      <c r="J350" s="1691">
        <f t="shared" si="26"/>
        <v>0</v>
      </c>
      <c r="K350" s="1691">
        <f t="shared" si="26"/>
        <v>5863</v>
      </c>
      <c r="L350" s="1691">
        <f t="shared" si="26"/>
        <v>5875</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5863</v>
      </c>
      <c r="F352" s="1691">
        <f t="shared" si="27"/>
        <v>0</v>
      </c>
      <c r="G352" s="1691">
        <f t="shared" si="27"/>
        <v>0</v>
      </c>
      <c r="H352" s="1691">
        <f t="shared" si="27"/>
        <v>0</v>
      </c>
      <c r="I352" s="1691">
        <f t="shared" si="27"/>
        <v>0</v>
      </c>
      <c r="J352" s="1691">
        <f t="shared" si="27"/>
        <v>0</v>
      </c>
      <c r="K352" s="1691">
        <f t="shared" si="27"/>
        <v>5863</v>
      </c>
      <c r="L352" s="1691">
        <f t="shared" si="27"/>
        <v>5875</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5863</v>
      </c>
      <c r="F367" s="1691">
        <f t="shared" si="28"/>
        <v>0</v>
      </c>
      <c r="G367" s="1691">
        <f t="shared" si="28"/>
        <v>0</v>
      </c>
      <c r="H367" s="1691">
        <f t="shared" si="28"/>
        <v>0</v>
      </c>
      <c r="I367" s="1691">
        <f t="shared" si="28"/>
        <v>0</v>
      </c>
      <c r="J367" s="1691">
        <f t="shared" si="28"/>
        <v>0</v>
      </c>
      <c r="K367" s="1691">
        <f t="shared" si="28"/>
        <v>5863</v>
      </c>
      <c r="L367" s="1691">
        <f t="shared" si="28"/>
        <v>5875</v>
      </c>
    </row>
    <row r="368" spans="1:14" ht="13.5" thickTop="1" x14ac:dyDescent="0.2">
      <c r="A368" s="2212" t="s">
        <v>1053</v>
      </c>
      <c r="B368" s="2213"/>
      <c r="C368" s="655"/>
      <c r="D368" s="655"/>
      <c r="E368" s="627"/>
      <c r="F368" s="627"/>
      <c r="G368" s="627"/>
      <c r="H368" s="627"/>
      <c r="I368" s="627"/>
      <c r="J368" s="624"/>
      <c r="K368" s="1692">
        <f>'Revenues 9-14'!K275-'Expenditures 15-22'!K367</f>
        <v>42770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elements/1.1/"/>
    <ds:schemaRef ds:uri="d21dc803-237d-4c68-8692-8d731fd29118"/>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4d435f69-8686-490b-bd6d-b153bf22ab50"/>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2018-10-12T17:22:20Z</cp:lastPrinted>
  <dcterms:created xsi:type="dcterms:W3CDTF">2003-10-29T19:06:34Z</dcterms:created>
  <dcterms:modified xsi:type="dcterms:W3CDTF">2018-10-31T14:43:29Z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