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9" i="127" l="1"/>
  <c r="J20" i="127"/>
  <c r="J16" i="127"/>
  <c r="G39" i="3" l="1"/>
  <c r="D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7761" i="106"/>
  <c r="L127" i="29"/>
  <c r="L129" i="29" s="1"/>
  <c r="L139" i="29"/>
  <c r="L149" i="29"/>
  <c r="I7" i="145"/>
  <c r="I6" i="145"/>
  <c r="D78" i="36"/>
  <c r="K75" i="29"/>
  <c r="K130" i="29"/>
  <c r="B2805" i="106" s="1"/>
  <c r="D2805" i="106" s="1"/>
  <c r="K185" i="29"/>
  <c r="G39" i="108" s="1"/>
  <c r="K122" i="29"/>
  <c r="F15" i="145" s="1"/>
  <c r="F19" i="145" s="1"/>
  <c r="K67" i="29"/>
  <c r="K64" i="29"/>
  <c r="K59" i="29"/>
  <c r="F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K93" i="29"/>
  <c r="B6997" i="106" s="1"/>
  <c r="D6997" i="106" s="1"/>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c r="B6308" i="106"/>
  <c r="D6308" i="106" s="1"/>
  <c r="B6309" i="106"/>
  <c r="D6309" i="106" s="1"/>
  <c r="B6310" i="106"/>
  <c r="D6310" i="106" s="1"/>
  <c r="B6311" i="106"/>
  <c r="D6311" i="106" s="1"/>
  <c r="B6312" i="106"/>
  <c r="D6312" i="106" s="1"/>
  <c r="B6313" i="106"/>
  <c r="D6313" i="106"/>
  <c r="B6314" i="106"/>
  <c r="D6314" i="106" s="1"/>
  <c r="B6315" i="106"/>
  <c r="D6315" i="106"/>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s="1"/>
  <c r="B6342" i="106"/>
  <c r="D6342" i="106" s="1"/>
  <c r="B6343" i="106"/>
  <c r="D6343" i="106" s="1"/>
  <c r="B6344" i="106"/>
  <c r="D6344" i="106" s="1"/>
  <c r="B6345" i="106"/>
  <c r="D6345" i="106" s="1"/>
  <c r="B6346" i="106"/>
  <c r="D6346" i="106"/>
  <c r="B6347" i="106"/>
  <c r="D6347" i="106" s="1"/>
  <c r="B6348" i="106"/>
  <c r="D6348" i="106"/>
  <c r="B6349" i="106"/>
  <c r="D6349" i="106" s="1"/>
  <c r="B6350" i="106"/>
  <c r="D6350" i="106" s="1"/>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s="1"/>
  <c r="B6364" i="106"/>
  <c r="D6364" i="106" s="1"/>
  <c r="B6365" i="106"/>
  <c r="D6365" i="106"/>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c r="B6623" i="106"/>
  <c r="D6623" i="106" s="1"/>
  <c r="B6624" i="106"/>
  <c r="D6624" i="106" s="1"/>
  <c r="B6625" i="106"/>
  <c r="D6625" i="106" s="1"/>
  <c r="B6626" i="106"/>
  <c r="D6626" i="106"/>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c r="B6659" i="106"/>
  <c r="D6659" i="106" s="1"/>
  <c r="B6660" i="106"/>
  <c r="D6660" i="106" s="1"/>
  <c r="B6661" i="106"/>
  <c r="D6661" i="106" s="1"/>
  <c r="B6662" i="106"/>
  <c r="D6662" i="106" s="1"/>
  <c r="B6663" i="106"/>
  <c r="D6663" i="106" s="1"/>
  <c r="B6664" i="106"/>
  <c r="D6664" i="106" s="1"/>
  <c r="B6665" i="106"/>
  <c r="D6665" i="106" s="1"/>
  <c r="B6666" i="106"/>
  <c r="D6666" i="106"/>
  <c r="B6667" i="106"/>
  <c r="D6667" i="106" s="1"/>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c r="B6700" i="106"/>
  <c r="D6700" i="106" s="1"/>
  <c r="B6701" i="106"/>
  <c r="D6701" i="106"/>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c r="B6716" i="106"/>
  <c r="D6716" i="106" s="1"/>
  <c r="B6717" i="106"/>
  <c r="D6717" i="106"/>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E27" i="108"/>
  <c r="G27" i="108"/>
  <c r="F31" i="108"/>
  <c r="F36" i="108"/>
  <c r="F37" i="108"/>
  <c r="G28" i="108"/>
  <c r="D31" i="108"/>
  <c r="D36"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6" i="34"/>
  <c r="C67" i="34"/>
  <c r="D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C144" i="5"/>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s="1"/>
  <c r="D4951" i="106" s="1"/>
  <c r="C184" i="5"/>
  <c r="D184" i="5"/>
  <c r="B5425" i="106" s="1"/>
  <c r="D5425" i="106" s="1"/>
  <c r="F184" i="5"/>
  <c r="B5658" i="106" s="1"/>
  <c r="D5658" i="106" s="1"/>
  <c r="G184" i="5"/>
  <c r="B5784" i="106"/>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B2633" i="106"/>
  <c r="D2633" i="106" s="1"/>
  <c r="D7" i="118"/>
  <c r="D8" i="118"/>
  <c r="D9" i="118"/>
  <c r="H14" i="118"/>
  <c r="H19" i="118"/>
  <c r="H24" i="118"/>
  <c r="H33" i="118"/>
  <c r="D22" i="37"/>
  <c r="L22" i="37"/>
  <c r="B5752" i="106"/>
  <c r="D5752" i="106" s="1"/>
  <c r="F46" i="34" l="1"/>
  <c r="D15" i="7"/>
  <c r="B1772" i="106" s="1"/>
  <c r="D1772" i="106" s="1"/>
  <c r="F14" i="4"/>
  <c r="B2597" i="106" s="1"/>
  <c r="D2597" i="106" s="1"/>
  <c r="F71" i="34"/>
  <c r="B1746" i="106"/>
  <c r="D1746" i="106" s="1"/>
  <c r="F127" i="34"/>
  <c r="B1124" i="106"/>
  <c r="D1124" i="106" s="1"/>
  <c r="I342" i="29"/>
  <c r="B7222" i="106" s="1"/>
  <c r="D7222" i="106" s="1"/>
  <c r="B6995" i="106"/>
  <c r="D6995" i="106" s="1"/>
  <c r="F172" i="5"/>
  <c r="B5644" i="106" s="1"/>
  <c r="D5644" i="106" s="1"/>
  <c r="F67" i="34"/>
  <c r="F37" i="34"/>
  <c r="E26" i="108"/>
  <c r="B6289" i="106"/>
  <c r="D6289" i="106" s="1"/>
  <c r="G26" i="108"/>
  <c r="D24" i="37"/>
  <c r="B4270" i="106" s="1"/>
  <c r="D4270" i="106" s="1"/>
  <c r="G38" i="108"/>
  <c r="D26" i="108"/>
  <c r="D31" i="36"/>
  <c r="B1274" i="106"/>
  <c r="D1274" i="106" s="1"/>
  <c r="D17" i="7"/>
  <c r="B4104" i="106" s="1"/>
  <c r="D4104" i="106" s="1"/>
  <c r="D9" i="7"/>
  <c r="B1767" i="106" s="1"/>
  <c r="D1767" i="106" s="1"/>
  <c r="G14" i="4"/>
  <c r="B2609" i="106" s="1"/>
  <c r="D2609" i="106" s="1"/>
  <c r="B5232" i="106"/>
  <c r="D5232" i="106" s="1"/>
  <c r="F62" i="34"/>
  <c r="B7047" i="106"/>
  <c r="D7047" i="106" s="1"/>
  <c r="J41" i="3"/>
  <c r="B6216" i="106" s="1"/>
  <c r="D6216" i="106" s="1"/>
  <c r="C352" i="29"/>
  <c r="B3254" i="106"/>
  <c r="D3254" i="106" s="1"/>
  <c r="E15" i="145"/>
  <c r="G15" i="145" s="1"/>
  <c r="F106" i="34"/>
  <c r="F70" i="34"/>
  <c r="B2836" i="106"/>
  <c r="D2836" i="106" s="1"/>
  <c r="B1126" i="106"/>
  <c r="D1126" i="106" s="1"/>
  <c r="J274" i="5"/>
  <c r="B7054" i="106" s="1"/>
  <c r="D7054" i="106" s="1"/>
  <c r="F128" i="34"/>
  <c r="H342" i="29"/>
  <c r="B7221" i="106" s="1"/>
  <c r="D7221" i="106" s="1"/>
  <c r="K274" i="5"/>
  <c r="K7" i="4" s="1"/>
  <c r="B3718" i="106" s="1"/>
  <c r="D3718" i="106" s="1"/>
  <c r="F94" i="34"/>
  <c r="F42" i="34"/>
  <c r="D54" i="36"/>
  <c r="J77" i="4"/>
  <c r="B6262" i="106" s="1"/>
  <c r="D6262" i="106" s="1"/>
  <c r="K41" i="3"/>
  <c r="B3568" i="106" s="1"/>
  <c r="D3568" i="106" s="1"/>
  <c r="L15" i="11"/>
  <c r="B3459" i="106" s="1"/>
  <c r="D3459" i="106" s="1"/>
  <c r="K184" i="29"/>
  <c r="F13" i="4" s="1"/>
  <c r="B2596" i="106" s="1"/>
  <c r="D2596" i="106" s="1"/>
  <c r="G210" i="29"/>
  <c r="N22" i="3"/>
  <c r="B283" i="106" s="1"/>
  <c r="D283" i="106" s="1"/>
  <c r="D69" i="36"/>
  <c r="F19" i="7"/>
  <c r="B1807" i="106" s="1"/>
  <c r="D1807" i="106" s="1"/>
  <c r="E29" i="108"/>
  <c r="G29" i="108"/>
  <c r="E28" i="108"/>
  <c r="F28" i="108"/>
  <c r="F41" i="108" s="1"/>
  <c r="G43" i="108" s="1"/>
  <c r="D37" i="108"/>
  <c r="E30" i="108"/>
  <c r="G30" i="108"/>
  <c r="D27" i="108"/>
  <c r="F38" i="34"/>
  <c r="D11" i="7"/>
  <c r="B1768" i="106" s="1"/>
  <c r="D1768" i="106" s="1"/>
  <c r="C172" i="5"/>
  <c r="B5214" i="106" s="1"/>
  <c r="D5214" i="106" s="1"/>
  <c r="D5" i="7"/>
  <c r="B1761" i="106" s="1"/>
  <c r="D1761" i="106" s="1"/>
  <c r="D5" i="4"/>
  <c r="B3406" i="106" s="1"/>
  <c r="D3406" i="106" s="1"/>
  <c r="L367" i="29"/>
  <c r="J352" i="29"/>
  <c r="J367" i="29" s="1"/>
  <c r="B7245" i="106" s="1"/>
  <c r="D7245" i="106" s="1"/>
  <c r="J210" i="29"/>
  <c r="B7072" i="106" s="1"/>
  <c r="D7072" i="106" s="1"/>
  <c r="D12" i="7"/>
  <c r="B1769" i="106" s="1"/>
  <c r="D1769" i="106" s="1"/>
  <c r="C173" i="5"/>
  <c r="B5223" i="106" s="1"/>
  <c r="D5223" i="106" s="1"/>
  <c r="F130" i="34"/>
  <c r="D4" i="7"/>
  <c r="B1760" i="106" s="1"/>
  <c r="D1760" i="106" s="1"/>
  <c r="J22" i="37"/>
  <c r="G109" i="5"/>
  <c r="B6024" i="106" s="1"/>
  <c r="D6024" i="106" s="1"/>
  <c r="F49" i="34"/>
  <c r="D68" i="36"/>
  <c r="D7" i="7"/>
  <c r="B1763" i="106" s="1"/>
  <c r="D1763" i="106" s="1"/>
  <c r="H173" i="5"/>
  <c r="F136" i="34"/>
  <c r="L5" i="11"/>
  <c r="B2056" i="106" s="1"/>
  <c r="D2056" i="106" s="1"/>
  <c r="B5165" i="106"/>
  <c r="D5165" i="106" s="1"/>
  <c r="F50" i="34"/>
  <c r="F44" i="34"/>
  <c r="F41" i="34"/>
  <c r="F35" i="34"/>
  <c r="C342" i="29"/>
  <c r="B7216" i="106" s="1"/>
  <c r="D7216" i="106" s="1"/>
  <c r="D109" i="5"/>
  <c r="B5356" i="106" s="1"/>
  <c r="D5356" i="106" s="1"/>
  <c r="F34" i="34"/>
  <c r="H76" i="4"/>
  <c r="B3298" i="106" s="1"/>
  <c r="D3298" i="106" s="1"/>
  <c r="K285" i="29"/>
  <c r="B3724" i="106" s="1"/>
  <c r="D3724" i="106" s="1"/>
  <c r="B3647" i="106"/>
  <c r="D3647" i="106" s="1"/>
  <c r="K76" i="4"/>
  <c r="B3586" i="106" s="1"/>
  <c r="D3586" i="106" s="1"/>
  <c r="B2724" i="106"/>
  <c r="D2724" i="106" s="1"/>
  <c r="L13" i="11"/>
  <c r="B2060" i="106" s="1"/>
  <c r="D2060" i="106" s="1"/>
  <c r="F21" i="8"/>
  <c r="B4087" i="106"/>
  <c r="D4087" i="106" s="1"/>
  <c r="D11" i="37"/>
  <c r="H29" i="118"/>
  <c r="K28" i="118" s="1"/>
  <c r="O27" i="118" s="1"/>
  <c r="O29" i="118" s="1"/>
  <c r="H109" i="5"/>
  <c r="F111" i="34"/>
  <c r="F131" i="34"/>
  <c r="D13" i="7"/>
  <c r="B3726" i="106" s="1"/>
  <c r="D3726" i="106" s="1"/>
  <c r="G5" i="4"/>
  <c r="B3409" i="106" s="1"/>
  <c r="D3409" i="106" s="1"/>
  <c r="B7041" i="106"/>
  <c r="D7041" i="106" s="1"/>
  <c r="E109" i="5"/>
  <c r="E4" i="4" s="1"/>
  <c r="B2630" i="106" s="1"/>
  <c r="D2630" i="106" s="1"/>
  <c r="K173" i="5"/>
  <c r="K6" i="4" s="1"/>
  <c r="B3570" i="106" s="1"/>
  <c r="D3570" i="106" s="1"/>
  <c r="G172" i="5"/>
  <c r="C109" i="5"/>
  <c r="B5121" i="106" s="1"/>
  <c r="D5121" i="106" s="1"/>
  <c r="I173" i="5"/>
  <c r="B4216" i="106" s="1"/>
  <c r="D4216" i="106" s="1"/>
  <c r="L342" i="29"/>
  <c r="B3649" i="106"/>
  <c r="D3649" i="106" s="1"/>
  <c r="G367" i="29"/>
  <c r="B3650" i="106" s="1"/>
  <c r="D3650" i="106" s="1"/>
  <c r="K350" i="29"/>
  <c r="B1223" i="106"/>
  <c r="D1223" i="106" s="1"/>
  <c r="K24" i="12"/>
  <c r="B3621" i="106"/>
  <c r="D3621" i="106" s="1"/>
  <c r="C367" i="29"/>
  <c r="B3622" i="106" s="1"/>
  <c r="D3622" i="106" s="1"/>
  <c r="D6103" i="106"/>
  <c r="H365" i="29"/>
  <c r="I24" i="12"/>
  <c r="E174" i="29"/>
  <c r="B1309" i="106" s="1"/>
  <c r="D1309" i="106" s="1"/>
  <c r="L312"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D274" i="5" l="1"/>
  <c r="K365" i="29"/>
  <c r="B1317" i="106"/>
  <c r="D1317" i="106" s="1"/>
  <c r="H77" i="4"/>
  <c r="B3299" i="106" s="1"/>
  <c r="D3299" i="106" s="1"/>
  <c r="D7254" i="106"/>
  <c r="D7250" i="106"/>
  <c r="I6" i="4"/>
  <c r="B5011" i="106" s="1"/>
  <c r="D5011" i="106" s="1"/>
  <c r="D51" i="36"/>
  <c r="D52" i="36"/>
  <c r="B1365" i="106"/>
  <c r="D1365" i="106" s="1"/>
  <c r="F65" i="34"/>
  <c r="H275" i="5"/>
  <c r="B5915" i="106" s="1"/>
  <c r="D5915" i="106" s="1"/>
  <c r="N23" i="3"/>
  <c r="B284" i="106" s="1"/>
  <c r="D284" i="106" s="1"/>
  <c r="D41" i="108"/>
  <c r="E43" i="108" s="1"/>
  <c r="H151" i="29"/>
  <c r="B1273" i="106" s="1"/>
  <c r="D1273" i="106" s="1"/>
  <c r="C114" i="29"/>
  <c r="B757" i="106" s="1"/>
  <c r="D757" i="106" s="1"/>
  <c r="C6" i="4"/>
  <c r="B2553" i="106" s="1"/>
  <c r="D2553" i="106" s="1"/>
  <c r="B5527" i="106"/>
  <c r="D5527" i="106" s="1"/>
  <c r="G4" i="4"/>
  <c r="B2603" i="106" s="1"/>
  <c r="D2603" i="106" s="1"/>
  <c r="C4" i="4"/>
  <c r="B2551" i="106" s="1"/>
  <c r="D2551" i="106" s="1"/>
  <c r="L16" i="11"/>
  <c r="B2061" i="106" s="1"/>
  <c r="D2061" i="106" s="1"/>
  <c r="B1879" i="106"/>
  <c r="D1879" i="106" s="1"/>
  <c r="H22" i="37"/>
  <c r="D19" i="7"/>
  <c r="B1775" i="106" s="1"/>
  <c r="D1775" i="106" s="1"/>
  <c r="B3628" i="106"/>
  <c r="D3628" i="106" s="1"/>
  <c r="F274" i="5"/>
  <c r="F275" i="5" s="1"/>
  <c r="B5720" i="106" s="1"/>
  <c r="D5720" i="106" s="1"/>
  <c r="B6014" i="106"/>
  <c r="D6014" i="106" s="1"/>
  <c r="D4" i="4"/>
  <c r="B2564" i="106" s="1"/>
  <c r="D2564" i="106" s="1"/>
  <c r="L114" i="29"/>
  <c r="B7235" i="106"/>
  <c r="D7235" i="106" s="1"/>
  <c r="F73" i="34"/>
  <c r="G15" i="4"/>
  <c r="B6032" i="106" s="1"/>
  <c r="D6032" i="106" s="1"/>
  <c r="B5906" i="106"/>
  <c r="D5906" i="106" s="1"/>
  <c r="H6" i="4"/>
  <c r="B2656" i="106" s="1"/>
  <c r="D2656" i="106" s="1"/>
  <c r="K342" i="29"/>
  <c r="F13" i="34" s="1"/>
  <c r="H367" i="29"/>
  <c r="B3660" i="106" s="1"/>
  <c r="D3660" i="106" s="1"/>
  <c r="B7242" i="106"/>
  <c r="D7242" i="106" s="1"/>
  <c r="B7733" i="106"/>
  <c r="D7733" i="106" s="1"/>
  <c r="K26" i="12"/>
  <c r="B7743" i="106" s="1"/>
  <c r="D7743" i="106" s="1"/>
  <c r="G173" i="5"/>
  <c r="B5770" i="106"/>
  <c r="D5770" i="106" s="1"/>
  <c r="I26" i="12"/>
  <c r="B7741" i="106" s="1"/>
  <c r="D7741" i="106" s="1"/>
  <c r="B1996" i="106"/>
  <c r="D1996" i="106" s="1"/>
  <c r="B3670" i="106"/>
  <c r="D3670" i="106" s="1"/>
  <c r="K352" i="29"/>
  <c r="B6025" i="106"/>
  <c r="D6025" i="106" s="1"/>
  <c r="H4"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5507" i="106"/>
  <c r="D5507" i="106" s="1"/>
  <c r="B7298" i="106"/>
  <c r="B7299" i="106"/>
  <c r="B7224" i="106" l="1"/>
  <c r="D7224" i="106" s="1"/>
  <c r="B1145" i="106"/>
  <c r="D1145" i="106" s="1"/>
  <c r="J8" i="4"/>
  <c r="J10" i="4" s="1"/>
  <c r="B6225" i="106" s="1"/>
  <c r="D6225" i="106" s="1"/>
  <c r="G41" i="108"/>
  <c r="G44" i="108" s="1"/>
  <c r="G45" i="108" s="1"/>
  <c r="B5719" i="106"/>
  <c r="D5719" i="106" s="1"/>
  <c r="F24" i="37"/>
  <c r="F7" i="4"/>
  <c r="B2594" i="106" s="1"/>
  <c r="D2594" i="106" s="1"/>
  <c r="K13" i="4"/>
  <c r="B3572" i="106" s="1"/>
  <c r="D3572" i="106" s="1"/>
  <c r="B3672" i="106"/>
  <c r="D3672" i="106" s="1"/>
  <c r="K367" i="29"/>
  <c r="K368" i="29" s="1"/>
  <c r="B3681" i="106" s="1"/>
  <c r="D3681" i="106" s="1"/>
  <c r="B5778" i="106"/>
  <c r="D5778" i="106" s="1"/>
  <c r="G6" i="4"/>
  <c r="B2604" i="106" s="1"/>
  <c r="D2604" i="106"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6" i="34" l="1"/>
  <c r="J20" i="4"/>
  <c r="F8" i="4"/>
  <c r="F10" i="4" s="1"/>
  <c r="B4125" i="106" s="1"/>
  <c r="D4125" i="106" s="1"/>
  <c r="K17" i="4"/>
  <c r="B3575" i="106" s="1"/>
  <c r="D3575" i="106" s="1"/>
  <c r="B6223" i="106"/>
  <c r="D6223" i="106" s="1"/>
  <c r="D8" i="4"/>
  <c r="D10" i="4" s="1"/>
  <c r="B4123" i="106" s="1"/>
  <c r="D4123" i="106" s="1"/>
  <c r="B2595" i="106"/>
  <c r="D2595" i="106" s="1"/>
  <c r="B3678" i="106"/>
  <c r="D3678"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8" i="146"/>
  <c r="K19" i="4"/>
  <c r="B4144" i="106" s="1"/>
  <c r="D4144" i="106" s="1"/>
  <c r="D20" i="4"/>
  <c r="D78" i="4" s="1"/>
  <c r="C8" i="146"/>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8" i="146" l="1"/>
  <c r="F179" i="34"/>
  <c r="F79" i="34"/>
  <c r="B2574" i="106"/>
  <c r="D2574" i="106" s="1"/>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<sst xmlns="http://schemas.openxmlformats.org/spreadsheetml/2006/main" count="5104" uniqueCount="2149">
  <si>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</si>
  <si>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</si>
  <si>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</si>
  <si>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</si>
  <si>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</si>
  <si>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</si>
  <si>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</si>
  <si>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</si>
  <si>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</si>
  <si>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</si>
  <si>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</si>
  <si>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</si>
  <si>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</si>
  <si>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</si>
  <si>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</si>
  <si>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</si>
  <si>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</si>
  <si>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</si>
  <si>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</si>
  <si>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</si>
  <si>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</si>
  <si>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</si>
  <si>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</si>
  <si>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</si>
  <si>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</si>
  <si>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</si>
  <si>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</si>
  <si>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</si>
  <si>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</si>
  <si>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</si>
  <si>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</si>
  <si>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</si>
  <si>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</si>
  <si>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</si>
  <si>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</si>
  <si>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</si>
  <si>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</si>
  <si>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</si>
  <si>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</si>
  <si>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</si>
  <si>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</si>
  <si>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</si>
  <si>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</si>
  <si>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</si>
  <si>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</si>
  <si>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</si>
  <si>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</si>
  <si>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</si>
  <si>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</si>
  <si>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</si>
  <si>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</si>
  <si>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</si>
  <si>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</si>
  <si>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</si>
  <si>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</si>
  <si>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</si>
  <si>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</si>
  <si>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</si>
  <si>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</si>
  <si>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</si>
  <si>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</si>
  <si>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</si>
  <si>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</si>
  <si>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</si>
  <si>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</si>
  <si>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</si>
  <si>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</si>
  <si>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</si>
  <si>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</si>
  <si>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</si>
  <si>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</si>
  <si>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</si>
  <si>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</si>
  <si>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</si>
  <si>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</si>
  <si>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</si>
  <si>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</si>
  <si>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</si>
  <si>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</si>
  <si>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</si>
  <si>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</si>
  <si>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</si>
  <si>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</si>
  <si>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</si>
  <si>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</si>
  <si>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</si>
  <si>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</si>
  <si>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</si>
  <si>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</si>
  <si>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</si>
  <si>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</si>
  <si>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</si>
  <si>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</si>
  <si>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</si>
  <si>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</si>
  <si>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</si>
  <si>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</si>
  <si>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</si>
  <si>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</si>
  <si>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</si>
  <si>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</si>
  <si>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</si>
  <si>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</si>
  <si>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</si>
  <si>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</si>
  <si>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</si>
  <si>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</si>
  <si>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</si>
  <si>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</si>
  <si>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</si>
  <si>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</si>
  <si>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</si>
  <si>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</si>
  <si>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</si>
  <si>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</si>
  <si>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</si>
  <si>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</si>
  <si>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</si>
  <si>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</si>
  <si>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</si>
  <si>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</si>
  <si>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</si>
  <si>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</si>
  <si>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</si>
  <si>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</si>
  <si>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</si>
  <si>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</si>
  <si>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</si>
  <si>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</si>
  <si>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</si>
  <si>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</si>
  <si>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</si>
  <si>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</si>
  <si>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</si>
  <si>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</si>
  <si>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</si>
  <si>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</si>
  <si>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</si>
  <si>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</si>
  <si>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</si>
  <si>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</si>
  <si>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</si>
  <si>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</si>
  <si>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</si>
  <si>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</si>
  <si>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</si>
  <si>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</si>
  <si>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</si>
  <si>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</si>
  <si>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</si>
  <si>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</si>
  <si>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</si>
  <si>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</si>
  <si>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</si>
  <si>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</si>
  <si>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</si>
  <si>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</si>
  <si>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</si>
  <si>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</si>
  <si>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</si>
  <si>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</si>
  <si>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</si>
  <si>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</si>
  <si>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</si>
  <si>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</si>
  <si>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</si>
  <si>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</si>
  <si>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</si>
  <si>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</si>
  <si>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</si>
  <si>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</si>
  <si>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</si>
  <si>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</si>
  <si>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</si>
  <si>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</si>
  <si>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</si>
  <si>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</si>
  <si>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</si>
  <si>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</si>
  <si>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</si>
  <si>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</si>
  <si>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</si>
  <si>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</si>
  <si>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</si>
  <si>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</si>
  <si>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</si>
  <si>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</si>
  <si>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</si>
  <si>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</si>
  <si>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</si>
  <si>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</si>
  <si>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</si>
  <si>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</si>
  <si>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</si>
  <si>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</si>
  <si>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</si>
  <si>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</si>
  <si>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</si>
  <si>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</si>
  <si>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</si>
  <si>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</si>
  <si>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</si>
  <si>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</si>
  <si>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</si>
  <si>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</si>
  <si>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</si>
  <si>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</si>
  <si>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</si>
  <si>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</si>
  <si>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</si>
  <si>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</si>
  <si>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</si>
  <si>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</si>
  <si>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</si>
  <si>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</si>
  <si>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</si>
  <si>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</si>
  <si>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</si>
  <si>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</si>
  <si>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</si>
  <si>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</si>
  <si>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</si>
  <si>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</si>
  <si>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</si>
  <si>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</si>
  <si>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</si>
  <si>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</si>
  <si>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</si>
  <si>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</si>
  <si>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</si>
  <si>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</si>
  <si>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</si>
  <si>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</si>
  <si>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</si>
  <si>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</si>
  <si>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</si>
  <si>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</si>
  <si>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</si>
  <si>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</si>
  <si>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</si>
  <si>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</si>
  <si>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</si>
  <si>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</si>
  <si>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</si>
  <si>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</si>
  <si>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</si>
  <si>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</si>
  <si>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</si>
  <si>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</si>
  <si>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</si>
  <si>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</si>
  <si>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</si>
  <si>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</si>
  <si>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</si>
  <si>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</si>
  <si>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</si>
  <si>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</si>
  <si>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</si>
  <si>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</si>
  <si>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</si>
  <si>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</si>
  <si>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</si>
  <si>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</si>
  <si>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</si>
  <si>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</si>
  <si>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</si>
  <si>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</si>
  <si>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</si>
  <si>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</si>
  <si>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</si>
  <si>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</si>
  <si>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</si>
  <si>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</si>
  <si>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</si>
  <si>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</si>
  <si>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</si>
  <si>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</si>
  <si>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</si>
  <si>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</si>
  <si>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</si>
  <si>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</si>
  <si>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</si>
  <si>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</si>
  <si>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</si>
  <si>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</si>
  <si>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</si>
  <si>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</si>
  <si>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</si>
  <si>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</si>
  <si>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</si>
  <si>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</si>
  <si>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</si>
  <si>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</si>
  <si>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</si>
  <si>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</si>
  <si>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</si>
  <si>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</si>
  <si>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</si>
  <si>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</si>
  <si>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</si>
  <si>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</si>
  <si>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</si>
  <si>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</si>
  <si>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</si>
  <si>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</si>
  <si>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</si>
  <si>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</si>
  <si>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</si>
  <si>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</si>
  <si>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</si>
  <si>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</si>
  <si>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</si>
  <si>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</si>
  <si>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</si>
  <si>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</si>
  <si>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</si>
  <si>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</si>
  <si>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</si>
  <si>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</si>
  <si>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</si>
  <si>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</si>
  <si>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</si>
  <si>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</si>
  <si>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</si>
  <si>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</si>
  <si>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</si>
  <si>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</si>
  <si>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</si>
  <si>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</si>
  <si>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</si>
  <si>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</si>
  <si>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</si>
  <si>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</si>
  <si>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</si>
  <si>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</si>
  <si>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</si>
  <si>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</si>
  <si>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</si>
  <si>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</si>
  <si>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</si>
  <si>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</si>
  <si>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</si>
  <si>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</si>
  <si>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</si>
  <si>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</si>
  <si>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</si>
  <si>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</si>
  <si>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</si>
  <si>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</si>
  <si>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</si>
  <si>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</si>
  <si>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</si>
  <si>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</si>
  <si>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</si>
  <si>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</si>
  <si>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</si>
  <si>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</si>
  <si>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</si>
  <si>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</si>
  <si>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</si>
  <si>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</si>
  <si>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</si>
  <si>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</si>
  <si>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</si>
  <si>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</si>
  <si>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</si>
  <si>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</si>
  <si>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</si>
  <si>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</si>
  <si>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</si>
  <si>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</si>
  <si>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</si>
  <si>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</si>
  <si>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</si>
  <si>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</si>
  <si>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</si>
  <si>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</si>
  <si>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</si>
  <si>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</si>
  <si>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</si>
  <si>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</si>
  <si>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</si>
  <si>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</si>
  <si>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</si>
  <si>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</si>
  <si>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</si>
  <si>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</si>
  <si>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</si>
  <si>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</si>
  <si>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</si>
  <si>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</si>
  <si>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</si>
  <si>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</si>
  <si>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</si>
  <si>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</si>
  <si>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</si>
  <si>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</si>
  <si>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</si>
  <si>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</si>
  <si>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</si>
  <si>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</si>
  <si>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</si>
  <si>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</si>
  <si>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</si>
  <si>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</si>
  <si>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</si>
  <si>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</si>
  <si>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</si>
  <si>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</si>
  <si>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</si>
  <si>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</si>
  <si>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</si>
  <si>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</si>
  <si>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</si>
  <si>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</si>
  <si>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</si>
  <si>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</si>
  <si>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</si>
  <si>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</si>
  <si>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</si>
  <si>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</si>
  <si>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</si>
  <si>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</si>
  <si>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</si>
  <si>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</si>
  <si>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</si>
  <si>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</si>
  <si>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</si>
  <si>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</si>
  <si>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</si>
  <si>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</si>
  <si>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</si>
  <si>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</si>
  <si>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</si>
  <si>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</si>
  <si>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</si>
  <si>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</si>
  <si>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</si>
  <si>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</si>
  <si>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</si>
  <si>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</si>
  <si>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</si>
  <si>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</si>
  <si>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</si>
  <si>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</si>
  <si>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</si>
  <si>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</si>
  <si>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</si>
  <si>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</si>
  <si>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</si>
  <si>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</si>
  <si>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</si>
  <si>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</si>
  <si>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</si>
  <si>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</si>
  <si>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</si>
  <si>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</si>
  <si>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</si>
  <si>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</si>
  <si>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</si>
  <si>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</si>
  <si>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</si>
  <si>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</si>
  <si>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</si>
  <si>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</si>
  <si>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</si>
  <si>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</si>
  <si>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</si>
  <si>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</si>
  <si>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</si>
  <si>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</si>
  <si>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</si>
  <si>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</si>
  <si>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</si>
  <si>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</si>
  <si>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</si>
  <si>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</si>
  <si>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</si>
  <si>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</si>
  <si>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</si>
  <si>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</si>
  <si>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</si>
  <si>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</si>
  <si>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</si>
  <si>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</si>
  <si>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</si>
  <si>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</si>
  <si>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</si>
  <si>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</si>
  <si>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</si>
  <si>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</si>
  <si>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</si>
  <si>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</si>
  <si>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</si>
  <si>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</si>
  <si>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</si>
  <si>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</si>
  <si>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</si>
  <si>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</si>
  <si>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</si>
  <si>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</si>
  <si>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</si>
  <si>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</si>
  <si>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</si>
  <si>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</si>
  <si>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</si>
  <si>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</si>
  <si>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</si>
  <si>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</si>
  <si>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</si>
  <si>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</si>
  <si>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</si>
  <si>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</si>
  <si>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</si>
  <si>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</si>
  <si>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</si>
  <si>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</si>
  <si>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</si>
  <si>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</si>
  <si>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</si>
  <si>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</si>
  <si>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</si>
  <si>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</si>
  <si>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</si>
  <si>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</si>
  <si>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</si>
  <si>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</si>
  <si>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</si>
  <si>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</si>
  <si>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</si>
  <si>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</si>
  <si>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</si>
  <si>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</si>
  <si>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</si>
  <si>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</si>
  <si>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</si>
  <si>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</si>
  <si>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</si>
  <si>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</si>
  <si>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</si>
  <si>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</si>
  <si>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</si>
  <si>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</si>
  <si>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</si>
  <si>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</si>
  <si>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</si>
  <si>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</si>
  <si>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</si>
  <si>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</si>
  <si>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</si>
  <si>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</si>
  <si>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</si>
  <si>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</si>
  <si>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</si>
  <si>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</si>
  <si>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</si>
  <si>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</si>
  <si>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</si>
  <si>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</si>
  <si>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</si>
  <si>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</si>
  <si>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</si>
  <si>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</si>
  <si>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</si>
  <si>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</si>
  <si>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</si>
  <si>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</si>
  <si>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</si>
  <si>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</si>
  <si>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</si>
  <si>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</si>
  <si>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</si>
  <si>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</si>
  <si>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</si>
  <si>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</si>
  <si>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</si>
  <si>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</si>
  <si>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</si>
  <si>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</si>
  <si>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</si>
  <si>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</si>
  <si>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</si>
  <si>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</si>
  <si>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</si>
  <si>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</si>
  <si>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</si>
  <si>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</si>
  <si>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</si>
  <si>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</si>
  <si>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</si>
  <si>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</si>
  <si>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</si>
  <si>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</si>
  <si>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</si>
  <si>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</si>
  <si>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</si>
  <si>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</si>
  <si>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</si>
  <si>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</si>
  <si>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</si>
  <si>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</si>
  <si>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</si>
  <si>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</si>
  <si>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</si>
  <si>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</si>
  <si>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</si>
  <si>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</si>
  <si>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</si>
  <si>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</si>
  <si>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</si>
  <si>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</si>
  <si>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</si>
  <si>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</si>
  <si>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</si>
  <si>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</si>
  <si>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</si>
  <si>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</si>
  <si>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</si>
  <si>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</si>
  <si>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</si>
  <si>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</si>
  <si>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</si>
  <si>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</si>
  <si>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</si>
  <si>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</si>
  <si>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</si>
  <si>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</si>
  <si>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</si>
  <si>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</si>
  <si>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</si>
  <si>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</si>
  <si>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</si>
  <si>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</si>
  <si>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</si>
  <si>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</si>
  <si>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</si>
  <si>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</si>
  <si>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</si>
  <si>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</si>
  <si>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</si>
  <si>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</si>
  <si>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</si>
  <si>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</si>
  <si>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</si>
  <si>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</si>
  <si>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</si>
  <si>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</si>
  <si>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</si>
  <si>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</si>
  <si>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</si>
  <si>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</si>
  <si>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</si>
  <si>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</si>
  <si>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</si>
  <si>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</si>
  <si>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</si>
  <si>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</si>
  <si>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</si>
  <si>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</si>
  <si>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</si>
  <si>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</si>
  <si>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</si>
  <si>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</si>
  <si>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</si>
  <si>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</si>
  <si>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</si>
  <si>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</si>
  <si>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</si>
  <si>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</si>
  <si>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</si>
  <si>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</si>
  <si>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</si>
  <si>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</si>
  <si>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</si>
  <si>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</si>
  <si>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</si>
  <si>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</si>
  <si>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</si>
  <si>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</si>
  <si>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</si>
  <si>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</si>
  <si>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</si>
  <si>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</si>
  <si>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</si>
  <si>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</si>
  <si>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</si>
  <si>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</si>
  <si>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</si>
  <si>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</si>
  <si>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</si>
  <si>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</si>
  <si>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</si>
  <si>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</si>
  <si>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</si>
  <si>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</si>
  <si>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</si>
  <si>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</si>
  <si>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</si>
  <si>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</si>
  <si>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</si>
  <si>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</si>
  <si>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</si>
  <si>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</si>
  <si>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</si>
  <si>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</si>
  <si>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</si>
  <si>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</si>
  <si>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</si>
  <si>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</si>
  <si>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</si>
  <si>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</si>
  <si>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</si>
  <si>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</si>
  <si>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</si>
  <si>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</si>
  <si>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</si>
  <si>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</si>
  <si>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</si>
  <si>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</si>
  <si>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</si>
  <si>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</si>
  <si>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</si>
  <si>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</si>
  <si>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</si>
  <si>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</si>
  <si>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</si>
  <si>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</si>
  <si>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</si>
  <si>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</si>
  <si>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</si>
  <si>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</si>
  <si>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</si>
  <si>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</si>
  <si>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</si>
  <si>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</si>
  <si>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</si>
  <si>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</si>
  <si>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</si>
  <si>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</si>
  <si>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</si>
  <si>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</si>
  <si>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</si>
  <si>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</si>
  <si>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</si>
  <si>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</si>
  <si>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</si>
  <si>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</si>
  <si>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</si>
  <si>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</si>
  <si>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</si>
  <si>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</si>
  <si>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</si>
  <si>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</si>
  <si>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</si>
  <si>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</si>
  <si>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</si>
  <si>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</si>
  <si>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</si>
  <si>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</si>
  <si>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</si>
  <si>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</si>
  <si>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</si>
  <si>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</si>
  <si>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</si>
  <si>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</si>
  <si>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</si>
  <si>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</si>
  <si>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</si>
  <si>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</si>
  <si>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</si>
  <si>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</si>
  <si>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</si>
  <si>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</si>
  <si>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</si>
  <si>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</si>
  <si>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</si>
  <si>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</si>
  <si>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</si>
  <si>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</si>
  <si>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</si>
  <si>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</si>
  <si>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</si>
  <si>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</si>
  <si>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</si>
  <si>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</si>
  <si>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</si>
  <si>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</si>
  <si>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</si>
  <si>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</si>
  <si>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</si>
  <si>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</si>
  <si>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</si>
  <si>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</si>
  <si>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</si>
  <si>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</si>
  <si>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</si>
  <si>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</si>
  <si>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</si>
  <si>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</si>
  <si>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</si>
  <si>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</si>
  <si>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</si>
  <si>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</si>
  <si>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</si>
  <si>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</si>
  <si>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</si>
  <si>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</si>
  <si>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</si>
  <si>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</si>
  <si>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</si>
  <si>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</si>
  <si>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</si>
  <si>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</si>
  <si>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</si>
  <si>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</si>
  <si>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</si>
  <si>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</si>
  <si>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</si>
  <si>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</si>
  <si>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</si>
  <si>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</si>
  <si>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</si>
  <si>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</si>
  <si>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</si>
  <si>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</si>
  <si>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</si>
  <si>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</si>
  <si>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</si>
  <si>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</si>
  <si>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</si>
  <si>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</si>
  <si>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</si>
  <si>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</si>
  <si>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</si>
  <si>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</si>
  <si>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</si>
  <si>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</si>
  <si>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</si>
  <si>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</si>
  <si>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</si>
  <si>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</si>
  <si>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</si>
  <si>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</si>
  <si>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</si>
  <si>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</si>
  <si>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</si>
  <si>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</si>
  <si>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</si>
  <si>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</si>
  <si>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</si>
  <si>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</si>
  <si>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</si>
  <si>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</si>
  <si>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</si>
  <si>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</si>
  <si>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</si>
  <si>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</si>
  <si>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</si>
  <si>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</si>
  <si>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</si>
  <si>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</si>
  <si>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</si>
  <si>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</si>
  <si>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</si>
  <si>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</si>
  <si>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</si>
  <si>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</si>
  <si>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</si>
  <si>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</si>
  <si>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</si>
  <si>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</si>
  <si>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</si>
  <si>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</si>
  <si>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</si>
  <si>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</si>
  <si>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</si>
  <si>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</si>
  <si>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</si>
  <si>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</si>
  <si>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</si>
  <si>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</si>
  <si>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</si>
  <si>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</si>
  <si>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</si>
  <si>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</si>
  <si>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</si>
  <si>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</si>
  <si>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</si>
  <si>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</si>
  <si>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</si>
  <si>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</si>
  <si>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</si>
  <si>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</si>
  <si>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</si>
  <si>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</si>
  <si>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</si>
  <si>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</si>
  <si>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</si>
  <si>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</si>
  <si>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</si>
  <si>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</si>
  <si>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</si>
  <si>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</si>
  <si>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</si>
  <si>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</si>
  <si>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</si>
  <si>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</si>
  <si>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</si>
  <si>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</si>
  <si>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</si>
  <si>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</si>
  <si>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</si>
  <si>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</si>
  <si>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</si>
  <si>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</si>
  <si>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</si>
  <si>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</si>
  <si>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</si>
  <si>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</si>
  <si>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</si>
  <si>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</si>
  <si>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</si>
  <si>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</si>
  <si>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</si>
  <si>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</si>
  <si>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</si>
  <si>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</si>
  <si>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</si>
  <si>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</si>
  <si>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</si>
  <si>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</si>
  <si>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</si>
  <si>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</si>
  <si>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</si>
  <si>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</si>
  <si>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</si>
  <si>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</si>
  <si>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</si>
  <si>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</si>
  <si>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</si>
  <si>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</si>
  <si>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</si>
  <si>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</si>
  <si>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</si>
  <si>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</si>
  <si>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</si>
  <si>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</si>
  <si>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</si>
  <si>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</si>
  <si>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</si>
  <si>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</si>
  <si>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</si>
  <si>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</si>
  <si>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</si>
  <si>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</si>
  <si>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</si>
  <si>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</si>
  <si>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</si>
  <si>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</si>
  <si>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</si>
  <si>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</si>
  <si>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</si>
  <si>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</si>
  <si>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</si>
  <si>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</si>
  <si>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</si>
  <si>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</si>
  <si>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</si>
  <si>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</si>
  <si>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</si>
  <si>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</si>
  <si>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</si>
  <si>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</si>
  <si>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</si>
  <si>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</si>
  <si>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</si>
  <si>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</si>
  <si>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</si>
  <si>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</si>
  <si>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</si>
  <si>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</si>
  <si>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</si>
  <si>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</si>
  <si>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</si>
  <si>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</si>
  <si>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</si>
  <si>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</si>
  <si>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</si>
  <si>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</si>
  <si>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</si>
  <si>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</si>
  <si>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</si>
  <si>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</si>
  <si>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</si>
  <si>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</si>
  <si>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</si>
  <si>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</si>
  <si>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</si>
  <si>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</si>
  <si>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</si>
  <si>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</si>
  <si>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</si>
  <si>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</si>
  <si>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</si>
  <si>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</si>
  <si>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</si>
  <si>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</si>
  <si>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</si>
  <si>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</si>
  <si>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</si>
  <si>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</si>
  <si>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</si>
  <si>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</si>
  <si>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</si>
  <si>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</si>
  <si>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</si>
  <si>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</si>
  <si>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</si>
  <si>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</si>
  <si>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</si>
  <si>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</si>
  <si>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</si>
  <si>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</si>
  <si>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</si>
  <si>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</si>
  <si>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</si>
  <si>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</si>
  <si>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</si>
  <si>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</si>
  <si>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</si>
  <si>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</si>
  <si>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</si>
  <si>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</si>
  <si>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</si>
  <si>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</si>
  <si>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</si>
  <si>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</si>
  <si>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</si>
  <si>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</si>
  <si>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</si>
  <si>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</si>
  <si>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</si>
  <si>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</si>
  <si>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</si>
  <si>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</si>
  <si>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</si>
  <si>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</si>
  <si>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</si>
  <si>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</si>
  <si>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</si>
  <si>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</si>
  <si>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</si>
  <si>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</si>
  <si>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</si>
  <si>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</si>
  <si>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</si>
  <si>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</si>
  <si>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</si>
  <si>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</si>
  <si>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</si>
  <si>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</si>
  <si>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</si>
  <si>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</si>
  <si>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</si>
  <si>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</si>
  <si>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</si>
  <si>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</si>
  <si>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</si>
  <si>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</si>
  <si>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</si>
  <si>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</si>
  <si>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</si>
  <si>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</si>
  <si>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</si>
  <si>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</si>
  <si>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</si>
  <si>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</si>
  <si>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</si>
  <si>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</si>
  <si>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</si>
  <si>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</si>
  <si>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</si>
  <si>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</si>
  <si>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</si>
  <si>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</si>
  <si>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</si>
  <si>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</si>
  <si>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</si>
  <si>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</si>
  <si>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</si>
  <si>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</si>
  <si>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</si>
  <si>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</si>
  <si>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</si>
  <si>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</si>
  <si>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</si>
  <si>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</si>
  <si>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</si>
  <si>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</si>
  <si>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</si>
  <si>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</si>
  <si>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</si>
  <si>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</si>
  <si>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</si>
  <si>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</si>
  <si>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</si>
  <si>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</si>
  <si>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</si>
  <si>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</si>
  <si>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</si>
  <si>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</si>
  <si>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</si>
  <si>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</si>
  <si>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</si>
  <si>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</si>
  <si>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</si>
  <si>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</si>
  <si>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</si>
  <si>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</si>
  <si>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</si>
  <si>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</si>
  <si>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</si>
  <si>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</si>
  <si>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</si>
  <si>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</si>
  <si>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</si>
  <si>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</si>
  <si>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</si>
  <si>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</si>
  <si>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</si>
  <si>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</si>
  <si>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</si>
  <si>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</si>
  <si>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</si>
  <si>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</si>
  <si>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</si>
  <si>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</si>
  <si>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</si>
  <si>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</si>
  <si>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</si>
  <si>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</si>
  <si>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</si>
  <si>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</si>
  <si>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</si>
  <si>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</si>
  <si>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</si>
  <si>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</si>
  <si>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</si>
  <si>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</si>
  <si>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</si>
  <si>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</si>
  <si>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</si>
  <si>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</si>
  <si>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</si>
  <si>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</si>
  <si>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</si>
  <si>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</si>
  <si>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</si>
  <si>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</si>
  <si>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</si>
  <si>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</si>
  <si>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</si>
  <si>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</si>
  <si>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</si>
  <si>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</si>
  <si>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</si>
  <si>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</si>
  <si>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</si>
  <si>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</si>
  <si>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</si>
  <si>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</si>
  <si>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</si>
  <si>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</si>
  <si>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</si>
  <si>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</si>
  <si>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</si>
  <si>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</si>
  <si>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</si>
  <si>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</si>
  <si>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</si>
  <si>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</si>
  <si>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</si>
  <si>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</si>
  <si>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</si>
  <si>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</si>
  <si>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</si>
  <si>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</si>
  <si>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</si>
  <si>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</si>
  <si>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</si>
  <si>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</si>
  <si>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</si>
  <si>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</si>
  <si>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</si>
  <si>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</si>
  <si>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</si>
  <si>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</si>
  <si>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</si>
  <si>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</si>
  <si>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</si>
  <si>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</si>
  <si>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</si>
  <si>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</si>
  <si>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</si>
  <si>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</si>
  <si>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</si>
  <si>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</si>
  <si>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</si>
  <si>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</si>
  <si>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</si>
  <si>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</si>
  <si>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</si>
  <si>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</si>
  <si>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</si>
  <si>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</si>
  <si>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</si>
  <si>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</si>
  <si>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</si>
  <si>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</si>
  <si>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</si>
  <si>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</si>
  <si>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</si>
  <si>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</si>
  <si>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</si>
  <si>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</si>
  <si>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</si>
  <si>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</si>
  <si>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</si>
  <si>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</si>
  <si>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</si>
  <si>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</si>
  <si>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</si>
  <si>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</si>
  <si>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</si>
  <si>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</si>
  <si>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</si>
  <si>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</si>
  <si>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</si>
  <si>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</si>
  <si>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</si>
  <si>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</si>
  <si>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</si>
  <si>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</si>
  <si>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</si>
  <si>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</si>
  <si>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</si>
  <si>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</si>
  <si>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</si>
  <si>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</si>
  <si>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</si>
  <si>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</si>
  <si>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</si>
  <si>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</si>
  <si>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</si>
  <si>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</si>
  <si>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</si>
  <si>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</si>
  <si>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</si>
  <si>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</si>
  <si>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</si>
  <si>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</si>
  <si>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</si>
  <si>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</si>
  <si>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</si>
  <si>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</si>
  <si>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</si>
  <si>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</si>
  <si>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</si>
  <si>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</si>
  <si>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</si>
  <si>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</si>
  <si>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</si>
  <si>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</si>
  <si>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</si>
  <si>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</si>
  <si>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</si>
  <si>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</si>
  <si>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</si>
  <si>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</si>
  <si>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</si>
  <si>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</si>
  <si>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</si>
  <si>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</si>
  <si>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</si>
  <si>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</si>
  <si>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</si>
  <si>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</si>
  <si>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</si>
  <si>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</si>
  <si>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</si>
  <si>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</si>
  <si>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</si>
  <si>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</si>
  <si>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</si>
  <si>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</si>
  <si>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</si>
  <si>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</si>
  <si>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</si>
  <si>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</si>
  <si>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</si>
  <si>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</si>
  <si>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</si>
  <si>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</si>
  <si>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</si>
  <si>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</si>
  <si>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</si>
  <si>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</si>
  <si>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</si>
  <si>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</si>
  <si>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</si>
  <si>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</si>
  <si>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</si>
  <si>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</si>
  <si>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</si>
  <si>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</si>
  <si>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</si>
  <si>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</si>
  <si>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</si>
  <si>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</si>
  <si>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</si>
  <si>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</si>
  <si>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</si>
  <si>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</si>
  <si>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</si>
  <si>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</si>
  <si>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</si>
  <si>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</si>
  <si>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</si>
  <si>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</si>
  <si>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</si>
  <si>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</si>
  <si>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</si>
  <si>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</si>
  <si>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</si>
  <si>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</si>
  <si>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</si>
  <si>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</si>
  <si>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</si>
  <si>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</si>
  <si>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</si>
  <si>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</si>
  <si>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</si>
  <si>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</si>
  <si>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</si>
  <si>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</si>
  <si>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</si>
  <si>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</si>
  <si>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</si>
  <si>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</si>
  <si>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</si>
  <si>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</si>
  <si>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</si>
  <si>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</si>
  <si>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</si>
  <si>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</si>
  <si>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</si>
  <si>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</si>
  <si>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</si>
  <si>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</si>
  <si>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</si>
  <si>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</si>
  <si>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</si>
  <si>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</si>
  <si>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</si>
  <si>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</si>
  <si>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</si>
  <si>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</si>
  <si>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</si>
  <si>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</si>
  <si>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</si>
  <si>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</si>
  <si>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</si>
  <si>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</si>
  <si>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</si>
  <si>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</si>
  <si>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</si>
  <si>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</si>
  <si>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</si>
  <si>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</si>
  <si>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</si>
  <si>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</si>
  <si>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</si>
  <si>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</si>
  <si>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</si>
  <si>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</si>
  <si>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</si>
  <si>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</si>
  <si>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</si>
  <si>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</si>
  <si>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</si>
  <si>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</si>
  <si>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</si>
  <si>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</si>
  <si>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</si>
  <si>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</si>
  <si>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</si>
  <si>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</si>
  <si>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</si>
  <si>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</si>
  <si>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</si>
  <si>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</si>
  <si>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</si>
  <si>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</si>
  <si>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</si>
  <si>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</si>
  <si>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</si>
  <si>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</si>
  <si>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</si>
  <si>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</si>
  <si>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</si>
  <si>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</si>
  <si>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</si>
  <si>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</si>
  <si>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</si>
  <si>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</si>
  <si>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</si>
  <si>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</si>
  <si>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</si>
  <si>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</si>
  <si>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</si>
  <si>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</si>
  <si>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</si>
  <si>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</si>
  <si>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</si>
  <si>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</si>
  <si>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</si>
  <si>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</si>
  <si>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</si>
  <si>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</si>
  <si>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</si>
  <si>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</si>
  <si>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</si>
  <si>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</si>
  <si>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</si>
  <si>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</si>
  <si>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</si>
  <si>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</si>
  <si>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</si>
  <si>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</si>
  <si>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</si>
  <si>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</si>
  <si>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</si>
  <si>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</si>
  <si>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</si>
  <si>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</si>
  <si>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</si>
  <si>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</si>
  <si>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</si>
  <si>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</si>
  <si>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</si>
  <si>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</si>
  <si>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</si>
  <si>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</si>
  <si>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</si>
  <si>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</si>
  <si>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</si>
  <si>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</si>
  <si>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</si>
  <si>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</si>
  <si>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</si>
  <si>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</si>
  <si>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</si>
  <si>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</si>
  <si>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</si>
  <si>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</si>
  <si>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</si>
  <si>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</si>
  <si>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</si>
  <si>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</si>
  <si>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</si>
  <si>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</si>
  <si>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</si>
  <si>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</si>
  <si>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</si>
  <si>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</si>
  <si>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</si>
  <si>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</si>
  <si>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</si>
  <si>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</si>
  <si>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</si>
  <si>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</si>
  <si>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</si>
  <si>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</si>
  <si>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</si>
  <si>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</si>
  <si>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</si>
  <si>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</si>
  <si>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</si>
  <si>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</si>
  <si>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</si>
  <si>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</si>
  <si>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</si>
  <si>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</si>
  <si>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</si>
  <si>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</si>
  <si>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</si>
  <si>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</si>
  <si>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</si>
  <si>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</si>
  <si>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</si>
  <si>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</si>
  <si>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</si>
  <si>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</si>
  <si>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</si>
  <si>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</si>
  <si>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</si>
  <si>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</si>
  <si>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</si>
  <si>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</si>
  <si>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</si>
  <si>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</si>
  <si>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</si>
  <si>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</si>
  <si>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</si>
  <si>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</si>
  <si>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</si>
  <si>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</si>
  <si>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</si>
  <si>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</si>
  <si>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</si>
  <si>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</si>
  <si>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</si>
  <si>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</si>
  <si>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</si>
  <si>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</si>
  <si>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</si>
  <si>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</si>
  <si>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</si>
  <si>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</si>
  <si>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</si>
  <si>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</si>
  <si>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</si>
  <si>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</si>
  <si>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</si>
  <si>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</si>
  <si>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</si>
  <si>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</si>
  <si>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</si>
  <si>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</si>
  <si>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</si>
  <si>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</si>
  <si>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</si>
  <si>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</si>
  <si>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</si>
  <si>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</si>
  <si>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</si>
  <si>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</si>
  <si>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</si>
  <si>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</si>
  <si>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</si>
  <si>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</si>
  <si>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</si>
  <si>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</si>
  <si>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</si>
  <si>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</si>
  <si>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</si>
  <si>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</si>
  <si>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</si>
  <si>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</si>
  <si>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</si>
  <si>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</si>
  <si>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</si>
  <si>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</si>
  <si>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</si>
  <si>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</si>
  <si>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</si>
  <si>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</si>
  <si>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</si>
  <si>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</si>
  <si>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</si>
  <si>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</si>
  <si>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</si>
  <si>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</si>
  <si>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</si>
  <si>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</si>
  <si>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</si>
  <si>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</si>
  <si>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</si>
  <si>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</si>
  <si>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</si>
  <si>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</si>
  <si>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</si>
  <si>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</si>
  <si>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</si>
  <si>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</si>
  <si>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</si>
  <si>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</si>
  <si>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</si>
  <si>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</si>
  <si>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</si>
  <si>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</si>
  <si>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</si>
  <si>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</si>
  <si>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</si>
  <si>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</si>
  <si>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</si>
  <si>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</si>
  <si>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</si>
  <si>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</si>
  <si>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</si>
  <si>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</si>
  <si>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</si>
  <si>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</si>
  <si>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</si>
  <si>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</si>
  <si>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</si>
  <si>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</si>
  <si>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</si>
  <si>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</si>
  <si>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</si>
  <si>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</si>
  <si>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</si>
  <si>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</si>
  <si>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</si>
  <si>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</si>
  <si>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</si>
  <si>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</si>
  <si>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</si>
  <si>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</si>
  <si>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</si>
  <si>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</si>
  <si>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</si>
  <si>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</si>
  <si>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</si>
  <si>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</si>
  <si>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</si>
  <si>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</si>
  <si>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</si>
  <si>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</si>
  <si>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</si>
  <si>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</si>
  <si>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</si>
  <si>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</si>
  <si>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</si>
  <si>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</si>
  <si>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</si>
  <si>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</si>
  <si>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</si>
  <si>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</si>
  <si>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</si>
  <si>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</si>
  <si>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</si>
  <si>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</si>
  <si>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</si>
  <si>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</si>
  <si>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</si>
  <si>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</si>
  <si>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</si>
  <si>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</si>
  <si>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</si>
  <si>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</si>
  <si>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</si>
  <si>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</si>
  <si>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</si>
  <si>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</si>
  <si>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</si>
  <si>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</si>
  <si>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</si>
  <si>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</si>
  <si>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</si>
  <si>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</si>
  <si>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</si>
  <si>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</si>
  <si>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</si>
  <si>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</si>
  <si>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</si>
  <si>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</si>
  <si>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</si>
  <si>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</si>
  <si>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</si>
  <si>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</si>
  <si>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</si>
  <si>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</si>
  <si>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</si>
  <si>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</si>
  <si>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</si>
  <si>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</si>
  <si>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</si>
  <si>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</si>
  <si>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</si>
  <si>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</si>
  <si>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</si>
  <si>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</si>
  <si>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</si>
  <si>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</si>
  <si>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</si>
  <si>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</si>
  <si>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</si>
  <si>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</si>
  <si>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</si>
  <si>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</si>
  <si>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</si>
  <si>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</si>
  <si>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</si>
  <si>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</si>
  <si>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</si>
  <si>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</si>
  <si>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</si>
  <si>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</si>
  <si>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</si>
  <si>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</si>
  <si>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</si>
  <si>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</si>
  <si>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</si>
  <si>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</si>
  <si>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</si>
  <si>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</si>
  <si>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</si>
  <si>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</si>
  <si>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</si>
  <si>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</si>
  <si>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</si>
  <si>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</si>
  <si>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</si>
  <si>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</si>
  <si>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</si>
  <si>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</si>
  <si>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</si>
  <si>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</si>
  <si>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</si>
  <si>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</si>
  <si>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</si>
  <si>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</si>
  <si>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</si>
  <si>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</si>
  <si>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</si>
  <si>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</si>
  <si>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</si>
  <si>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</si>
  <si>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</si>
  <si>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</si>
  <si>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</si>
  <si>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</si>
  <si>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</si>
  <si>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</si>
  <si>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</si>
  <si>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</si>
  <si>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</si>
  <si>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</si>
  <si>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</si>
  <si>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</si>
  <si>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</si>
  <si>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</si>
  <si>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</si>
  <si>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</si>
  <si>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</si>
  <si>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</si>
  <si>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</si>
  <si>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</si>
  <si>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</si>
  <si>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</si>
  <si>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</si>
  <si>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</si>
  <si>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</si>
  <si>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</si>
  <si>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</si>
  <si>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</si>
  <si>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</si>
  <si>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</si>
  <si>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</si>
  <si>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</si>
  <si>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</si>
  <si>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</si>
  <si>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</si>
  <si>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</si>
  <si>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</si>
  <si>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</si>
  <si>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</si>
  <si>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</si>
  <si>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</si>
  <si>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</si>
  <si>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</si>
  <si>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</si>
  <si>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</si>
  <si>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</si>
  <si>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</si>
  <si>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</si>
  <si>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</si>
  <si>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</si>
  <si>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</si>
  <si>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</si>
  <si>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</si>
  <si>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</si>
  <si>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</si>
  <si>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</si>
  <si>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</si>
  <si>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</si>
  <si>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</si>
  <si>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</si>
  <si>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</si>
  <si>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</si>
  <si>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</si>
  <si>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</si>
  <si>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</si>
  <si>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</si>
  <si>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</si>
  <si>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</si>
  <si>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</si>
  <si>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</si>
  <si>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</si>
  <si>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</si>
  <si>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</si>
  <si>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</si>
  <si>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</si>
  <si>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</si>
  <si>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</si>
  <si>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</si>
  <si>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</si>
  <si>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</si>
  <si>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</si>
  <si>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</si>
  <si>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</si>
  <si>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</si>
  <si>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</si>
  <si>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</si>
  <si>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</si>
  <si>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</si>
  <si>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</si>
  <si>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</si>
  <si>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</si>
  <si>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</si>
  <si>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</si>
  <si>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</si>
  <si>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</si>
  <si>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</si>
  <si>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</si>
  <si>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</si>
  <si>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</si>
  <si>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</si>
  <si>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</si>
  <si>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</si>
  <si>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</si>
  <si>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</si>
  <si>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</si>
  <si>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</si>
  <si>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</si>
  <si>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</si>
  <si>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</si>
  <si>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</si>
  <si>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</si>
  <si>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</si>
  <si>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</si>
  <si>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</si>
  <si>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</si>
  <si>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</si>
  <si>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</si>
  <si>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</si>
  <si>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</si>
  <si>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</si>
  <si>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</si>
  <si>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</si>
  <si>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</si>
  <si>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</si>
  <si>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</si>
  <si>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</si>
  <si>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</si>
  <si>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</si>
  <si>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</si>
  <si>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</si>
  <si>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</si>
  <si>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</si>
  <si>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</si>
  <si>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</si>
  <si>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</si>
  <si>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</si>
  <si>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</si>
  <si>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</si>
  <si>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</si>
  <si>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</si>
  <si>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</si>
  <si>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</si>
  <si>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</si>
  <si>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</si>
  <si>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</si>
  <si>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</si>
  <si>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</si>
  <si>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</si>
  <si>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</si>
  <si>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</si>
  <si>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</si>
  <si>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</si>
  <si>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</si>
  <si>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</si>
  <si>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</si>
  <si>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</si>
  <si>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</si>
  <si>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</si>
  <si>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</si>
  <si>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</si>
  <si>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</si>
  <si>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</si>
  <si>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</si>
  <si>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</si>
  <si>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</si>
  <si>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</si>
  <si>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</si>
  <si>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</si>
  <si>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</si>
  <si>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</si>
  <si>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</si>
  <si>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</si>
  <si>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</si>
  <si>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</si>
  <si>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</si>
  <si>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</si>
  <si>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</si>
  <si>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</si>
  <si>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</si>
  <si>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</si>
  <si>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</si>
  <si>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</si>
  <si>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</si>
  <si>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</si>
  <si>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</si>
  <si>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</si>
  <si>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</si>
  <si>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</si>
  <si>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</si>
  <si>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</si>
  <si>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</si>
  <si>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</si>
  <si>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</si>
  <si>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</si>
  <si>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</si>
  <si>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</si>
  <si>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</si>
  <si>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</si>
  <si>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</si>
  <si>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</si>
  <si>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</si>
  <si>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</si>
  <si>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</si>
  <si>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</si>
  <si>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</si>
  <si>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</si>
  <si>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</si>
  <si>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</si>
  <si>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</si>
  <si>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</si>
  <si>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</si>
  <si>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</si>
  <si>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</si>
  <si>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</si>
  <si>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</si>
  <si>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</si>
  <si>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</si>
  <si>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</si>
  <si>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</si>
  <si>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</si>
  <si>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</si>
  <si>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</si>
  <si>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</si>
  <si>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</si>
  <si>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</si>
  <si>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</si>
  <si>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</si>
  <si>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</si>
  <si>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</si>
  <si>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</si>
  <si>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</si>
  <si>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</si>
  <si>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</si>
  <si>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</si>
  <si>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</si>
  <si>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</si>
  <si>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</si>
  <si>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</si>
  <si>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</si>
  <si>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</si>
  <si>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</si>
  <si>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</si>
  <si>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</si>
  <si>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</si>
  <si>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</si>
  <si>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</si>
  <si>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</si>
  <si>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</si>
  <si>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</si>
  <si>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</si>
  <si>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</si>
  <si>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</si>
  <si>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</si>
  <si>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</si>
  <si>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</si>
  <si>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</si>
  <si>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</si>
  <si>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</si>
  <si>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</si>
  <si>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</si>
  <si>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</si>
  <si>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</si>
  <si>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</si>
  <si>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</si>
  <si>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</si>
  <si>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</si>
  <si>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</si>
  <si>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</si>
  <si>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</si>
  <si>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</si>
  <si>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</si>
  <si>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</si>
  <si>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</si>
  <si>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</si>
  <si>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</si>
  <si>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</si>
  <si>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</si>
  <si>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</si>
  <si>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</si>
  <si>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</si>
  <si>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</si>
  <si>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</si>
  <si>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</si>
  <si>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</si>
  <si>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</si>
  <si>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</si>
  <si>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</si>
  <si>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</si>
  <si>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</si>
  <si>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</si>
  <si>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</si>
  <si>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</si>
  <si>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</si>
  <si>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</si>
  <si>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</si>
  <si>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</si>
  <si>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</si>
  <si>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</si>
  <si>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</si>
  <si>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</si>
  <si>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</si>
  <si>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</si>
  <si>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</si>
  <si>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</si>
  <si>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</si>
  <si>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</si>
  <si>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</si>
  <si>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</si>
  <si>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</si>
  <si>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</si>
  <si>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</si>
  <si>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</si>
  <si>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</si>
  <si>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</si>
  <si>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</si>
  <si>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</si>
  <si>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</si>
  <si>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</si>
  <si>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</si>
  <si>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</si>
  <si>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</si>
  <si>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</si>
  <si>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</si>
  <si>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</si>
  <si>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</si>
  <si>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</si>
  <si>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</si>
  <si>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</si>
  <si>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</si>
  <si>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</si>
  <si>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</si>
  <si>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</si>
  <si>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</si>
  <si>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</si>
  <si>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</si>
  <si>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</si>
  <si>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</si>
  <si>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</si>
  <si>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</si>
  <si>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</si>
  <si>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</si>
  <si>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</si>
  <si>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</si>
  <si>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</si>
  <si>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</si>
  <si>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</si>
  <si>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</si>
  <si>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</si>
  <si>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</si>
  <si>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222 EAST MAIN STREET</t>
  </si>
  <si>
    <t>BELLEVILLE</t>
  </si>
  <si>
    <t>IL</t>
  </si>
  <si>
    <t>618-277-8100</t>
  </si>
  <si>
    <t>618-277-9307</t>
  </si>
  <si>
    <t>065-023476</t>
  </si>
  <si>
    <t>brian.otten@scheffelboyle.com</t>
  </si>
  <si>
    <t>618-825-3900</t>
  </si>
  <si>
    <t>618-825-3999</t>
  </si>
  <si>
    <t>GREGORY A. FRERKING</t>
  </si>
  <si>
    <t>frerking@fchs77.org</t>
  </si>
  <si>
    <t>618-539-5533</t>
  </si>
  <si>
    <t>SCHEFFEL BOYLE</t>
  </si>
  <si>
    <t>GO Bond Fire Prevention &amp; Safety</t>
  </si>
  <si>
    <t>GO School Bond &amp; Refunding</t>
  </si>
  <si>
    <t>x</t>
  </si>
  <si>
    <t>Smithton School District No. 130</t>
  </si>
  <si>
    <t>Egyptian Area Schools Employee Benefit Trust</t>
  </si>
  <si>
    <t>Belleville Area Special Services Coop</t>
  </si>
  <si>
    <t>Freeburg School District No. 70</t>
  </si>
  <si>
    <t>Career Center of Southern Illinois</t>
  </si>
  <si>
    <t>2017 GO School Refunding Bond</t>
  </si>
  <si>
    <t>2018 GO Working Cash Bond</t>
  </si>
  <si>
    <t>Page #</t>
  </si>
  <si>
    <t>Athletic Fees</t>
  </si>
  <si>
    <t>Lab Fees</t>
  </si>
  <si>
    <t>Chromebook Insurance</t>
  </si>
  <si>
    <t>Transcripts</t>
  </si>
  <si>
    <t>Operation &amp; Maint.</t>
  </si>
  <si>
    <t>Graduation Supplies</t>
  </si>
  <si>
    <t>Bond Fees</t>
  </si>
  <si>
    <t>----</t>
  </si>
  <si>
    <t>Schedule of LT Debt</t>
  </si>
  <si>
    <t>Payment of Bond with Bond issue</t>
  </si>
  <si>
    <t>2007 Bond refund</t>
  </si>
  <si>
    <t>2017 Bond Issuance cost</t>
  </si>
  <si>
    <t>2018 Bond issuance cost</t>
  </si>
  <si>
    <t>Parking Revenue</t>
  </si>
  <si>
    <t>10-2560-300</t>
  </si>
  <si>
    <t>OPAA</t>
  </si>
  <si>
    <t>ED-Food Svcs.-Purchased Svcs.</t>
  </si>
  <si>
    <t>10-1000-300</t>
  </si>
  <si>
    <t>ATI Holdings</t>
  </si>
  <si>
    <t>ED-Instruction-Purchased Svcs.</t>
  </si>
  <si>
    <t>GO Solutions Inc.</t>
  </si>
  <si>
    <t>ED-Instruction-Other</t>
  </si>
  <si>
    <t>ED-General Admin.-Purchased Svcs.</t>
  </si>
  <si>
    <t>10-2300-300</t>
  </si>
  <si>
    <t>Moore &amp; Simonin PC</t>
  </si>
  <si>
    <t>ST. CLAIR</t>
  </si>
  <si>
    <t>BRIAN A. OTTEN</t>
  </si>
  <si>
    <t>401 SOUTH MONROE STREET</t>
  </si>
  <si>
    <t>618-539-4887</t>
  </si>
  <si>
    <t>SUSAN SARFATY</t>
  </si>
  <si>
    <t>SSARFATY@STCLAIR.K12IL.US</t>
  </si>
  <si>
    <t>Refunds and Reimbursements</t>
  </si>
  <si>
    <t>Refunds and Insurance Proceeds</t>
  </si>
  <si>
    <t>Reimbursements</t>
  </si>
  <si>
    <t>Insurance Refund</t>
  </si>
  <si>
    <t>Fee Refund</t>
  </si>
  <si>
    <t>Mobile Home Tax</t>
  </si>
  <si>
    <t>General Obligation Purchase Contract- Technology</t>
  </si>
  <si>
    <t>Municipal Equipment Purchase Contract- Technology</t>
  </si>
  <si>
    <t>G. O. Purchase Contract Technology</t>
  </si>
  <si>
    <t>Municipal Purchase Contract Technology</t>
  </si>
  <si>
    <t>Payments GO Contract for Tech</t>
  </si>
  <si>
    <t>Payments Muni Lease for Tech</t>
  </si>
  <si>
    <t>Operations and Maintenance</t>
  </si>
  <si>
    <t>Muni Lease for Tech</t>
  </si>
  <si>
    <t xml:space="preserve">FREEBURG </t>
  </si>
  <si>
    <t>Freeburg CHSD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</si>
</sst>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11"/>
      <name val="Arial"/>
    </font>
    <font>
      <sz val="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4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37" fillId="0" borderId="0"/>
    <xf numFmtId="43" fontId="13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138" fillId="0" borderId="0"/>
    <xf numFmtId="0" fontId="1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2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center" vertical="top"/>
    </xf>
    <xf numFmtId="0" fontId="8" fillId="0" borderId="0" xfId="3" applyFont="1" applyBorder="1" applyAlignment="1">
      <alignment horizontal="center" vertical="center"/>
    </xf>
    <xf numFmtId="0" fontId="8" fillId="0" borderId="0" xfId="3" applyFont="1" applyBorder="1" applyAlignment="1">
      <alignment horizont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0" fillId="0" borderId="0" xfId="0"/>
    <xf numFmtId="0" fontId="55" fillId="0" borderId="0" xfId="0" applyFont="1"/>
    <xf numFmtId="0" fontId="8" fillId="0" borderId="0" xfId="3"/>
    <xf numFmtId="181" fontId="55" fillId="0" borderId="166" xfId="19" applyNumberFormat="1" applyFont="1" applyBorder="1"/>
    <xf numFmtId="182" fontId="55" fillId="0" borderId="0" xfId="1" applyNumberFormat="1" applyFont="1"/>
    <xf numFmtId="0" fontId="55" fillId="0" borderId="0" xfId="0" applyFont="1" applyAlignment="1">
      <alignment horizontal="center"/>
    </xf>
    <xf numFmtId="181" fontId="55" fillId="0" borderId="0" xfId="19" applyNumberFormat="1" applyFont="1"/>
    <xf numFmtId="0" fontId="8" fillId="0" borderId="78" xfId="3" applyFont="1" applyBorder="1" applyAlignment="1">
      <alignment horizontal="center"/>
    </xf>
    <xf numFmtId="0" fontId="8" fillId="0" borderId="0" xfId="3" quotePrefix="1" applyFont="1" applyAlignment="1">
      <alignment horizontal="center"/>
    </xf>
    <xf numFmtId="0" fontId="73" fillId="0" borderId="0" xfId="0" applyFont="1"/>
    <xf numFmtId="181" fontId="55" fillId="0" borderId="0" xfId="19" applyNumberFormat="1" applyFont="1" applyBorder="1"/>
    <xf numFmtId="42" fontId="55" fillId="0" borderId="0" xfId="1"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40">
    <cellStyle name="Comma" xfId="1" builtinId="3"/>
    <cellStyle name="Comma 2" xfId="26"/>
    <cellStyle name="Comma 3" xfId="27"/>
    <cellStyle name="Currency" xfId="19" builtinId="4"/>
    <cellStyle name="Currency 2" xfId="28"/>
    <cellStyle name="Hyperlink" xfId="2" builtinId="8"/>
    <cellStyle name="Hyperlink 2" xfId="15"/>
    <cellStyle name="Normal" xfId="0" builtinId="0"/>
    <cellStyle name="Normal 2" xfId="3"/>
    <cellStyle name="Normal 3" xfId="4"/>
    <cellStyle name="Normal 3 2" xfId="14"/>
    <cellStyle name="Normal 3 2 2" xfId="18"/>
    <cellStyle name="Normal 3 2 2 2" xfId="36"/>
    <cellStyle name="Normal 3 2 2 3" xfId="24"/>
    <cellStyle name="Normal 3 2 3" xfId="30"/>
    <cellStyle name="Normal 3 2 3 2" xfId="38"/>
    <cellStyle name="Normal 3 2 4" xfId="33"/>
    <cellStyle name="Normal 3 2 5" xfId="21"/>
    <cellStyle name="Normal 3 3" xfId="29"/>
    <cellStyle name="Normal 3 3 2" xfId="37"/>
    <cellStyle name="Normal 3 4" xfId="32"/>
    <cellStyle name="Normal 3 5" xfId="20"/>
    <cellStyle name="Normal 4" xfId="16"/>
    <cellStyle name="Normal 4 2" xfId="31"/>
    <cellStyle name="Normal 4 2 2" xfId="39"/>
    <cellStyle name="Normal 4 3" xfId="34"/>
    <cellStyle name="Normal 4 4" xfId="22"/>
    <cellStyle name="Normal 5" xfId="17"/>
    <cellStyle name="Normal 5 2" xfId="35"/>
    <cellStyle name="Normal 5 3" xfId="23"/>
    <cellStyle name="Normal 6" xfId="25"/>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6</xdr:row>
          <xdr:rowOff>161925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1290205</xdr:colOff>
          <xdr:row>2</xdr:row>
          <xdr:rowOff>138546</xdr:rowOff>
        </xdr:from>
        <xdr:to>
          <xdr:col>1</xdr:col>
          <xdr:colOff>2182091</xdr:colOff>
          <xdr:row>6</xdr:row>
          <xdr:rowOff>135948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6" t="s">
        <v>425</v>
      </c>
      <c r="J1" s="2017"/>
      <c r="K1" s="2017"/>
      <c r="L1" s="2017"/>
      <c r="M1" s="2017"/>
      <c r="N1" s="2017"/>
      <c r="O1" s="2017"/>
      <c r="P1" s="2017"/>
      <c r="Q1" s="2017"/>
      <c r="R1" s="2017"/>
      <c r="S1" s="2017"/>
    </row>
    <row r="2" spans="1:28" ht="12" customHeight="1" x14ac:dyDescent="0.2">
      <c r="A2" s="47" t="s">
        <v>1684</v>
      </c>
      <c r="D2" s="48"/>
      <c r="I2" s="2018" t="s">
        <v>1036</v>
      </c>
      <c r="J2" s="2017"/>
      <c r="K2" s="2017"/>
      <c r="L2" s="2017"/>
      <c r="M2" s="2017"/>
      <c r="N2" s="2017"/>
      <c r="O2" s="2017"/>
      <c r="P2" s="2017"/>
      <c r="Q2" s="2017"/>
      <c r="R2" s="2017"/>
      <c r="S2" s="2017"/>
    </row>
    <row r="3" spans="1:28" ht="12" customHeight="1" x14ac:dyDescent="0.2">
      <c r="A3" s="155" t="s">
        <v>1685</v>
      </c>
      <c r="B3" s="156"/>
      <c r="C3" s="156"/>
      <c r="D3" s="157"/>
      <c r="I3" s="2018" t="s">
        <v>54</v>
      </c>
      <c r="J3" s="2017"/>
      <c r="K3" s="2017"/>
      <c r="L3" s="2017"/>
      <c r="M3" s="2017"/>
      <c r="N3" s="2017"/>
      <c r="O3" s="2017"/>
      <c r="P3" s="2017"/>
      <c r="Q3" s="2017"/>
      <c r="R3" s="2017"/>
      <c r="S3" s="2017"/>
    </row>
    <row r="4" spans="1:28" ht="12" customHeight="1" x14ac:dyDescent="0.2">
      <c r="A4" s="37"/>
      <c r="I4" s="2018" t="s">
        <v>545</v>
      </c>
      <c r="J4" s="2017"/>
      <c r="K4" s="2017"/>
      <c r="L4" s="2017"/>
      <c r="M4" s="2017"/>
      <c r="N4" s="2017"/>
      <c r="O4" s="2017"/>
      <c r="P4" s="2017"/>
      <c r="Q4" s="2017"/>
      <c r="R4" s="2017"/>
      <c r="S4" s="2017"/>
    </row>
    <row r="5" spans="1:28" ht="14.1" customHeight="1" x14ac:dyDescent="0.2">
      <c r="B5" s="104" t="s">
        <v>2077</v>
      </c>
      <c r="C5" s="26" t="s">
        <v>966</v>
      </c>
      <c r="D5" s="84"/>
      <c r="E5" s="84"/>
      <c r="H5" s="38"/>
      <c r="I5" s="2026" t="s">
        <v>701</v>
      </c>
      <c r="J5" s="2025"/>
      <c r="K5" s="2025"/>
      <c r="L5" s="2025"/>
      <c r="M5" s="2025"/>
      <c r="N5" s="2025"/>
      <c r="O5" s="2025"/>
      <c r="P5" s="2025"/>
      <c r="Q5" s="2025"/>
      <c r="R5" s="2025"/>
      <c r="S5" s="2025"/>
    </row>
    <row r="6" spans="1:28" ht="14.1" customHeight="1" x14ac:dyDescent="0.2">
      <c r="B6" s="104"/>
      <c r="C6" s="26" t="s">
        <v>967</v>
      </c>
      <c r="D6" s="84"/>
      <c r="E6" s="84"/>
      <c r="I6" s="2024" t="s">
        <v>938</v>
      </c>
      <c r="J6" s="2025"/>
      <c r="K6" s="2025"/>
      <c r="L6" s="2025"/>
      <c r="M6" s="2025"/>
      <c r="N6" s="2025"/>
      <c r="O6" s="2025"/>
      <c r="P6" s="2025"/>
      <c r="Q6" s="2025"/>
      <c r="R6" s="2025"/>
      <c r="S6" s="2025"/>
    </row>
    <row r="7" spans="1:28" ht="12.2" customHeight="1" x14ac:dyDescent="0.2">
      <c r="I7" s="2019">
        <v>43281</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x14ac:dyDescent="0.2">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1012</v>
      </c>
      <c r="B11" s="2048"/>
      <c r="C11" s="2048"/>
      <c r="D11" s="2048"/>
      <c r="E11" s="2048"/>
      <c r="F11" s="2048"/>
      <c r="G11" s="2048"/>
      <c r="H11" s="2049"/>
      <c r="I11" s="27"/>
      <c r="J11" s="74"/>
      <c r="K11" s="27"/>
      <c r="O11" s="148" t="s">
        <v>2077</v>
      </c>
      <c r="P11" s="100" t="s">
        <v>210</v>
      </c>
      <c r="Q11" s="30"/>
      <c r="R11" s="28"/>
      <c r="S11" s="27"/>
      <c r="T11" s="2041"/>
      <c r="U11" s="2042"/>
      <c r="V11" s="2042"/>
      <c r="W11" s="2042"/>
      <c r="X11" s="2042"/>
      <c r="Y11" s="2042"/>
      <c r="Z11" s="2042"/>
      <c r="AA11" s="204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1">
        <v>50082077016</v>
      </c>
      <c r="B13" s="2052"/>
      <c r="C13" s="2052"/>
      <c r="D13" s="2052"/>
      <c r="E13" s="2052"/>
      <c r="F13" s="2052"/>
      <c r="G13" s="2052"/>
      <c r="H13" s="2053"/>
      <c r="I13" s="31"/>
      <c r="J13" s="30"/>
      <c r="K13" s="28"/>
      <c r="L13" s="30"/>
      <c r="M13" s="30"/>
      <c r="N13" s="30"/>
      <c r="O13" s="30"/>
      <c r="P13" s="30"/>
      <c r="Q13" s="30"/>
      <c r="R13" s="30"/>
      <c r="S13" s="30"/>
      <c r="T13" s="2056" t="s">
        <v>2090</v>
      </c>
      <c r="U13" s="2057"/>
      <c r="V13" s="2057"/>
      <c r="W13" s="2057"/>
      <c r="X13" s="2057"/>
      <c r="Y13" s="2058"/>
      <c r="Z13" s="2058"/>
      <c r="AA13" s="20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2127</v>
      </c>
      <c r="B15" s="2054"/>
      <c r="C15" s="2054"/>
      <c r="D15" s="2054"/>
      <c r="E15" s="2054"/>
      <c r="F15" s="2054"/>
      <c r="G15" s="2054"/>
      <c r="H15" s="2055"/>
      <c r="T15" s="2060" t="s">
        <v>2128</v>
      </c>
      <c r="U15" s="2004"/>
      <c r="V15" s="2004"/>
      <c r="W15" s="2004"/>
      <c r="X15" s="2004"/>
      <c r="Y15" s="2061"/>
      <c r="Z15" s="2061"/>
      <c r="AA15" s="20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2148</v>
      </c>
      <c r="B17" s="2011"/>
      <c r="C17" s="2011"/>
      <c r="D17" s="2011"/>
      <c r="E17" s="2011"/>
      <c r="F17" s="2011"/>
      <c r="G17" s="2011"/>
      <c r="H17" s="2036"/>
      <c r="T17" s="2067" t="s">
        <v>2078</v>
      </c>
      <c r="U17" s="2068"/>
      <c r="V17" s="2068"/>
      <c r="W17" s="2068"/>
      <c r="X17" s="2068"/>
      <c r="Y17" s="2068"/>
      <c r="Z17" s="2068"/>
      <c r="AA17" s="2069"/>
    </row>
    <row r="18" spans="1:27" ht="13.5" customHeight="1" x14ac:dyDescent="0.2">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50" t="s">
        <v>2129</v>
      </c>
      <c r="B19" s="1996"/>
      <c r="C19" s="1996"/>
      <c r="D19" s="1996"/>
      <c r="E19" s="1996"/>
      <c r="F19" s="1996"/>
      <c r="G19" s="1996"/>
      <c r="H19" s="1976"/>
      <c r="I19" s="30"/>
      <c r="J19" s="99"/>
      <c r="K19" s="40"/>
      <c r="L19" s="38"/>
      <c r="M19" s="112" t="s">
        <v>333</v>
      </c>
      <c r="P19" s="27"/>
      <c r="Q19" s="27"/>
      <c r="R19" s="27"/>
      <c r="S19" s="31"/>
      <c r="T19" s="2050" t="s">
        <v>2079</v>
      </c>
      <c r="U19" s="1975"/>
      <c r="V19" s="1975"/>
      <c r="W19" s="1976"/>
      <c r="X19" s="2065" t="s">
        <v>2080</v>
      </c>
      <c r="Y19" s="2066"/>
      <c r="Z19" s="2063">
        <v>62220</v>
      </c>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2147</v>
      </c>
      <c r="B21" s="1975"/>
      <c r="C21" s="1975"/>
      <c r="D21" s="1975"/>
      <c r="E21" s="1975"/>
      <c r="F21" s="1975"/>
      <c r="G21" s="1975"/>
      <c r="H21" s="1976"/>
      <c r="I21" s="2030" t="s">
        <v>699</v>
      </c>
      <c r="J21" s="2025"/>
      <c r="K21" s="2025"/>
      <c r="L21" s="2025"/>
      <c r="M21" s="2025"/>
      <c r="N21" s="2025"/>
      <c r="O21" s="2025"/>
      <c r="P21" s="2025"/>
      <c r="Q21" s="2025"/>
      <c r="R21" s="2025"/>
      <c r="S21" s="2031"/>
      <c r="T21" s="2074" t="s">
        <v>2081</v>
      </c>
      <c r="U21" s="2075"/>
      <c r="V21" s="2075"/>
      <c r="W21" s="2075"/>
      <c r="X21" s="2080" t="s">
        <v>2082</v>
      </c>
      <c r="Y21" s="2081"/>
      <c r="Z21" s="2081"/>
      <c r="AA21" s="2082"/>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7"/>
      <c r="B23" s="2028"/>
      <c r="C23" s="2028"/>
      <c r="D23" s="2028"/>
      <c r="E23" s="2028"/>
      <c r="F23" s="2028"/>
      <c r="G23" s="2028"/>
      <c r="H23" s="2029"/>
      <c r="T23" s="2010" t="s">
        <v>2083</v>
      </c>
      <c r="U23" s="2073"/>
      <c r="V23" s="2073"/>
      <c r="W23" s="2073"/>
      <c r="X23" s="2077">
        <v>44469</v>
      </c>
      <c r="Y23" s="2078"/>
      <c r="Z23" s="2078"/>
      <c r="AA23" s="2079"/>
    </row>
    <row r="24" spans="1:27" ht="14.1" customHeight="1" x14ac:dyDescent="0.2">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5" t="s">
        <v>552</v>
      </c>
      <c r="U24" s="106"/>
      <c r="V24" s="106"/>
      <c r="W24" s="106"/>
      <c r="X24" s="107"/>
      <c r="Y24" s="107"/>
      <c r="Z24" s="107"/>
      <c r="AA24" s="108"/>
    </row>
    <row r="25" spans="1:27" ht="14.1" customHeight="1" x14ac:dyDescent="0.2">
      <c r="A25" s="1974">
        <v>62243</v>
      </c>
      <c r="B25" s="1975"/>
      <c r="C25" s="1975"/>
      <c r="D25" s="1975"/>
      <c r="E25" s="1975"/>
      <c r="F25" s="1975"/>
      <c r="G25" s="1975"/>
      <c r="H25" s="1976"/>
      <c r="I25" s="113"/>
      <c r="J25" s="1999"/>
      <c r="K25" s="1999"/>
      <c r="L25" s="1999"/>
      <c r="M25" s="1999"/>
      <c r="N25" s="1999"/>
      <c r="O25" s="1999"/>
      <c r="P25" s="1999"/>
      <c r="Q25" s="1999"/>
      <c r="R25" s="1999"/>
      <c r="S25" s="2000"/>
      <c r="T25" s="2070" t="s">
        <v>2084</v>
      </c>
      <c r="U25" s="2071"/>
      <c r="V25" s="2071"/>
      <c r="W25" s="2071"/>
      <c r="X25" s="2071"/>
      <c r="Y25" s="2071"/>
      <c r="Z25" s="2071"/>
      <c r="AA25" s="20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2087</v>
      </c>
      <c r="B38" s="2011"/>
      <c r="C38" s="2011"/>
      <c r="D38" s="2011"/>
      <c r="E38" s="2011"/>
      <c r="F38" s="1975"/>
      <c r="G38" s="1975"/>
      <c r="H38" s="1976"/>
      <c r="I38" s="2003"/>
      <c r="J38" s="2004"/>
      <c r="K38" s="2004"/>
      <c r="L38" s="2004"/>
      <c r="M38" s="2004"/>
      <c r="N38" s="2004"/>
      <c r="O38" s="2004"/>
      <c r="P38" s="2005"/>
      <c r="Q38" s="2005"/>
      <c r="R38" s="2005"/>
      <c r="S38" s="2006"/>
      <c r="T38" s="2060" t="s">
        <v>2131</v>
      </c>
      <c r="U38" s="2004"/>
      <c r="V38" s="2004"/>
      <c r="W38" s="2004"/>
      <c r="X38" s="2005"/>
      <c r="Y38" s="2005"/>
      <c r="Z38" s="2005"/>
      <c r="AA38" s="2006"/>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2088</v>
      </c>
      <c r="B40" s="1989"/>
      <c r="C40" s="1990"/>
      <c r="D40" s="1990"/>
      <c r="E40" s="1990"/>
      <c r="F40" s="1991"/>
      <c r="G40" s="1991"/>
      <c r="H40" s="1992"/>
      <c r="I40" s="2013"/>
      <c r="J40" s="2014"/>
      <c r="K40" s="2014"/>
      <c r="L40" s="2014"/>
      <c r="M40" s="2014"/>
      <c r="N40" s="2014"/>
      <c r="O40" s="2014"/>
      <c r="P40" s="2014"/>
      <c r="Q40" s="2014"/>
      <c r="R40" s="2014"/>
      <c r="S40" s="2015"/>
      <c r="T40" s="2013" t="s">
        <v>2132</v>
      </c>
      <c r="U40" s="2076"/>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2" t="s">
        <v>2089</v>
      </c>
      <c r="B42" s="1994"/>
      <c r="C42" s="1995"/>
      <c r="D42" s="1993" t="s">
        <v>2130</v>
      </c>
      <c r="E42" s="1994"/>
      <c r="F42" s="1994"/>
      <c r="G42" s="1994"/>
      <c r="H42" s="1995"/>
      <c r="I42" s="1977"/>
      <c r="J42" s="1978"/>
      <c r="K42" s="1978"/>
      <c r="L42" s="1978"/>
      <c r="M42" s="1978"/>
      <c r="N42" s="1978"/>
      <c r="O42" s="1979"/>
      <c r="P42" s="2012"/>
      <c r="Q42" s="1978"/>
      <c r="R42" s="1978"/>
      <c r="S42" s="1979"/>
      <c r="T42" s="1977" t="s">
        <v>2085</v>
      </c>
      <c r="U42" s="1978"/>
      <c r="V42" s="1978"/>
      <c r="W42" s="1979"/>
      <c r="X42" s="2012" t="s">
        <v>2086</v>
      </c>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C1" colorId="8" zoomScale="90" zoomScaleNormal="90" workbookViewId="0">
      <selection activeCell="E21" sqref="E2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6" t="s">
        <v>1905</v>
      </c>
      <c r="B2" s="1550" t="s">
        <v>2037</v>
      </c>
      <c r="C2" s="715" t="s">
        <v>1910</v>
      </c>
      <c r="D2" s="715" t="s">
        <v>1911</v>
      </c>
      <c r="E2" s="715" t="s">
        <v>1912</v>
      </c>
      <c r="F2" s="715" t="s">
        <v>1913</v>
      </c>
    </row>
    <row r="3" spans="1:6" ht="12" customHeight="1" x14ac:dyDescent="0.2">
      <c r="A3" s="2217"/>
      <c r="B3" s="1547"/>
      <c r="C3" s="1548"/>
      <c r="D3" s="1549" t="s">
        <v>274</v>
      </c>
      <c r="E3" s="1548"/>
      <c r="F3" s="1549" t="s">
        <v>275</v>
      </c>
    </row>
    <row r="4" spans="1:6" ht="13.7" customHeight="1" x14ac:dyDescent="0.2">
      <c r="A4" s="716" t="s">
        <v>1217</v>
      </c>
      <c r="B4" s="1771">
        <f>'Revenues 9-14'!C5</f>
        <v>2692764</v>
      </c>
      <c r="C4" s="1546"/>
      <c r="D4" s="1774">
        <f>B4-C4</f>
        <v>2692764</v>
      </c>
      <c r="E4" s="1546">
        <v>2747639</v>
      </c>
      <c r="F4" s="1774">
        <f>E4-C4</f>
        <v>2747639</v>
      </c>
    </row>
    <row r="5" spans="1:6" ht="13.7" customHeight="1" x14ac:dyDescent="0.2">
      <c r="A5" s="716" t="s">
        <v>925</v>
      </c>
      <c r="B5" s="1772">
        <f>'Revenues 9-14'!D5</f>
        <v>659988</v>
      </c>
      <c r="C5" s="585"/>
      <c r="D5" s="1775">
        <f t="shared" ref="D5:D18" si="0">B5-C5</f>
        <v>659988</v>
      </c>
      <c r="E5" s="585">
        <v>673441</v>
      </c>
      <c r="F5" s="1775">
        <f>E5-C5</f>
        <v>673441</v>
      </c>
    </row>
    <row r="6" spans="1:6" ht="13.7" customHeight="1" x14ac:dyDescent="0.2">
      <c r="A6" s="716" t="s">
        <v>431</v>
      </c>
      <c r="B6" s="1772">
        <f>'Revenues 9-14'!E5</f>
        <v>551476</v>
      </c>
      <c r="C6" s="585"/>
      <c r="D6" s="1775">
        <f t="shared" si="0"/>
        <v>551476</v>
      </c>
      <c r="E6" s="585">
        <v>542524</v>
      </c>
      <c r="F6" s="1775">
        <f t="shared" ref="F6:F18" si="1">E6-C6</f>
        <v>542524</v>
      </c>
    </row>
    <row r="7" spans="1:6" ht="13.7" customHeight="1" x14ac:dyDescent="0.2">
      <c r="A7" s="716" t="s">
        <v>157</v>
      </c>
      <c r="B7" s="1772">
        <f>'Revenues 9-14'!F5</f>
        <v>316795</v>
      </c>
      <c r="C7" s="585"/>
      <c r="D7" s="1775">
        <f t="shared" si="0"/>
        <v>316795</v>
      </c>
      <c r="E7" s="585">
        <v>323252</v>
      </c>
      <c r="F7" s="1775">
        <f t="shared" si="1"/>
        <v>323252</v>
      </c>
    </row>
    <row r="8" spans="1:6" ht="13.7" customHeight="1" x14ac:dyDescent="0.2">
      <c r="A8" s="716" t="s">
        <v>1241</v>
      </c>
      <c r="B8" s="1772">
        <f>'Revenues 9-14'!G5</f>
        <v>186644</v>
      </c>
      <c r="C8" s="585"/>
      <c r="D8" s="1775">
        <f t="shared" si="0"/>
        <v>186644</v>
      </c>
      <c r="E8" s="585">
        <v>155161</v>
      </c>
      <c r="F8" s="1775">
        <f t="shared" si="1"/>
        <v>155161</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131998</v>
      </c>
      <c r="C10" s="585"/>
      <c r="D10" s="1775">
        <f t="shared" si="0"/>
        <v>131998</v>
      </c>
      <c r="E10" s="585">
        <v>134688</v>
      </c>
      <c r="F10" s="1775">
        <f t="shared" si="1"/>
        <v>134688</v>
      </c>
    </row>
    <row r="11" spans="1:6" x14ac:dyDescent="0.2">
      <c r="A11" s="716" t="s">
        <v>429</v>
      </c>
      <c r="B11" s="1772">
        <f>'Revenues 9-14'!J5</f>
        <v>1357708</v>
      </c>
      <c r="C11" s="585"/>
      <c r="D11" s="1775">
        <f t="shared" si="0"/>
        <v>1357708</v>
      </c>
      <c r="E11" s="585">
        <v>1449514</v>
      </c>
      <c r="F11" s="1775">
        <f t="shared" si="1"/>
        <v>1449514</v>
      </c>
    </row>
    <row r="12" spans="1:6" ht="13.7" customHeight="1" x14ac:dyDescent="0.2">
      <c r="A12" s="716" t="s">
        <v>159</v>
      </c>
      <c r="B12" s="1772">
        <f>'Revenues 9-14'!K5</f>
        <v>131998</v>
      </c>
      <c r="C12" s="585"/>
      <c r="D12" s="1775">
        <f t="shared" si="0"/>
        <v>131998</v>
      </c>
      <c r="E12" s="585">
        <v>134688</v>
      </c>
      <c r="F12" s="1775">
        <f t="shared" si="1"/>
        <v>134688</v>
      </c>
    </row>
    <row r="13" spans="1:6" ht="13.7" customHeight="1" x14ac:dyDescent="0.2">
      <c r="A13" s="716" t="s">
        <v>993</v>
      </c>
      <c r="B13" s="1772">
        <f>SUM('Revenues 9-14'!C6:D6)</f>
        <v>131997</v>
      </c>
      <c r="C13" s="585"/>
      <c r="D13" s="1775">
        <f t="shared" si="0"/>
        <v>131997</v>
      </c>
      <c r="E13" s="585">
        <v>134688</v>
      </c>
      <c r="F13" s="1775">
        <f t="shared" si="1"/>
        <v>134688</v>
      </c>
    </row>
    <row r="14" spans="1:6" ht="13.7" customHeight="1" x14ac:dyDescent="0.2">
      <c r="A14" s="716" t="s">
        <v>430</v>
      </c>
      <c r="B14" s="1772">
        <f>SUM('Revenues 9-14'!C7:D7,'Revenues 9-14'!F7:H7)</f>
        <v>52800</v>
      </c>
      <c r="C14" s="585"/>
      <c r="D14" s="1775">
        <f t="shared" si="0"/>
        <v>52800</v>
      </c>
      <c r="E14" s="585">
        <v>53875</v>
      </c>
      <c r="F14" s="1775">
        <f t="shared" si="1"/>
        <v>53875</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163411</v>
      </c>
      <c r="C16" s="585"/>
      <c r="D16" s="1775">
        <f t="shared" si="0"/>
        <v>163411</v>
      </c>
      <c r="E16" s="585">
        <v>137113</v>
      </c>
      <c r="F16" s="1775">
        <f t="shared" si="1"/>
        <v>137113</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6377579</v>
      </c>
      <c r="C19" s="1773">
        <f>SUM(C4:C18)</f>
        <v>0</v>
      </c>
      <c r="D19" s="1773">
        <f>SUM(D4:D18)</f>
        <v>6377579</v>
      </c>
      <c r="E19" s="1773">
        <f>SUM(E4:E18)</f>
        <v>6486583</v>
      </c>
      <c r="F19" s="1773">
        <f>SUM(F4:F18)</f>
        <v>6486583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7" colorId="8" zoomScale="110" zoomScaleNormal="110" workbookViewId="0">
      <selection activeCell="C37" sqref="C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8" t="s">
        <v>650</v>
      </c>
      <c r="B1" s="2236"/>
      <c r="C1" s="722"/>
    </row>
    <row r="2" spans="1:7" ht="33.75" x14ac:dyDescent="0.2">
      <c r="A2" s="2243" t="s">
        <v>1905</v>
      </c>
      <c r="B2" s="2244"/>
      <c r="C2" s="1909" t="s">
        <v>2038</v>
      </c>
      <c r="D2" s="724" t="s">
        <v>2045</v>
      </c>
      <c r="E2" s="724" t="s">
        <v>2046</v>
      </c>
      <c r="F2" s="1909" t="s">
        <v>2039</v>
      </c>
    </row>
    <row r="3" spans="1:7" ht="15.75" customHeight="1" x14ac:dyDescent="0.2">
      <c r="A3" s="2245" t="s">
        <v>1176</v>
      </c>
      <c r="B3" s="2246"/>
      <c r="C3" s="2239"/>
      <c r="D3" s="2240"/>
      <c r="E3" s="2240"/>
      <c r="F3" s="2241"/>
    </row>
    <row r="4" spans="1:7" ht="12.75" customHeight="1" thickBot="1" x14ac:dyDescent="0.25">
      <c r="A4" s="2233" t="s">
        <v>651</v>
      </c>
      <c r="B4" s="2234"/>
      <c r="C4" s="581"/>
      <c r="D4" s="581"/>
      <c r="E4" s="581"/>
      <c r="F4" s="1777">
        <f>SUM(C4+D4)-E4</f>
        <v>0</v>
      </c>
    </row>
    <row r="5" spans="1:7" ht="15.75" customHeight="1" thickTop="1" x14ac:dyDescent="0.2">
      <c r="A5" s="2237" t="s">
        <v>1172</v>
      </c>
      <c r="B5" s="2232"/>
      <c r="C5" s="2226"/>
      <c r="D5" s="2227"/>
      <c r="E5" s="2227"/>
      <c r="F5" s="222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9" t="s">
        <v>652</v>
      </c>
      <c r="B15" s="2230"/>
      <c r="C15" s="1777">
        <f>SUM(C6:C14)</f>
        <v>0</v>
      </c>
      <c r="D15" s="1777">
        <f>SUM(D6:D14)</f>
        <v>0</v>
      </c>
      <c r="E15" s="1777">
        <f>SUM(E6:E14)</f>
        <v>0</v>
      </c>
      <c r="F15" s="1777">
        <f>SUM(F6:F14)</f>
        <v>0</v>
      </c>
      <c r="G15" s="552"/>
    </row>
    <row r="16" spans="1:7" s="202" customFormat="1" ht="15.75" customHeight="1" thickTop="1" x14ac:dyDescent="0.2">
      <c r="A16" s="2242" t="s">
        <v>1173</v>
      </c>
      <c r="B16" s="2232"/>
      <c r="C16" s="2226"/>
      <c r="D16" s="2227"/>
      <c r="E16" s="2227"/>
      <c r="F16" s="2228"/>
    </row>
    <row r="17" spans="1:11" ht="12.75" customHeight="1" thickBot="1" x14ac:dyDescent="0.25">
      <c r="A17" s="2224" t="s">
        <v>66</v>
      </c>
      <c r="B17" s="2225"/>
      <c r="C17" s="727"/>
      <c r="D17" s="585"/>
      <c r="E17" s="727"/>
      <c r="F17" s="1777">
        <f>SUM(C17+D17)-E17</f>
        <v>0</v>
      </c>
    </row>
    <row r="18" spans="1:11" ht="12.75" customHeight="1" thickTop="1" thickBot="1" x14ac:dyDescent="0.25">
      <c r="A18" s="2224" t="s">
        <v>6</v>
      </c>
      <c r="B18" s="2225"/>
      <c r="C18" s="727"/>
      <c r="D18" s="585"/>
      <c r="E18" s="727"/>
      <c r="F18" s="1777">
        <f>SUM(C18+D18)-E18</f>
        <v>0</v>
      </c>
    </row>
    <row r="19" spans="1:11" ht="12.75" customHeight="1" thickTop="1" thickBot="1" x14ac:dyDescent="0.25">
      <c r="A19" s="2224" t="s">
        <v>406</v>
      </c>
      <c r="B19" s="2225"/>
      <c r="C19" s="727"/>
      <c r="D19" s="585"/>
      <c r="E19" s="727"/>
      <c r="F19" s="1777">
        <f>SUM(C19+D19)-E19</f>
        <v>0</v>
      </c>
    </row>
    <row r="20" spans="1:11" ht="12.75" customHeight="1" thickTop="1" thickBot="1" x14ac:dyDescent="0.25">
      <c r="A20" s="2224" t="s">
        <v>468</v>
      </c>
      <c r="B20" s="2225"/>
      <c r="C20" s="727"/>
      <c r="D20" s="585"/>
      <c r="E20" s="727"/>
      <c r="F20" s="1777">
        <f>SUM(C20+D20)-E20</f>
        <v>0</v>
      </c>
    </row>
    <row r="21" spans="1:11" ht="14.25" thickTop="1" thickBot="1" x14ac:dyDescent="0.25">
      <c r="A21" s="2229" t="s">
        <v>653</v>
      </c>
      <c r="B21" s="2230"/>
      <c r="C21" s="1777">
        <f>SUM(C17:C20)</f>
        <v>0</v>
      </c>
      <c r="D21" s="1777">
        <f>SUM(D17:D20)</f>
        <v>0</v>
      </c>
      <c r="E21" s="1777">
        <f>SUM(E17:E20)</f>
        <v>0</v>
      </c>
      <c r="F21" s="1777">
        <f>SUM(F17:F20)</f>
        <v>0</v>
      </c>
      <c r="G21" s="552"/>
    </row>
    <row r="22" spans="1:11" ht="15.75" customHeight="1" thickTop="1" x14ac:dyDescent="0.2">
      <c r="A22" s="2231" t="s">
        <v>1174</v>
      </c>
      <c r="B22" s="2232"/>
      <c r="C22" s="2226"/>
      <c r="D22" s="2227"/>
      <c r="E22" s="2227"/>
      <c r="F22" s="2228"/>
    </row>
    <row r="23" spans="1:11" ht="13.5" thickBot="1" x14ac:dyDescent="0.25">
      <c r="A23" s="2233" t="s">
        <v>654</v>
      </c>
      <c r="B23" s="2234"/>
      <c r="C23" s="581"/>
      <c r="D23" s="581"/>
      <c r="E23" s="581"/>
      <c r="F23" s="1777">
        <f>SUM(C23+D23)-E23</f>
        <v>0</v>
      </c>
      <c r="G23" s="552"/>
    </row>
    <row r="24" spans="1:11" ht="15.75" customHeight="1" thickTop="1" x14ac:dyDescent="0.2">
      <c r="A24" s="2231" t="s">
        <v>1175</v>
      </c>
      <c r="B24" s="2232"/>
      <c r="C24" s="2226"/>
      <c r="D24" s="2227"/>
      <c r="E24" s="2227"/>
      <c r="F24" s="2228"/>
    </row>
    <row r="25" spans="1:11" ht="13.5" thickBot="1" x14ac:dyDescent="0.25">
      <c r="A25" s="2233" t="s">
        <v>655</v>
      </c>
      <c r="B25" s="2234"/>
      <c r="C25" s="581"/>
      <c r="D25" s="581"/>
      <c r="E25" s="581"/>
      <c r="F25" s="1777">
        <f>SUM(C25+D25)-E25</f>
        <v>0</v>
      </c>
      <c r="G25" s="552"/>
    </row>
    <row r="26" spans="1:11" ht="15.75" customHeight="1" thickTop="1" x14ac:dyDescent="0.2">
      <c r="A26" s="2237" t="s">
        <v>678</v>
      </c>
      <c r="B26" s="2232"/>
      <c r="C26" s="728"/>
      <c r="D26" s="728"/>
      <c r="E26" s="728"/>
      <c r="F26" s="729"/>
    </row>
    <row r="27" spans="1:11" ht="13.5" thickBot="1" x14ac:dyDescent="0.25">
      <c r="A27" s="2229" t="s">
        <v>1130</v>
      </c>
      <c r="B27" s="2230"/>
      <c r="C27" s="585"/>
      <c r="D27" s="585"/>
      <c r="E27" s="585"/>
      <c r="F27" s="1777">
        <f>SUM(C27+D27)-E27</f>
        <v>0</v>
      </c>
      <c r="G27" s="552"/>
    </row>
    <row r="28" spans="1:11" ht="7.5" customHeight="1" thickTop="1" x14ac:dyDescent="0.2">
      <c r="A28" s="594"/>
    </row>
    <row r="29" spans="1:11" ht="23.25" customHeight="1" x14ac:dyDescent="0.2">
      <c r="A29" s="2235" t="s">
        <v>603</v>
      </c>
      <c r="B29" s="223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39173</v>
      </c>
      <c r="C31" s="735">
        <v>1800000</v>
      </c>
      <c r="D31" s="736">
        <v>4</v>
      </c>
      <c r="E31" s="735">
        <v>1120000</v>
      </c>
      <c r="F31" s="735"/>
      <c r="G31" s="735">
        <v>-1025000</v>
      </c>
      <c r="H31" s="735">
        <v>95000</v>
      </c>
      <c r="I31" s="1778">
        <f>((E31+F31)-H31)+G31</f>
        <v>0</v>
      </c>
      <c r="J31" s="735">
        <v>0</v>
      </c>
      <c r="K31" s="737"/>
    </row>
    <row r="32" spans="1:11" ht="12" customHeight="1" x14ac:dyDescent="0.2">
      <c r="A32" s="733" t="s">
        <v>2092</v>
      </c>
      <c r="B32" s="734">
        <v>40589</v>
      </c>
      <c r="C32" s="735">
        <v>5305000</v>
      </c>
      <c r="D32" s="736">
        <v>6</v>
      </c>
      <c r="E32" s="735">
        <v>5305000</v>
      </c>
      <c r="F32" s="735"/>
      <c r="G32" s="735"/>
      <c r="H32" s="735">
        <v>140000</v>
      </c>
      <c r="I32" s="1778">
        <f>((E32+F32)-H32)+G32</f>
        <v>5165000</v>
      </c>
      <c r="J32" s="735">
        <v>5145304</v>
      </c>
      <c r="K32" s="737"/>
    </row>
    <row r="33" spans="1:11" ht="12" customHeight="1" x14ac:dyDescent="0.2">
      <c r="A33" s="733" t="s">
        <v>2099</v>
      </c>
      <c r="B33" s="734">
        <v>43041</v>
      </c>
      <c r="C33" s="735">
        <v>1040000</v>
      </c>
      <c r="D33" s="736">
        <v>3</v>
      </c>
      <c r="E33" s="735"/>
      <c r="F33" s="735"/>
      <c r="G33" s="735">
        <v>1040000</v>
      </c>
      <c r="H33" s="735"/>
      <c r="I33" s="1778">
        <f t="shared" ref="I33:I48" si="1">((E33+F33)-H33)+G33</f>
        <v>1040000</v>
      </c>
      <c r="J33" s="735">
        <v>1036034</v>
      </c>
      <c r="K33" s="737"/>
    </row>
    <row r="34" spans="1:11" ht="12" customHeight="1" x14ac:dyDescent="0.2">
      <c r="A34" s="733" t="s">
        <v>2100</v>
      </c>
      <c r="B34" s="734">
        <v>43118</v>
      </c>
      <c r="C34" s="735">
        <v>218000</v>
      </c>
      <c r="D34" s="736">
        <v>1</v>
      </c>
      <c r="E34" s="735"/>
      <c r="F34" s="735">
        <v>212820</v>
      </c>
      <c r="G34" s="735">
        <v>5180</v>
      </c>
      <c r="H34" s="735">
        <v>218000</v>
      </c>
      <c r="I34" s="1778">
        <f t="shared" si="1"/>
        <v>0</v>
      </c>
      <c r="J34" s="735"/>
      <c r="K34" s="738"/>
    </row>
    <row r="35" spans="1:11" ht="12" customHeight="1" x14ac:dyDescent="0.2">
      <c r="A35" s="733" t="s">
        <v>2139</v>
      </c>
      <c r="B35" s="734">
        <v>42583</v>
      </c>
      <c r="C35" s="739">
        <v>148897</v>
      </c>
      <c r="D35" s="736">
        <v>7</v>
      </c>
      <c r="E35" s="739">
        <v>113690</v>
      </c>
      <c r="F35" s="739"/>
      <c r="G35" s="739">
        <v>-36229</v>
      </c>
      <c r="H35" s="739"/>
      <c r="I35" s="1778">
        <f t="shared" si="1"/>
        <v>77461</v>
      </c>
      <c r="J35" s="739">
        <v>77461</v>
      </c>
      <c r="K35" s="738"/>
    </row>
    <row r="36" spans="1:11" ht="12" customHeight="1" x14ac:dyDescent="0.2">
      <c r="A36" s="733" t="s">
        <v>2140</v>
      </c>
      <c r="B36" s="734">
        <v>42956</v>
      </c>
      <c r="C36" s="735">
        <v>70313</v>
      </c>
      <c r="D36" s="736">
        <v>8</v>
      </c>
      <c r="E36" s="735"/>
      <c r="F36" s="735">
        <v>0</v>
      </c>
      <c r="G36" s="735">
        <v>0</v>
      </c>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8582210</v>
      </c>
      <c r="D49" s="746"/>
      <c r="E49" s="1778">
        <f t="shared" ref="E49:J49" si="2">SUM(E31:E48)</f>
        <v>6538690</v>
      </c>
      <c r="F49" s="1778">
        <f t="shared" si="2"/>
        <v>212820</v>
      </c>
      <c r="G49" s="1778">
        <f t="shared" si="2"/>
        <v>-16049</v>
      </c>
      <c r="H49" s="1778">
        <f t="shared" si="2"/>
        <v>453000</v>
      </c>
      <c r="I49" s="1778">
        <f t="shared" si="2"/>
        <v>6282461</v>
      </c>
      <c r="J49" s="1778">
        <f t="shared" si="2"/>
        <v>6258799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8" t="s">
        <v>605</v>
      </c>
      <c r="C52" s="2219"/>
      <c r="D52" s="2219"/>
      <c r="E52" s="750" t="s">
        <v>900</v>
      </c>
      <c r="F52" s="2220" t="s">
        <v>2141</v>
      </c>
      <c r="G52" s="2221"/>
      <c r="H52" s="737"/>
      <c r="I52" s="737"/>
      <c r="J52" s="747"/>
    </row>
    <row r="53" spans="1:11" ht="11.25" customHeight="1" x14ac:dyDescent="0.2">
      <c r="A53" s="751" t="s">
        <v>969</v>
      </c>
      <c r="B53" s="752" t="s">
        <v>1008</v>
      </c>
      <c r="C53" s="747"/>
      <c r="D53" s="738"/>
      <c r="E53" s="750" t="s">
        <v>518</v>
      </c>
      <c r="F53" s="2222" t="s">
        <v>2142</v>
      </c>
      <c r="G53" s="2223"/>
      <c r="H53" s="737"/>
      <c r="I53" s="737"/>
      <c r="J53" s="747"/>
    </row>
    <row r="54" spans="1:11" ht="11.25" customHeight="1" x14ac:dyDescent="0.2">
      <c r="A54" s="753" t="s">
        <v>970</v>
      </c>
      <c r="B54" s="748" t="s">
        <v>1009</v>
      </c>
      <c r="C54" s="747"/>
      <c r="D54" s="738"/>
      <c r="E54" s="750" t="s">
        <v>519</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52"/>
      <c r="I1" s="761"/>
      <c r="J1" s="433"/>
    </row>
    <row r="2" spans="1:11" ht="26.25" x14ac:dyDescent="0.2">
      <c r="A2" s="2266" t="s">
        <v>1776</v>
      </c>
      <c r="B2" s="2267"/>
      <c r="C2" s="2267"/>
      <c r="D2" s="2267"/>
      <c r="E2" s="2268"/>
      <c r="F2" s="762" t="s">
        <v>960</v>
      </c>
      <c r="G2" s="763" t="s">
        <v>1773</v>
      </c>
      <c r="H2" s="763" t="s">
        <v>430</v>
      </c>
      <c r="I2" s="763" t="s">
        <v>1220</v>
      </c>
      <c r="J2" s="763" t="s">
        <v>1919</v>
      </c>
      <c r="K2" s="763" t="s">
        <v>140</v>
      </c>
    </row>
    <row r="3" spans="1:11" x14ac:dyDescent="0.2">
      <c r="A3" s="2269" t="s">
        <v>1698</v>
      </c>
      <c r="B3" s="2270"/>
      <c r="C3" s="2270"/>
      <c r="D3" s="2270"/>
      <c r="E3" s="2271"/>
      <c r="F3" s="764"/>
      <c r="G3" s="765"/>
      <c r="H3" s="765">
        <v>0</v>
      </c>
      <c r="I3" s="765"/>
      <c r="J3" s="766"/>
      <c r="K3" s="766"/>
    </row>
    <row r="4" spans="1:11" x14ac:dyDescent="0.2">
      <c r="A4" s="2272" t="s">
        <v>387</v>
      </c>
      <c r="B4" s="2273"/>
      <c r="C4" s="2273"/>
      <c r="D4" s="2273"/>
      <c r="E4" s="2219"/>
      <c r="F4" s="767"/>
      <c r="G4" s="768"/>
      <c r="H4" s="769"/>
      <c r="I4" s="768"/>
      <c r="J4" s="770"/>
      <c r="K4" s="770"/>
    </row>
    <row r="5" spans="1:11" x14ac:dyDescent="0.2">
      <c r="A5" s="2250" t="s">
        <v>1129</v>
      </c>
      <c r="B5" s="2251"/>
      <c r="C5" s="2251"/>
      <c r="D5" s="2251"/>
      <c r="E5" s="2252"/>
      <c r="F5" s="771" t="s">
        <v>903</v>
      </c>
      <c r="G5" s="772"/>
      <c r="H5" s="765">
        <v>52800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29790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26132</v>
      </c>
    </row>
    <row r="10" spans="1:11" x14ac:dyDescent="0.2">
      <c r="A10" s="2250" t="s">
        <v>1920</v>
      </c>
      <c r="B10" s="2251"/>
      <c r="C10" s="2251"/>
      <c r="D10" s="2251"/>
      <c r="E10" s="2253"/>
      <c r="F10" s="784" t="s">
        <v>917</v>
      </c>
      <c r="G10" s="783"/>
      <c r="H10" s="785">
        <v>61</v>
      </c>
      <c r="I10" s="765"/>
      <c r="J10" s="766"/>
      <c r="K10" s="766"/>
    </row>
    <row r="11" spans="1:11" x14ac:dyDescent="0.2">
      <c r="A11" s="2250" t="s">
        <v>162</v>
      </c>
      <c r="B11" s="2251"/>
      <c r="C11" s="2251"/>
      <c r="D11" s="2251"/>
      <c r="E11" s="2252"/>
      <c r="F11" s="771" t="s">
        <v>907</v>
      </c>
      <c r="G11" s="772"/>
      <c r="H11" s="765"/>
      <c r="I11" s="765"/>
      <c r="J11" s="766"/>
      <c r="K11" s="774"/>
    </row>
    <row r="12" spans="1:11" ht="13.5" thickBot="1" x14ac:dyDescent="0.25">
      <c r="A12" s="2277" t="s">
        <v>961</v>
      </c>
      <c r="B12" s="2278"/>
      <c r="C12" s="2278"/>
      <c r="D12" s="2278"/>
      <c r="E12" s="2279"/>
      <c r="F12" s="1779"/>
      <c r="G12" s="1780">
        <f>SUM(G5:G11)</f>
        <v>0</v>
      </c>
      <c r="H12" s="1780">
        <f>SUM(H5:H11)</f>
        <v>52861</v>
      </c>
      <c r="I12" s="1780">
        <f>SUM(I5:I11)</f>
        <v>0</v>
      </c>
      <c r="J12" s="1780">
        <f>SUM(J5:J11)</f>
        <v>0</v>
      </c>
      <c r="K12" s="1780">
        <f>SUM(K5:K11)</f>
        <v>55922</v>
      </c>
    </row>
    <row r="13" spans="1:11" ht="13.5" thickTop="1" x14ac:dyDescent="0.2">
      <c r="A13" s="2274" t="s">
        <v>388</v>
      </c>
      <c r="B13" s="2275"/>
      <c r="C13" s="2275"/>
      <c r="D13" s="2275"/>
      <c r="E13" s="2276"/>
      <c r="F13" s="786"/>
      <c r="G13" s="787"/>
      <c r="H13" s="788"/>
      <c r="I13" s="789"/>
      <c r="J13" s="789"/>
      <c r="K13" s="789"/>
    </row>
    <row r="14" spans="1:11" x14ac:dyDescent="0.2">
      <c r="A14" s="2257" t="s">
        <v>476</v>
      </c>
      <c r="B14" s="2257"/>
      <c r="C14" s="2257"/>
      <c r="D14" s="2257"/>
      <c r="E14" s="2258"/>
      <c r="F14" s="790" t="s">
        <v>909</v>
      </c>
      <c r="G14" s="783"/>
      <c r="H14" s="765">
        <v>52861</v>
      </c>
      <c r="I14" s="772"/>
      <c r="J14" s="774"/>
      <c r="K14" s="766">
        <v>55922</v>
      </c>
    </row>
    <row r="15" spans="1:11" x14ac:dyDescent="0.2">
      <c r="A15" s="2251" t="s">
        <v>4</v>
      </c>
      <c r="B15" s="2251"/>
      <c r="C15" s="2251"/>
      <c r="D15" s="2251"/>
      <c r="E15" s="2252"/>
      <c r="F15" s="790" t="s">
        <v>910</v>
      </c>
      <c r="G15" s="772"/>
      <c r="H15" s="765"/>
      <c r="I15" s="765"/>
      <c r="J15" s="766"/>
      <c r="K15" s="766"/>
    </row>
    <row r="16" spans="1:11" x14ac:dyDescent="0.2">
      <c r="A16" s="2251" t="s">
        <v>316</v>
      </c>
      <c r="B16" s="2251"/>
      <c r="C16" s="2251"/>
      <c r="D16" s="2251"/>
      <c r="E16" s="2252"/>
      <c r="F16" s="790" t="s">
        <v>980</v>
      </c>
      <c r="G16" s="773"/>
      <c r="H16" s="768"/>
      <c r="I16" s="768"/>
      <c r="J16" s="770"/>
      <c r="K16" s="770"/>
    </row>
    <row r="17" spans="1:11" x14ac:dyDescent="0.2">
      <c r="A17" s="2282" t="s">
        <v>992</v>
      </c>
      <c r="B17" s="2282"/>
      <c r="C17" s="2282"/>
      <c r="D17" s="2282"/>
      <c r="E17" s="2283"/>
      <c r="F17" s="791"/>
      <c r="G17" s="792"/>
      <c r="H17" s="793"/>
      <c r="I17" s="793"/>
      <c r="J17" s="794"/>
      <c r="K17" s="795"/>
    </row>
    <row r="18" spans="1:11" x14ac:dyDescent="0.2">
      <c r="A18" s="2261" t="s">
        <v>386</v>
      </c>
      <c r="B18" s="2262"/>
      <c r="C18" s="2262"/>
      <c r="D18" s="2262"/>
      <c r="E18" s="2263"/>
      <c r="F18" s="790" t="s">
        <v>989</v>
      </c>
      <c r="G18" s="783"/>
      <c r="H18" s="783"/>
      <c r="I18" s="783"/>
      <c r="J18" s="766"/>
      <c r="K18" s="796"/>
    </row>
    <row r="19" spans="1:11" ht="21.75" customHeight="1" x14ac:dyDescent="0.2">
      <c r="A19" s="2259" t="s">
        <v>1916</v>
      </c>
      <c r="B19" s="2259"/>
      <c r="C19" s="2259"/>
      <c r="D19" s="2259"/>
      <c r="E19" s="2260"/>
      <c r="F19" s="790" t="s">
        <v>990</v>
      </c>
      <c r="G19" s="783"/>
      <c r="H19" s="783"/>
      <c r="I19" s="783"/>
      <c r="J19" s="766"/>
      <c r="K19" s="796"/>
    </row>
    <row r="20" spans="1:11" x14ac:dyDescent="0.2">
      <c r="A20" s="2261" t="s">
        <v>1921</v>
      </c>
      <c r="B20" s="2262"/>
      <c r="C20" s="2262"/>
      <c r="D20" s="2262"/>
      <c r="E20" s="2263"/>
      <c r="F20" s="790" t="s">
        <v>991</v>
      </c>
      <c r="G20" s="783"/>
      <c r="H20" s="783"/>
      <c r="I20" s="783"/>
      <c r="J20" s="766"/>
      <c r="K20" s="796"/>
    </row>
    <row r="21" spans="1:11" ht="13.5" thickBot="1" x14ac:dyDescent="0.25">
      <c r="A21" s="2280" t="s">
        <v>659</v>
      </c>
      <c r="B21" s="2280"/>
      <c r="C21" s="2280"/>
      <c r="D21" s="2280"/>
      <c r="E21" s="2280"/>
      <c r="F21" s="1781"/>
      <c r="G21" s="793"/>
      <c r="H21" s="797"/>
      <c r="I21" s="797"/>
      <c r="J21" s="1782">
        <f>SUM(J18:J20)</f>
        <v>0</v>
      </c>
      <c r="K21" s="794"/>
    </row>
    <row r="22" spans="1:11" ht="13.5" thickTop="1" x14ac:dyDescent="0.2">
      <c r="A22" s="2251" t="s">
        <v>1922</v>
      </c>
      <c r="B22" s="2251"/>
      <c r="C22" s="2251"/>
      <c r="D22" s="2251"/>
      <c r="E22" s="2252"/>
      <c r="F22" s="790" t="s">
        <v>917</v>
      </c>
      <c r="G22" s="783"/>
      <c r="H22" s="765"/>
      <c r="I22" s="765"/>
      <c r="J22" s="798"/>
      <c r="K22" s="766"/>
    </row>
    <row r="23" spans="1:11" ht="13.5" thickBot="1" x14ac:dyDescent="0.25">
      <c r="A23" s="2281" t="s">
        <v>962</v>
      </c>
      <c r="B23" s="2280"/>
      <c r="C23" s="2280"/>
      <c r="D23" s="2280"/>
      <c r="E23" s="2280"/>
      <c r="F23" s="1783"/>
      <c r="G23" s="1780">
        <f>SUM(G14:G16,G21,G22)</f>
        <v>0</v>
      </c>
      <c r="H23" s="1780">
        <f>SUM(H14:H16,H21,H22)</f>
        <v>52861</v>
      </c>
      <c r="I23" s="1780">
        <f>SUM(I14:I16,I21,I22)</f>
        <v>0</v>
      </c>
      <c r="J23" s="1780">
        <f>SUM(J14:J16,J21,J22)</f>
        <v>0</v>
      </c>
      <c r="K23" s="1780">
        <f>SUM(K14:K16,K21,K22)</f>
        <v>55922</v>
      </c>
    </row>
    <row r="24" spans="1:11" ht="14.25" thickTop="1" thickBot="1" x14ac:dyDescent="0.25">
      <c r="A24" s="2281" t="s">
        <v>2026</v>
      </c>
      <c r="B24" s="2280"/>
      <c r="C24" s="2280"/>
      <c r="D24" s="2280"/>
      <c r="E24" s="228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54"/>
      <c r="I31" s="2255"/>
      <c r="J31" s="2255"/>
      <c r="K31" s="2255"/>
    </row>
    <row r="32" spans="1:11" x14ac:dyDescent="0.2">
      <c r="A32" s="810"/>
      <c r="B32" s="237"/>
      <c r="C32" s="237"/>
      <c r="D32" s="237"/>
      <c r="E32" s="806"/>
      <c r="F32" s="812" t="s">
        <v>561</v>
      </c>
      <c r="G32" s="765"/>
      <c r="H32" s="2256"/>
      <c r="I32" s="2255"/>
      <c r="J32" s="2255"/>
      <c r="K32" s="2255"/>
    </row>
    <row r="33" spans="1:11" ht="1.5" customHeight="1" x14ac:dyDescent="0.2">
      <c r="A33" s="813" t="s">
        <v>1231</v>
      </c>
      <c r="B33" s="364"/>
      <c r="C33" s="364"/>
      <c r="D33" s="364"/>
      <c r="E33" s="364"/>
      <c r="F33" s="364"/>
      <c r="G33" s="814"/>
      <c r="H33" s="2256"/>
      <c r="I33" s="2255"/>
      <c r="J33" s="2255"/>
      <c r="K33" s="225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1" t="s">
        <v>562</v>
      </c>
      <c r="B41" s="2264"/>
      <c r="C41" s="2264"/>
      <c r="D41" s="2264"/>
      <c r="E41" s="2264"/>
      <c r="F41" s="226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G4"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2035</v>
      </c>
      <c r="B1" s="2287"/>
      <c r="C1" s="2288"/>
      <c r="D1" s="827"/>
      <c r="E1" s="828"/>
      <c r="F1" s="828"/>
      <c r="G1" s="829"/>
      <c r="H1" s="830"/>
      <c r="I1" s="831"/>
      <c r="J1" s="2284"/>
      <c r="K1" s="2285"/>
      <c r="L1" s="228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836881</v>
      </c>
      <c r="D5" s="842">
        <v>95144</v>
      </c>
      <c r="E5" s="842"/>
      <c r="F5" s="1782">
        <f>(C5+D5)-E5</f>
        <v>932025</v>
      </c>
      <c r="G5" s="838"/>
      <c r="H5" s="843"/>
      <c r="I5" s="843"/>
      <c r="J5" s="843"/>
      <c r="K5" s="794"/>
      <c r="L5" s="1791">
        <f>F5-K5</f>
        <v>932025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10370386</v>
      </c>
      <c r="D8" s="845"/>
      <c r="E8" s="845">
        <v>95144</v>
      </c>
      <c r="F8" s="1782">
        <f>(C8+D8)-E8</f>
        <v>10275242</v>
      </c>
      <c r="G8" s="844">
        <v>50</v>
      </c>
      <c r="H8" s="766">
        <v>3930485</v>
      </c>
      <c r="I8" s="766">
        <v>195125</v>
      </c>
      <c r="J8" s="766"/>
      <c r="K8" s="1791">
        <f>(H8+I8)-J8</f>
        <v>4125610</v>
      </c>
      <c r="L8" s="1791">
        <f>F8-K8</f>
        <v>6149632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5517079</v>
      </c>
      <c r="D10" s="847"/>
      <c r="E10" s="847"/>
      <c r="F10" s="1786">
        <f>(C10+D10)-E10</f>
        <v>5517079</v>
      </c>
      <c r="G10" s="844">
        <v>20</v>
      </c>
      <c r="H10" s="848">
        <v>2305164</v>
      </c>
      <c r="I10" s="848">
        <v>260393</v>
      </c>
      <c r="J10" s="848"/>
      <c r="K10" s="1791">
        <f>(H10+I10)-J10</f>
        <v>2565557</v>
      </c>
      <c r="L10" s="1791">
        <f>F10-K10</f>
        <v>2951522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4075924</v>
      </c>
      <c r="D12" s="845">
        <v>77781</v>
      </c>
      <c r="E12" s="845"/>
      <c r="F12" s="1782">
        <f>(C12+D12)-E12</f>
        <v>4153705</v>
      </c>
      <c r="G12" s="844">
        <v>10</v>
      </c>
      <c r="H12" s="766">
        <v>3284026</v>
      </c>
      <c r="I12" s="766">
        <v>146976</v>
      </c>
      <c r="J12" s="766"/>
      <c r="K12" s="1791">
        <f>(H12+I12)-J12</f>
        <v>3431002</v>
      </c>
      <c r="L12" s="1791">
        <f>F12-K12</f>
        <v>722703</v>
      </c>
    </row>
    <row r="13" spans="1:14" ht="14.25" thickTop="1" thickBot="1" x14ac:dyDescent="0.25">
      <c r="A13" s="849" t="s">
        <v>1184</v>
      </c>
      <c r="B13" s="841">
        <v>252</v>
      </c>
      <c r="C13" s="845">
        <v>1084390</v>
      </c>
      <c r="D13" s="845">
        <v>94940</v>
      </c>
      <c r="E13" s="845"/>
      <c r="F13" s="1782">
        <f>(C13+D13)-E13</f>
        <v>1179330</v>
      </c>
      <c r="G13" s="844">
        <v>5</v>
      </c>
      <c r="H13" s="766">
        <v>992529</v>
      </c>
      <c r="I13" s="766">
        <v>23455</v>
      </c>
      <c r="J13" s="766"/>
      <c r="K13" s="1791">
        <f>(H13+I13)-J13</f>
        <v>1015984</v>
      </c>
      <c r="L13" s="1791">
        <f>F13-K13</f>
        <v>163346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212785</v>
      </c>
      <c r="E15" s="845"/>
      <c r="F15" s="1782">
        <f>(C15+D15)-E15</f>
        <v>212785</v>
      </c>
      <c r="G15" s="850" t="s">
        <v>917</v>
      </c>
      <c r="H15" s="782"/>
      <c r="I15" s="782"/>
      <c r="J15" s="782"/>
      <c r="K15" s="782"/>
      <c r="L15" s="1791">
        <f>F15-K15</f>
        <v>212785</v>
      </c>
    </row>
    <row r="16" spans="1:14" ht="15" customHeight="1" thickTop="1" thickBot="1" x14ac:dyDescent="0.25">
      <c r="A16" s="1787" t="s">
        <v>664</v>
      </c>
      <c r="B16" s="1788">
        <v>200</v>
      </c>
      <c r="C16" s="1782">
        <f>SUM(C3,C5:C6,C8:C10,C12:C15)</f>
        <v>21884660</v>
      </c>
      <c r="D16" s="1782">
        <f>SUM(D3,D5:D6,D8:D10,D12:D15)</f>
        <v>480650</v>
      </c>
      <c r="E16" s="1782">
        <f>SUM(E3,E5:E6,E8:E10,E12:E15)</f>
        <v>95144</v>
      </c>
      <c r="F16" s="1782">
        <f>SUM(F3,F5:F6,F8:F10,F12:F15)</f>
        <v>22270166</v>
      </c>
      <c r="G16" s="844"/>
      <c r="H16" s="1782">
        <f>SUM(H3,H6,H8:H10,H12:H14,)</f>
        <v>10512204</v>
      </c>
      <c r="I16" s="1782">
        <f>SUM(I3,I6,I8:I10,I12:I14,)</f>
        <v>625949</v>
      </c>
      <c r="J16" s="1782">
        <f>SUM(J3,J6,J8:J10,J12:J14,)</f>
        <v>0</v>
      </c>
      <c r="K16" s="1782">
        <f>(H16+I16)-J16</f>
        <v>11138153</v>
      </c>
      <c r="L16" s="1782">
        <f>F16-K16</f>
        <v>11132013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625949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C1" colorId="8" zoomScale="110" zoomScaleNormal="110" workbookViewId="0">
      <pane ySplit="5" topLeftCell="A129" activePane="bottomLeft" state="frozen"/>
      <selection activeCell="A7" sqref="A7:D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2" t="s">
        <v>1699</v>
      </c>
      <c r="B1" s="2293"/>
      <c r="C1" s="2293"/>
      <c r="D1" s="2293"/>
      <c r="E1" s="2293"/>
      <c r="F1" s="2294"/>
      <c r="G1" s="856"/>
    </row>
    <row r="2" spans="1:7" ht="15" customHeight="1" thickBot="1" x14ac:dyDescent="0.25">
      <c r="A2" s="2295" t="s">
        <v>498</v>
      </c>
      <c r="B2" s="2296"/>
      <c r="C2" s="2296"/>
      <c r="D2" s="2296"/>
      <c r="E2" s="2296"/>
      <c r="F2" s="229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8"/>
      <c r="B5" s="2299"/>
      <c r="C5" s="2299"/>
      <c r="D5" s="2299"/>
      <c r="E5" s="2299"/>
      <c r="F5" s="2299"/>
    </row>
    <row r="6" spans="1:7" ht="13.5" customHeight="1" thickBot="1" x14ac:dyDescent="0.25">
      <c r="A6" s="2289" t="s">
        <v>1166</v>
      </c>
      <c r="B6" s="2290"/>
      <c r="C6" s="2290"/>
      <c r="D6" s="2290"/>
      <c r="E6" s="2290"/>
      <c r="F6" s="229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4629051</v>
      </c>
      <c r="G8" s="866"/>
    </row>
    <row r="9" spans="1:7" x14ac:dyDescent="0.2">
      <c r="A9" s="870" t="s">
        <v>480</v>
      </c>
      <c r="B9" s="871" t="s">
        <v>1989</v>
      </c>
      <c r="C9" s="872"/>
      <c r="D9" s="870" t="s">
        <v>522</v>
      </c>
      <c r="E9" s="869"/>
      <c r="F9" s="1935">
        <f>'Expenditures 15-22'!K151</f>
        <v>738000</v>
      </c>
      <c r="G9" s="873"/>
    </row>
    <row r="10" spans="1:7" x14ac:dyDescent="0.2">
      <c r="A10" s="870" t="s">
        <v>520</v>
      </c>
      <c r="B10" s="871" t="s">
        <v>1990</v>
      </c>
      <c r="C10" s="872"/>
      <c r="D10" s="870" t="s">
        <v>522</v>
      </c>
      <c r="E10" s="869"/>
      <c r="F10" s="1935">
        <f>'Expenditures 15-22'!K174</f>
        <v>749703</v>
      </c>
      <c r="G10" s="873"/>
    </row>
    <row r="11" spans="1:7" x14ac:dyDescent="0.2">
      <c r="A11" s="870" t="s">
        <v>481</v>
      </c>
      <c r="B11" s="871" t="s">
        <v>1991</v>
      </c>
      <c r="C11" s="872"/>
      <c r="D11" s="870" t="s">
        <v>522</v>
      </c>
      <c r="E11" s="869"/>
      <c r="F11" s="1935">
        <f>'Expenditures 15-22'!K210</f>
        <v>441552</v>
      </c>
      <c r="G11" s="873"/>
    </row>
    <row r="12" spans="1:7" x14ac:dyDescent="0.2">
      <c r="A12" s="870" t="s">
        <v>482</v>
      </c>
      <c r="B12" s="871" t="s">
        <v>1992</v>
      </c>
      <c r="C12" s="872"/>
      <c r="D12" s="870" t="s">
        <v>522</v>
      </c>
      <c r="E12" s="869"/>
      <c r="F12" s="1935">
        <f>'Expenditures 15-22'!K295</f>
        <v>169771</v>
      </c>
      <c r="G12" s="873"/>
    </row>
    <row r="13" spans="1:7" x14ac:dyDescent="0.2">
      <c r="A13" s="870" t="s">
        <v>108</v>
      </c>
      <c r="B13" s="871" t="s">
        <v>1993</v>
      </c>
      <c r="C13" s="872"/>
      <c r="D13" s="870" t="s">
        <v>522</v>
      </c>
      <c r="E13" s="869"/>
      <c r="F13" s="1935">
        <f>'Expenditures 15-22'!K342</f>
        <v>1018503</v>
      </c>
      <c r="G13" s="874"/>
    </row>
    <row r="14" spans="1:7" ht="12" customHeight="1" thickBot="1" x14ac:dyDescent="0.25">
      <c r="A14" s="1792"/>
      <c r="B14" s="1793"/>
      <c r="C14" s="1794"/>
      <c r="D14" s="1795" t="s">
        <v>522</v>
      </c>
      <c r="E14" s="1796" t="s">
        <v>1015</v>
      </c>
      <c r="F14" s="1797">
        <f>SUM(F8:F13)</f>
        <v>7746580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1729</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248225</v>
      </c>
      <c r="G53" s="866"/>
    </row>
    <row r="54" spans="1:7" x14ac:dyDescent="0.2">
      <c r="A54" s="870" t="s">
        <v>479</v>
      </c>
      <c r="B54" s="870" t="s">
        <v>1552</v>
      </c>
      <c r="C54" s="890" t="s">
        <v>1039</v>
      </c>
      <c r="D54" s="886" t="s">
        <v>1157</v>
      </c>
      <c r="E54" s="869"/>
      <c r="F54" s="1939">
        <f>'Expenditures 15-22'!G114</f>
        <v>16301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203646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453000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94940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25</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1160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1019026</v>
      </c>
      <c r="G76" s="866"/>
    </row>
    <row r="77" spans="1:8" s="894" customFormat="1" ht="12" customHeight="1" thickTop="1" thickBot="1" x14ac:dyDescent="0.25">
      <c r="A77" s="1801"/>
      <c r="B77" s="1798"/>
      <c r="C77" s="1794"/>
      <c r="D77" s="1799" t="s">
        <v>2012</v>
      </c>
      <c r="E77" s="1796"/>
      <c r="F77" s="1802">
        <f>(F14-F76)</f>
        <v>6727554</v>
      </c>
      <c r="G77" s="870"/>
    </row>
    <row r="78" spans="1:8" s="894" customFormat="1" ht="12" customHeight="1" thickTop="1" x14ac:dyDescent="0.2">
      <c r="A78" s="1803"/>
      <c r="B78" s="1798"/>
      <c r="C78" s="1794"/>
      <c r="D78" s="1799" t="s">
        <v>2059</v>
      </c>
      <c r="E78" s="1796"/>
      <c r="F78" s="899">
        <v>594</v>
      </c>
      <c r="G78" s="900"/>
      <c r="H78" s="870"/>
    </row>
    <row r="79" spans="1:8" s="894" customFormat="1" ht="12" customHeight="1" thickBot="1" x14ac:dyDescent="0.25">
      <c r="A79" s="1804"/>
      <c r="B79" s="1798"/>
      <c r="C79" s="1794"/>
      <c r="D79" s="1799" t="s">
        <v>2013</v>
      </c>
      <c r="E79" s="1796" t="s">
        <v>1015</v>
      </c>
      <c r="F79" s="1805">
        <f>IF(F78&gt;0,F77/F78," Complete Line 78")</f>
        <v>11325.848484848484</v>
      </c>
      <c r="G79" s="870"/>
    </row>
    <row r="80" spans="1:8" s="894" customFormat="1" ht="8.25" customHeight="1" thickTop="1" x14ac:dyDescent="0.2">
      <c r="A80" s="901"/>
      <c r="B80" s="870"/>
      <c r="C80" s="872"/>
      <c r="D80" s="902"/>
      <c r="E80" s="869"/>
      <c r="F80" s="903"/>
      <c r="G80" s="870"/>
    </row>
    <row r="81" spans="1:7" s="894" customFormat="1" ht="12" thickBot="1" x14ac:dyDescent="0.25">
      <c r="A81" s="2289" t="s">
        <v>1167</v>
      </c>
      <c r="B81" s="2290"/>
      <c r="C81" s="2290"/>
      <c r="D81" s="2290"/>
      <c r="E81" s="2290"/>
      <c r="F81" s="229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208599</v>
      </c>
      <c r="G94" s="913"/>
    </row>
    <row r="95" spans="1:7" x14ac:dyDescent="0.2">
      <c r="A95" s="909" t="s">
        <v>142</v>
      </c>
      <c r="B95" s="909" t="s">
        <v>177</v>
      </c>
      <c r="C95" s="911">
        <v>1700</v>
      </c>
      <c r="D95" s="919" t="str">
        <f>'Revenues 9-14'!A82</f>
        <v>Total District/School Activity Income</v>
      </c>
      <c r="E95" s="907"/>
      <c r="F95" s="1811">
        <f>SUM('Revenues 9-14'!C82,'Revenues 9-14'!D82)</f>
        <v>67298</v>
      </c>
      <c r="G95" s="913"/>
    </row>
    <row r="96" spans="1:7" x14ac:dyDescent="0.2">
      <c r="A96" s="909" t="s">
        <v>479</v>
      </c>
      <c r="B96" s="909" t="s">
        <v>178</v>
      </c>
      <c r="C96" s="911">
        <f>'Revenues 9-14'!B84</f>
        <v>1811</v>
      </c>
      <c r="D96" s="912" t="str">
        <f>'Revenues 9-14'!A84</f>
        <v>Rentals - Regular Textbooks</v>
      </c>
      <c r="E96" s="907"/>
      <c r="F96" s="1811">
        <f>'Revenues 9-14'!C84</f>
        <v>74448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44378</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30459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30</v>
      </c>
      <c r="G104" s="913"/>
    </row>
    <row r="105" spans="1:7" x14ac:dyDescent="0.2">
      <c r="A105" s="909" t="s">
        <v>524</v>
      </c>
      <c r="B105" s="909" t="s">
        <v>842</v>
      </c>
      <c r="C105" s="914">
        <v>3100</v>
      </c>
      <c r="D105" s="920" t="str">
        <f>'Revenues 9-14'!A131</f>
        <v>Total Special Education</v>
      </c>
      <c r="E105" s="907"/>
      <c r="F105" s="1811">
        <f>SUM('Revenues 9-14'!C131:D131,'Revenues 9-14'!F131)</f>
        <v>83321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70390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477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26132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101795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3500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47186</v>
      </c>
      <c r="G129" s="931"/>
    </row>
    <row r="130" spans="1:7" x14ac:dyDescent="0.2">
      <c r="A130" s="928" t="s">
        <v>689</v>
      </c>
      <c r="B130" s="928" t="s">
        <v>804</v>
      </c>
      <c r="C130" s="933">
        <v>4300</v>
      </c>
      <c r="D130" s="934" t="str">
        <f>'Revenues 9-14'!A211</f>
        <v>Total Title I</v>
      </c>
      <c r="E130" s="907"/>
      <c r="F130" s="1811">
        <f>SUM('Revenues 9-14'!C211,'Revenues 9-14'!D211,'Revenues 9-14'!F211,'Revenues 9-14'!G211)</f>
        <v>48601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4550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81973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1185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15128</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6922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5701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6386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170083</v>
      </c>
      <c r="G175" s="928"/>
    </row>
    <row r="176" spans="1:7" x14ac:dyDescent="0.2">
      <c r="A176" s="1944" t="s">
        <v>685</v>
      </c>
      <c r="B176" s="1945" t="s">
        <v>2058</v>
      </c>
      <c r="C176" s="1946">
        <v>3300</v>
      </c>
      <c r="D176" s="1947" t="s">
        <v>2062</v>
      </c>
      <c r="E176" s="907"/>
      <c r="F176" s="1931">
        <v>5</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1098547</v>
      </c>
    </row>
    <row r="179" spans="1:7" ht="12" customHeight="1" x14ac:dyDescent="0.2">
      <c r="A179" s="1792"/>
      <c r="B179" s="1806"/>
      <c r="C179" s="1807"/>
      <c r="D179" s="1808" t="s">
        <v>2015</v>
      </c>
      <c r="E179" s="1809"/>
      <c r="F179" s="1811">
        <f>'PCTC-OEPP 27-28'!F77-F178</f>
        <v>5629007</v>
      </c>
    </row>
    <row r="180" spans="1:7" ht="12" customHeight="1" x14ac:dyDescent="0.2">
      <c r="A180" s="1792"/>
      <c r="B180" s="1806"/>
      <c r="C180" s="1807"/>
      <c r="D180" s="1808" t="s">
        <v>1924</v>
      </c>
      <c r="E180" s="1809"/>
      <c r="F180" s="1811">
        <f>'Cap Outlay Deprec 26'!I18</f>
        <v>625949</v>
      </c>
    </row>
    <row r="181" spans="1:7" ht="12" customHeight="1" x14ac:dyDescent="0.2">
      <c r="A181" s="1792"/>
      <c r="B181" s="1806"/>
      <c r="C181" s="1807"/>
      <c r="D181" s="1808" t="s">
        <v>2016</v>
      </c>
      <c r="E181" s="1809"/>
      <c r="F181" s="1811">
        <f>F179+F180</f>
        <v>6254956</v>
      </c>
    </row>
    <row r="182" spans="1:7" ht="12" customHeight="1" x14ac:dyDescent="0.2">
      <c r="A182" s="1792"/>
      <c r="B182" s="1812"/>
      <c r="C182" s="1807"/>
      <c r="D182" s="1808" t="str">
        <f>D78</f>
        <v>9 Month ADA from District Average Daily Attendance/Prior General State Aid Inquiry 2017-2018</v>
      </c>
      <c r="E182" s="1809"/>
      <c r="F182" s="1813">
        <f>'PCTC-OEPP 27-28'!F78</f>
        <v>594</v>
      </c>
      <c r="G182" s="931"/>
    </row>
    <row r="183" spans="1:7" ht="12" customHeight="1" thickBot="1" x14ac:dyDescent="0.25">
      <c r="A183" s="1792"/>
      <c r="B183" s="1812"/>
      <c r="C183" s="1807"/>
      <c r="D183" s="1808" t="s">
        <v>2017</v>
      </c>
      <c r="E183" s="1809" t="s">
        <v>1626</v>
      </c>
      <c r="F183" s="1814">
        <f>F181/F182</f>
        <v>10530.228956228957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8" sqref="C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3" t="s">
        <v>1925</v>
      </c>
      <c r="B4" s="2304"/>
      <c r="C4" s="2304"/>
      <c r="D4" s="2304"/>
      <c r="E4" s="2304"/>
      <c r="F4" s="2304"/>
      <c r="G4" s="2305"/>
    </row>
    <row r="5" spans="1:7" x14ac:dyDescent="0.25">
      <c r="A5" s="2306"/>
      <c r="B5" s="2307"/>
      <c r="C5" s="2307"/>
      <c r="D5" s="2307"/>
      <c r="E5" s="2307"/>
      <c r="F5" s="2307"/>
      <c r="G5" s="2308"/>
    </row>
    <row r="6" spans="1:7" ht="18.75" x14ac:dyDescent="0.25">
      <c r="A6" s="1556" t="s">
        <v>1926</v>
      </c>
      <c r="B6" s="1557"/>
      <c r="C6" s="1557"/>
      <c r="D6" s="1557"/>
      <c r="E6" s="1557"/>
      <c r="F6" s="1557"/>
      <c r="G6" s="1558"/>
    </row>
    <row r="7" spans="1:7" ht="30.75" customHeight="1" x14ac:dyDescent="0.25">
      <c r="A7" s="2309" t="s">
        <v>2075</v>
      </c>
      <c r="B7" s="2310"/>
      <c r="C7" s="2310"/>
      <c r="D7" s="2310"/>
      <c r="E7" s="2310"/>
      <c r="F7" s="2310"/>
      <c r="G7" s="2311"/>
    </row>
    <row r="8" spans="1:7" ht="15.75" customHeight="1" x14ac:dyDescent="0.25">
      <c r="A8" s="2312" t="s">
        <v>2024</v>
      </c>
      <c r="B8" s="2313"/>
      <c r="C8" s="2313"/>
      <c r="D8" s="2313"/>
      <c r="E8" s="2313"/>
      <c r="F8" s="2313"/>
      <c r="G8" s="2314"/>
    </row>
    <row r="9" spans="1:7" ht="35.25" customHeight="1" x14ac:dyDescent="0.25">
      <c r="A9" s="2309" t="s">
        <v>2023</v>
      </c>
      <c r="B9" s="2310"/>
      <c r="C9" s="2310"/>
      <c r="D9" s="2310"/>
      <c r="E9" s="2310"/>
      <c r="F9" s="2310"/>
      <c r="G9" s="2311"/>
    </row>
    <row r="10" spans="1:7" ht="15" customHeight="1" x14ac:dyDescent="0.25">
      <c r="A10" s="1559" t="s">
        <v>1927</v>
      </c>
      <c r="B10" s="1560"/>
      <c r="C10" s="1560"/>
      <c r="D10" s="1560"/>
      <c r="E10" s="1560"/>
      <c r="F10" s="1560"/>
      <c r="G10" s="1561"/>
    </row>
    <row r="11" spans="1:7" ht="17.25" customHeight="1" x14ac:dyDescent="0.25">
      <c r="A11" s="2309" t="s">
        <v>1941</v>
      </c>
      <c r="B11" s="2310"/>
      <c r="C11" s="2310"/>
      <c r="D11" s="2310"/>
      <c r="E11" s="2310"/>
      <c r="F11" s="2310"/>
      <c r="G11" s="2311"/>
    </row>
    <row r="12" spans="1:7" ht="15" customHeight="1" x14ac:dyDescent="0.25">
      <c r="A12" s="1559" t="s">
        <v>1932</v>
      </c>
      <c r="B12" s="1560"/>
      <c r="C12" s="1560"/>
      <c r="D12" s="1560"/>
      <c r="E12" s="1560"/>
      <c r="F12" s="1560"/>
      <c r="G12" s="1561"/>
    </row>
    <row r="13" spans="1:7" ht="32.25" customHeight="1" x14ac:dyDescent="0.25">
      <c r="A13" s="2300" t="s">
        <v>1933</v>
      </c>
      <c r="B13" s="2301"/>
      <c r="C13" s="2301"/>
      <c r="D13" s="2301"/>
      <c r="E13" s="2301"/>
      <c r="F13" s="2301"/>
      <c r="G13" s="2302"/>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2118</v>
      </c>
      <c r="B17" s="1961" t="s">
        <v>2116</v>
      </c>
      <c r="C17" s="1960" t="s">
        <v>2117</v>
      </c>
      <c r="D17" s="1867">
        <v>217564</v>
      </c>
      <c r="E17" s="1562">
        <f t="shared" ref="E17:E141" si="1">IF(D17&lt;=25000,D17,IF(D17&gt;25000,25000,0))</f>
        <v>25000</v>
      </c>
      <c r="F17" s="1815">
        <f t="shared" si="0"/>
        <v>25000</v>
      </c>
      <c r="G17" s="1816">
        <f>IF(F17=0,0,D17-F17)</f>
        <v>192564</v>
      </c>
      <c r="H17" s="1669"/>
    </row>
    <row r="18" spans="1:8" x14ac:dyDescent="0.25">
      <c r="A18" s="1959" t="s">
        <v>2121</v>
      </c>
      <c r="B18" s="1961" t="s">
        <v>2119</v>
      </c>
      <c r="C18" s="1960" t="s">
        <v>2120</v>
      </c>
      <c r="D18" s="1867">
        <v>12366</v>
      </c>
      <c r="E18" s="1562">
        <f t="shared" ref="E18:E140" si="2">IF(D18&lt;=25000,D18,IF(D18&gt;25000,25000,0))</f>
        <v>12366</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12366</v>
      </c>
      <c r="G18" s="1816">
        <f t="shared" ref="G18:G140" si="4">IF(F18=0,0,D18-F18)</f>
        <v>0</v>
      </c>
    </row>
    <row r="19" spans="1:8" x14ac:dyDescent="0.25">
      <c r="A19" s="1959" t="s">
        <v>2123</v>
      </c>
      <c r="B19" s="1961" t="s">
        <v>1931</v>
      </c>
      <c r="C19" s="1960" t="s">
        <v>2122</v>
      </c>
      <c r="D19" s="1867">
        <v>238</v>
      </c>
      <c r="E19" s="1562">
        <f t="shared" si="2"/>
        <v>238</v>
      </c>
      <c r="F19" s="1815">
        <f t="shared" si="3"/>
        <v>238</v>
      </c>
      <c r="G19" s="1816">
        <f t="shared" si="4"/>
        <v>0</v>
      </c>
    </row>
    <row r="20" spans="1:8" x14ac:dyDescent="0.25">
      <c r="A20" s="1959" t="s">
        <v>2124</v>
      </c>
      <c r="B20" s="1961" t="s">
        <v>2125</v>
      </c>
      <c r="C20" s="1960" t="s">
        <v>2126</v>
      </c>
      <c r="D20" s="1867">
        <v>7600</v>
      </c>
      <c r="E20" s="1562">
        <f t="shared" si="2"/>
        <v>7600</v>
      </c>
      <c r="F20" s="1815">
        <f t="shared" si="3"/>
        <v>7600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237768</v>
      </c>
      <c r="E141" s="1563">
        <f t="shared" si="1"/>
        <v>25000</v>
      </c>
      <c r="F141" s="1817">
        <f>SUM(F17:F140)</f>
        <v>45204</v>
      </c>
      <c r="G141" s="1818">
        <f>SUM(G17:G140)</f>
        <v>192564</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3" colorId="8"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5" t="s">
        <v>1778</v>
      </c>
      <c r="B5" s="2316"/>
      <c r="C5" s="2316"/>
      <c r="D5" s="2316"/>
      <c r="E5" s="2316"/>
      <c r="F5" s="2316"/>
      <c r="G5" s="231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47186</v>
      </c>
      <c r="F10" s="975"/>
      <c r="G10" s="976"/>
      <c r="H10" s="162"/>
      <c r="I10" s="162"/>
    </row>
    <row r="11" spans="1:9" s="669" customFormat="1" ht="22.5" customHeight="1" x14ac:dyDescent="0.2">
      <c r="A11" s="2320" t="s">
        <v>1945</v>
      </c>
      <c r="B11" s="2321"/>
      <c r="C11" s="2321"/>
      <c r="D11" s="2322"/>
      <c r="E11" s="978">
        <v>10842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3217360</v>
      </c>
      <c r="F19" s="1822"/>
      <c r="G19" s="1824">
        <f>'Expenditures 15-22'!K33-SUM('Expenditures 15-22'!G33,'Expenditures 15-22'!I33)+'Expenditures 15-22'!D229</f>
        <v>3217360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314100</v>
      </c>
      <c r="F21" s="1825"/>
      <c r="G21" s="1828">
        <f>'Expenditures 15-22'!K42-SUM('Expenditures 15-22'!G42,'Expenditures 15-22'!I42)+'Expenditures 15-22'!K120-SUM('Expenditures 15-22'!G120,'Expenditures 15-22'!I120)+'Expenditures 15-22'!K180-SUM('Expenditures 15-22'!G180,'Expenditures 15-22'!I180)+'Expenditures 15-22'!D238</f>
        <v>314100</v>
      </c>
      <c r="H21" s="988"/>
      <c r="I21" s="162"/>
    </row>
    <row r="22" spans="1:9" s="669" customFormat="1" ht="12" customHeight="1" x14ac:dyDescent="0.2">
      <c r="A22" s="995" t="s">
        <v>585</v>
      </c>
      <c r="B22" s="996"/>
      <c r="C22" s="994">
        <v>2200</v>
      </c>
      <c r="D22" s="1825"/>
      <c r="E22" s="1827">
        <f>'Expenditures 15-22'!K47-SUM('Expenditures 15-22'!G47,'Expenditures 15-22'!I47)+'Expenditures 15-22'!D243</f>
        <v>4708</v>
      </c>
      <c r="F22" s="1825"/>
      <c r="G22" s="1828">
        <f>'Expenditures 15-22'!K47-SUM('Expenditures 15-22'!G47,'Expenditures 15-22'!I47)+'Expenditures 15-22'!D243</f>
        <v>4708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1246415</v>
      </c>
      <c r="F23" s="1825"/>
      <c r="G23" s="1827">
        <f>'Expenditures 15-22'!K53-SUM('Expenditures 15-22'!G53,'Expenditures 15-22'!I53)+'Expenditures 15-22'!D257+'Expenditures 15-22'!K330-SUM('Expenditures 15-22'!G330,'Expenditures 15-22'!I330)</f>
        <v>1246415</v>
      </c>
      <c r="H23" s="988"/>
      <c r="I23" s="162"/>
    </row>
    <row r="24" spans="1:9" s="669" customFormat="1" ht="12" customHeight="1" x14ac:dyDescent="0.2">
      <c r="A24" s="995" t="s">
        <v>587</v>
      </c>
      <c r="B24" s="996"/>
      <c r="C24" s="994">
        <v>2400</v>
      </c>
      <c r="D24" s="1825"/>
      <c r="E24" s="1827">
        <f>'Expenditures 15-22'!K57-SUM('Expenditures 15-22'!G57,'Expenditures 15-22'!I57)+'Expenditures 15-22'!D261</f>
        <v>183867</v>
      </c>
      <c r="F24" s="1825"/>
      <c r="G24" s="1828">
        <f>'Expenditures 15-22'!K57-SUM('Expenditures 15-22'!G57,'Expenditures 15-22'!I57)+'Expenditures 15-22'!D261</f>
        <v>183867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132496</v>
      </c>
      <c r="E27" s="1827">
        <f>E8</f>
        <v>0</v>
      </c>
      <c r="F27" s="1827">
        <f>'Expenditures 15-22'!K60-SUM('Expenditures 15-22'!G60,'Expenditures 15-22'!I60)+'Expenditures 15-22'!D264-E8</f>
        <v>132496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568144</v>
      </c>
      <c r="F28" s="1829">
        <f>'Expenditures 15-22'!K61-SUM('Expenditures 15-22'!G61,'Expenditures 15-22'!I61)+'Expenditures 15-22'!K124-SUM('Expenditures 15-22'!G124,'Expenditures 15-22'!I124)+'Expenditures 15-22'!D266-E9</f>
        <v>568144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364376</v>
      </c>
      <c r="F29" s="1825"/>
      <c r="G29" s="1828">
        <f>'Expenditures 15-22'!K62-SUM('Expenditures 15-22'!G62,'Expenditures 15-22'!I62)+'Expenditures 15-22'!K125-SUM('Expenditures 15-22'!G125,'Expenditures 15-22'!I125)+'Expenditures 15-22'!K182-SUM('Expenditures 15-22'!G182,'Expenditures 15-22'!I182)+'Expenditures 15-22'!D267</f>
        <v>364376</v>
      </c>
      <c r="H29" s="986"/>
    </row>
    <row r="30" spans="1:9" ht="12" customHeight="1" x14ac:dyDescent="0.2">
      <c r="A30" s="995" t="s">
        <v>102</v>
      </c>
      <c r="B30" s="998"/>
      <c r="C30" s="994">
        <v>2560</v>
      </c>
      <c r="D30" s="1825"/>
      <c r="E30" s="1827">
        <f>'Expenditures 15-22'!K63-SUM('Expenditures 15-22'!G63,'Expenditures 15-22'!I63)+'Expenditures 15-22'!D268-E10</f>
        <v>214436</v>
      </c>
      <c r="F30" s="1825"/>
      <c r="G30" s="1827">
        <f>'Expenditures 15-22'!K63-SUM('Expenditures 15-22'!G63,'Expenditures 15-22'!I63)+'Expenditures 15-22'!D268-E10</f>
        <v>214436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139517</v>
      </c>
      <c r="E37" s="1827">
        <f>E14</f>
        <v>0</v>
      </c>
      <c r="F37" s="1827">
        <f>'Expenditures 15-22'!K71-SUM('Expenditures 15-22'!G71,'Expenditures 15-22'!I71)+'Expenditures 15-22'!D276-E14</f>
        <v>139517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-192564</v>
      </c>
      <c r="F40" s="1825"/>
      <c r="G40" s="1829">
        <f>-'Contracts Paid in CY 29'!G141</f>
        <v>-192564</v>
      </c>
    </row>
    <row r="41" spans="1:7" ht="12" customHeight="1" x14ac:dyDescent="0.2">
      <c r="A41" s="999" t="s">
        <v>158</v>
      </c>
      <c r="B41" s="1000"/>
      <c r="C41" s="1001"/>
      <c r="D41" s="1829">
        <f>SUM(D19:D39)</f>
        <v>272013</v>
      </c>
      <c r="E41" s="1829">
        <f>SUM(E19:E40)</f>
        <v>5920842</v>
      </c>
      <c r="F41" s="1829">
        <f>SUM(F19:F39)</f>
        <v>840157</v>
      </c>
      <c r="G41" s="1829">
        <f>SUM(G19:G40)</f>
        <v>5352698</v>
      </c>
    </row>
    <row r="42" spans="1:7" x14ac:dyDescent="0.2">
      <c r="A42" s="988"/>
      <c r="B42" s="162"/>
      <c r="C42" s="1002"/>
      <c r="D42" s="2318" t="s">
        <v>543</v>
      </c>
      <c r="E42" s="2319"/>
      <c r="F42" s="1003" t="s">
        <v>544</v>
      </c>
      <c r="G42" s="1004"/>
    </row>
    <row r="43" spans="1:7" ht="12" customHeight="1" x14ac:dyDescent="0.2">
      <c r="A43" s="988"/>
      <c r="B43" s="162"/>
      <c r="C43" s="1002"/>
      <c r="D43" s="1830" t="s">
        <v>493</v>
      </c>
      <c r="E43" s="1831">
        <f>D41</f>
        <v>272013</v>
      </c>
      <c r="F43" s="1830" t="s">
        <v>495</v>
      </c>
      <c r="G43" s="1831">
        <f>F41</f>
        <v>840157</v>
      </c>
    </row>
    <row r="44" spans="1:7" ht="12" customHeight="1" x14ac:dyDescent="0.2">
      <c r="A44" s="988"/>
      <c r="B44" s="162"/>
      <c r="C44" s="1002"/>
      <c r="D44" s="1830" t="s">
        <v>494</v>
      </c>
      <c r="E44" s="1831">
        <f>E41</f>
        <v>5920842</v>
      </c>
      <c r="F44" s="1830" t="s">
        <v>494</v>
      </c>
      <c r="G44" s="1831">
        <f>G41</f>
        <v>5352698</v>
      </c>
    </row>
    <row r="45" spans="1:7" ht="12" customHeight="1" x14ac:dyDescent="0.2">
      <c r="A45" s="988"/>
      <c r="B45" s="162"/>
      <c r="C45" s="162"/>
      <c r="D45" s="1832" t="s">
        <v>1063</v>
      </c>
      <c r="E45" s="1833">
        <f>(E43/E44)</f>
        <v>4.5941607629455407E-2</v>
      </c>
      <c r="F45" s="1832" t="s">
        <v>1063</v>
      </c>
      <c r="G45" s="1833">
        <f>(G43/G44)</f>
        <v>0.15695953704094645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7" t="s">
        <v>1446</v>
      </c>
      <c r="B1" s="2337"/>
      <c r="C1" s="2337"/>
      <c r="D1" s="2337"/>
      <c r="E1" s="2337"/>
      <c r="F1" s="2337"/>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8" t="s">
        <v>1627</v>
      </c>
      <c r="B5" s="2339"/>
      <c r="C5" s="2340"/>
      <c r="D5" s="2340"/>
      <c r="E5" s="2340"/>
      <c r="F5" s="2340"/>
    </row>
    <row r="6" spans="1:10" ht="12" customHeight="1" x14ac:dyDescent="0.25">
      <c r="A6" s="1875"/>
      <c r="B6" s="1876"/>
      <c r="C6" s="2341" t="str">
        <f>COVER!A17</f>
        <v>Freeburg CHSD 77</v>
      </c>
      <c r="D6" s="2341"/>
      <c r="E6" s="2341"/>
      <c r="F6" s="1877"/>
    </row>
    <row r="7" spans="1:10" ht="11.25" customHeight="1" thickBot="1" x14ac:dyDescent="0.3">
      <c r="A7" s="1875"/>
      <c r="B7" s="1876"/>
      <c r="C7" s="2342">
        <f>COVER!A13</f>
        <v>50082077016</v>
      </c>
      <c r="D7" s="2342"/>
      <c r="E7" s="2342"/>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2093</v>
      </c>
      <c r="D13" s="1890" t="s">
        <v>2093</v>
      </c>
      <c r="E13" s="1893"/>
      <c r="F13" s="1892" t="s">
        <v>2094</v>
      </c>
      <c r="H13" s="1903">
        <f t="shared" si="0"/>
        <v>5</v>
      </c>
      <c r="I13" s="1903">
        <f t="shared" si="1"/>
        <v>5</v>
      </c>
      <c r="J13" s="1903">
        <f t="shared" si="2"/>
        <v>0</v>
      </c>
    </row>
    <row r="14" spans="1:10" ht="12" customHeight="1" x14ac:dyDescent="0.2">
      <c r="A14" s="1888" t="s">
        <v>1453</v>
      </c>
      <c r="B14" s="1889"/>
      <c r="C14" s="1890" t="s">
        <v>2093</v>
      </c>
      <c r="D14" s="1890" t="s">
        <v>2093</v>
      </c>
      <c r="E14" s="1893" t="s">
        <v>2093</v>
      </c>
      <c r="F14" s="1892" t="s">
        <v>2095</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2093</v>
      </c>
      <c r="D26" s="1890" t="s">
        <v>2093</v>
      </c>
      <c r="E26" s="1893" t="s">
        <v>2093</v>
      </c>
      <c r="F26" s="1892" t="s">
        <v>2096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2093</v>
      </c>
      <c r="D29" s="1890"/>
      <c r="E29" s="1893"/>
      <c r="F29" s="1892" t="s">
        <v>2097</v>
      </c>
      <c r="H29" s="1903">
        <f t="shared" si="0"/>
        <v>5</v>
      </c>
      <c r="I29" s="1903">
        <f t="shared" si="1"/>
        <v>0</v>
      </c>
      <c r="J29" s="1903">
        <f t="shared" si="2"/>
        <v>0</v>
      </c>
    </row>
    <row r="30" spans="1:12" ht="12" customHeight="1" x14ac:dyDescent="0.2">
      <c r="A30" s="1888" t="s">
        <v>1619</v>
      </c>
      <c r="B30" s="1889"/>
      <c r="C30" s="1890" t="s">
        <v>2093</v>
      </c>
      <c r="D30" s="1890" t="s">
        <v>2093</v>
      </c>
      <c r="E30" s="1893" t="s">
        <v>2093</v>
      </c>
      <c r="F30" s="1892" t="s">
        <v>2097</v>
      </c>
      <c r="H30" s="1903">
        <f t="shared" si="0"/>
        <v>5</v>
      </c>
      <c r="I30" s="1903">
        <f t="shared" si="1"/>
        <v>5</v>
      </c>
      <c r="J30" s="1903">
        <f t="shared" si="2"/>
        <v>5</v>
      </c>
    </row>
    <row r="31" spans="1:12" ht="12" customHeight="1" x14ac:dyDescent="0.2">
      <c r="A31" s="1888" t="s">
        <v>1620</v>
      </c>
      <c r="B31" s="1889"/>
      <c r="C31" s="1890" t="s">
        <v>2093</v>
      </c>
      <c r="D31" s="1890" t="s">
        <v>2093</v>
      </c>
      <c r="E31" s="1893" t="s">
        <v>2093</v>
      </c>
      <c r="F31" s="1892" t="s">
        <v>2098</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25</v>
      </c>
      <c r="J34" s="1903">
        <f>SUM(J11:J32)</f>
        <v>20</v>
      </c>
      <c r="K34" s="1903">
        <f>SUM(H34:J34)</f>
        <v>75</v>
      </c>
    </row>
    <row r="35" spans="1:11" ht="12" customHeight="1" x14ac:dyDescent="0.2">
      <c r="A35" s="1896" t="s">
        <v>1459</v>
      </c>
      <c r="B35" s="1897"/>
      <c r="C35" s="2343"/>
      <c r="D35" s="2343"/>
      <c r="E35" s="2343"/>
      <c r="F35" s="2344"/>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29"/>
      <c r="B38" s="2330"/>
      <c r="C38" s="2330"/>
      <c r="D38" s="2330"/>
      <c r="E38" s="2330"/>
      <c r="F38" s="2331"/>
    </row>
    <row r="39" spans="1:11" ht="4.5" hidden="1" customHeight="1" x14ac:dyDescent="0.2">
      <c r="A39" s="1898"/>
      <c r="B39" s="1898"/>
      <c r="C39" s="1898"/>
      <c r="D39" s="1898"/>
      <c r="E39" s="1898"/>
      <c r="F39" s="1898"/>
    </row>
    <row r="40" spans="1:11" s="1895" customFormat="1" ht="12" customHeight="1" x14ac:dyDescent="0.25">
      <c r="A40" s="1899" t="s">
        <v>1458</v>
      </c>
      <c r="B40" s="1900"/>
      <c r="C40" s="2332"/>
      <c r="D40" s="2332"/>
      <c r="E40" s="2332"/>
      <c r="F40" s="2333"/>
      <c r="H40" s="1904"/>
      <c r="I40" s="1904"/>
      <c r="J40" s="1904"/>
      <c r="K40" s="1904"/>
    </row>
    <row r="41" spans="1:11" s="1895" customFormat="1" ht="12" customHeight="1" x14ac:dyDescent="0.25">
      <c r="A41" s="2334"/>
      <c r="B41" s="2335"/>
      <c r="C41" s="2335"/>
      <c r="D41" s="2335"/>
      <c r="E41" s="2335"/>
      <c r="F41" s="2336"/>
      <c r="H41" s="1904"/>
      <c r="I41" s="1904"/>
      <c r="J41" s="1904"/>
      <c r="K41" s="1904"/>
    </row>
    <row r="42" spans="1:11" s="1895" customFormat="1" ht="12" customHeight="1" x14ac:dyDescent="0.25">
      <c r="A42" s="2334"/>
      <c r="B42" s="2335"/>
      <c r="C42" s="2335"/>
      <c r="D42" s="2335"/>
      <c r="E42" s="2335"/>
      <c r="F42" s="2336"/>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 colorId="8" zoomScale="110" zoomScaleNormal="110" workbookViewId="0">
      <selection activeCell="O13" sqref="O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0" t="str">
        <f>COVER!A17</f>
        <v>Freeburg CHSD 77</v>
      </c>
      <c r="J6" s="2351"/>
      <c r="Q6" s="1686"/>
    </row>
    <row r="7" spans="1:17" x14ac:dyDescent="0.2">
      <c r="A7" s="2352" t="s">
        <v>924</v>
      </c>
      <c r="B7" s="2353"/>
      <c r="C7" s="2353"/>
      <c r="D7" s="2353"/>
      <c r="E7" s="2354"/>
      <c r="F7" s="1018"/>
      <c r="G7" s="1010"/>
      <c r="H7" s="1017" t="s">
        <v>390</v>
      </c>
      <c r="I7" s="2355">
        <f>COVER!A13</f>
        <v>50082077016</v>
      </c>
      <c r="J7" s="235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6" t="s">
        <v>502</v>
      </c>
      <c r="B11" s="2357"/>
      <c r="C11" s="235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190788</v>
      </c>
      <c r="F12" s="1040"/>
      <c r="G12" s="1834">
        <f t="shared" ref="G12:G18" si="0">SUM(E12:F12)</f>
        <v>190788</v>
      </c>
      <c r="H12" s="1041">
        <v>182150</v>
      </c>
      <c r="I12" s="1040"/>
      <c r="J12" s="1834">
        <f t="shared" ref="J12:J18" si="1">SUM(H12:I12)</f>
        <v>182150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9" t="s">
        <v>7</v>
      </c>
      <c r="C18" s="2360"/>
      <c r="D18" s="236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190788</v>
      </c>
      <c r="F19" s="1836">
        <f t="shared" si="2"/>
        <v>0</v>
      </c>
      <c r="G19" s="1836">
        <f t="shared" si="2"/>
        <v>190788</v>
      </c>
      <c r="H19" s="1836">
        <f t="shared" si="2"/>
        <v>182150</v>
      </c>
      <c r="I19" s="1836">
        <f t="shared" si="2"/>
        <v>0</v>
      </c>
      <c r="J19" s="1836">
        <f t="shared" si="2"/>
        <v>182150</v>
      </c>
    </row>
    <row r="20" spans="1:10" ht="13.5" thickTop="1" x14ac:dyDescent="0.2">
      <c r="A20" s="1036">
        <v>9</v>
      </c>
      <c r="B20" s="2362" t="s">
        <v>1703</v>
      </c>
      <c r="C20" s="2362"/>
      <c r="D20" s="2363"/>
      <c r="E20" s="1047"/>
      <c r="F20" s="1047"/>
      <c r="G20" s="1047"/>
      <c r="H20" s="1047"/>
      <c r="I20" s="1047"/>
      <c r="J20" s="1837">
        <f>IF(AND(G19&gt;0,J19&gt;0),(((J19-G19)/G19)),"Enter Budget Data")</f>
        <v>-4.5275384196071029E-2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8"/>
      <c r="D26" s="2368"/>
      <c r="E26" s="1051"/>
      <c r="F26" s="2367"/>
      <c r="G26" s="2367"/>
    </row>
    <row r="27" spans="1:10" x14ac:dyDescent="0.2">
      <c r="B27" s="1048"/>
      <c r="C27" s="1052" t="s">
        <v>1093</v>
      </c>
      <c r="D27" s="1053"/>
      <c r="E27" s="1054"/>
      <c r="F27" s="2364" t="s">
        <v>1589</v>
      </c>
      <c r="G27" s="2364"/>
    </row>
    <row r="28" spans="1:10" ht="28.5" customHeight="1" x14ac:dyDescent="0.2">
      <c r="B28" s="1048"/>
      <c r="C28" s="2366"/>
      <c r="D28" s="2366"/>
      <c r="E28" s="1055"/>
      <c r="F28" s="2366"/>
      <c r="G28" s="2366"/>
    </row>
    <row r="29" spans="1:10" x14ac:dyDescent="0.2">
      <c r="B29" s="1048"/>
      <c r="C29" s="1056" t="s">
        <v>1642</v>
      </c>
      <c r="E29" s="1057"/>
      <c r="F29" s="2365" t="s">
        <v>1590</v>
      </c>
      <c r="G29" s="236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7" t="s">
        <v>134</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3"/>
    </row>
    <row r="36" spans="1:10" ht="13.5" customHeight="1" x14ac:dyDescent="0.2">
      <c r="B36" s="1062"/>
      <c r="C36" s="2349" t="s">
        <v>1944</v>
      </c>
      <c r="D36" s="2348"/>
      <c r="E36" s="2348"/>
      <c r="F36" s="2348"/>
      <c r="G36" s="2348"/>
      <c r="H36" s="2348"/>
      <c r="I36" s="2348"/>
      <c r="J36" s="1064"/>
    </row>
    <row r="37" spans="1:10" ht="22.5" customHeight="1" x14ac:dyDescent="0.2">
      <c r="C37" s="2348"/>
      <c r="D37" s="2348"/>
      <c r="E37" s="2348"/>
      <c r="F37" s="2348"/>
      <c r="G37" s="2348"/>
      <c r="H37" s="2348"/>
      <c r="I37" s="2348"/>
      <c r="J37" s="1064"/>
    </row>
    <row r="38" spans="1:10" ht="7.5" customHeight="1" x14ac:dyDescent="0.2">
      <c r="C38" s="1063"/>
      <c r="D38" s="1065"/>
      <c r="E38" s="1066"/>
      <c r="F38" s="1067"/>
      <c r="G38" s="1066"/>
    </row>
    <row r="39" spans="1:10" ht="13.5" customHeight="1" x14ac:dyDescent="0.2">
      <c r="B39" s="1062"/>
      <c r="C39" s="2345" t="s">
        <v>937</v>
      </c>
      <c r="D39" s="2346"/>
      <c r="E39" s="2346"/>
      <c r="F39" s="2346"/>
      <c r="G39" s="2346"/>
      <c r="H39" s="2346"/>
      <c r="I39" s="234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3"/>
  <sheetViews>
    <sheetView showGridLines="0" topLeftCell="A29" zoomScale="110" zoomScaleNormal="110" zoomScaleSheetLayoutView="102" workbookViewId="0">
      <selection activeCell="D52" sqref="D52"/>
    </sheetView>
  </sheetViews>
  <sheetFormatPr defaultColWidth="9.140625" defaultRowHeight="12.75" x14ac:dyDescent="0.2"/>
  <cols>
    <col min="1" max="1" width="3" style="329" customWidth="1"/>
    <col min="2" max="2" width="10.7109375" style="329" customWidth="1"/>
    <col min="3" max="3" width="3.140625" style="329" customWidth="1"/>
    <col min="4" max="5" width="9.140625" style="329"/>
    <col min="6" max="6" width="18" style="329" customWidth="1"/>
    <col min="7" max="7" width="9.140625" style="329"/>
    <col min="8" max="8" width="27.7109375" style="329" customWidth="1"/>
    <col min="9" max="9" width="9.140625" style="329"/>
    <col min="10" max="10" width="12.42578125" style="329" bestFit="1" customWidth="1"/>
    <col min="11" max="16384" width="9.140625" style="329"/>
  </cols>
  <sheetData>
    <row r="2" spans="1:11" x14ac:dyDescent="0.2">
      <c r="A2" s="389" t="s">
        <v>276</v>
      </c>
    </row>
    <row r="3" spans="1:11" x14ac:dyDescent="0.2">
      <c r="A3" s="329" t="s">
        <v>277</v>
      </c>
    </row>
    <row r="5" spans="1:11" x14ac:dyDescent="0.2">
      <c r="A5" s="1962"/>
      <c r="B5" s="1969" t="s">
        <v>2101</v>
      </c>
      <c r="C5" s="1964"/>
      <c r="D5" s="1969" t="s">
        <v>396</v>
      </c>
      <c r="E5" s="1964"/>
      <c r="F5" s="1969" t="s">
        <v>1137</v>
      </c>
      <c r="G5" s="1964"/>
      <c r="H5" s="1969" t="s">
        <v>502</v>
      </c>
      <c r="I5" s="1964"/>
      <c r="J5" s="1969" t="s">
        <v>920</v>
      </c>
    </row>
    <row r="6" spans="1:11" s="1963" customFormat="1" x14ac:dyDescent="0.2">
      <c r="A6" s="1962"/>
      <c r="B6" s="1957"/>
      <c r="C6" s="1964"/>
      <c r="D6" s="1958"/>
      <c r="E6" s="1964"/>
      <c r="F6" s="1958"/>
      <c r="G6" s="1964"/>
      <c r="H6" s="1958"/>
      <c r="I6" s="1964"/>
      <c r="J6" s="1958"/>
    </row>
    <row r="7" spans="1:11" x14ac:dyDescent="0.2">
      <c r="A7" s="1069"/>
      <c r="B7" s="1956">
        <v>15</v>
      </c>
      <c r="D7" s="329">
        <v>1790</v>
      </c>
      <c r="F7" s="1967" t="s">
        <v>1217</v>
      </c>
      <c r="H7" s="1967" t="s">
        <v>2102</v>
      </c>
      <c r="J7" s="1968">
        <v>29189</v>
      </c>
    </row>
    <row r="8" spans="1:11" x14ac:dyDescent="0.2">
      <c r="A8" s="1069"/>
      <c r="B8" s="1956"/>
      <c r="F8" s="1967"/>
      <c r="H8" s="1967"/>
      <c r="J8" s="1968"/>
    </row>
    <row r="9" spans="1:11" x14ac:dyDescent="0.2">
      <c r="A9" s="1069"/>
      <c r="B9" s="1956">
        <v>15</v>
      </c>
      <c r="D9" s="329">
        <v>1829</v>
      </c>
      <c r="F9" s="1967" t="s">
        <v>1217</v>
      </c>
      <c r="H9" s="1967" t="s">
        <v>2103</v>
      </c>
      <c r="J9" s="1968">
        <v>44378</v>
      </c>
    </row>
    <row r="10" spans="1:11" x14ac:dyDescent="0.2">
      <c r="A10" s="1069"/>
      <c r="B10" s="1956"/>
      <c r="F10" s="1967"/>
      <c r="H10" s="1967"/>
      <c r="J10" s="1966"/>
    </row>
    <row r="11" spans="1:11" x14ac:dyDescent="0.2">
      <c r="A11" s="1070"/>
      <c r="B11" s="1956">
        <v>16</v>
      </c>
      <c r="D11" s="329">
        <v>1993</v>
      </c>
      <c r="F11" s="1967" t="s">
        <v>1217</v>
      </c>
      <c r="H11" s="1967" t="s">
        <v>2104</v>
      </c>
      <c r="J11" s="1973">
        <v>30</v>
      </c>
    </row>
    <row r="12" spans="1:11" x14ac:dyDescent="0.2">
      <c r="A12" s="1070"/>
      <c r="B12" s="1956"/>
      <c r="F12" s="1967"/>
      <c r="H12" s="1967"/>
      <c r="J12" s="1972"/>
      <c r="K12" s="1971"/>
    </row>
    <row r="13" spans="1:11" x14ac:dyDescent="0.2">
      <c r="A13" s="1070"/>
      <c r="B13" s="1956"/>
      <c r="F13" s="1967"/>
      <c r="H13" s="1967"/>
      <c r="J13" s="1968"/>
    </row>
    <row r="14" spans="1:11" x14ac:dyDescent="0.2">
      <c r="A14" s="1070"/>
      <c r="B14" s="1956">
        <v>16</v>
      </c>
      <c r="D14" s="329">
        <v>1999</v>
      </c>
      <c r="F14" s="1967" t="s">
        <v>1217</v>
      </c>
      <c r="H14" s="1967" t="s">
        <v>2133</v>
      </c>
      <c r="J14" s="1968">
        <v>5533</v>
      </c>
    </row>
    <row r="15" spans="1:11" x14ac:dyDescent="0.2">
      <c r="A15" s="1070"/>
      <c r="B15" s="1956"/>
      <c r="F15" s="1967"/>
      <c r="H15" s="1967" t="s">
        <v>2105</v>
      </c>
      <c r="J15" s="1966">
        <v>599</v>
      </c>
    </row>
    <row r="16" spans="1:11" ht="13.5" thickBot="1" x14ac:dyDescent="0.25">
      <c r="A16" s="1070"/>
      <c r="B16" s="1956"/>
      <c r="F16" s="1967"/>
      <c r="H16" s="1967"/>
      <c r="J16" s="1965">
        <f>SUM(J14:J15)</f>
        <v>6132</v>
      </c>
    </row>
    <row r="17" spans="1:10" ht="13.5" thickTop="1" x14ac:dyDescent="0.2">
      <c r="A17" s="1070"/>
      <c r="B17" s="1956"/>
      <c r="F17" s="1967"/>
      <c r="H17" s="1967"/>
      <c r="J17" s="1968"/>
    </row>
    <row r="18" spans="1:10" x14ac:dyDescent="0.2">
      <c r="A18" s="1070"/>
      <c r="B18" s="1956">
        <v>16</v>
      </c>
      <c r="D18" s="329">
        <v>1999</v>
      </c>
      <c r="F18" s="1967" t="s">
        <v>2106</v>
      </c>
      <c r="H18" s="1967" t="s">
        <v>2115</v>
      </c>
      <c r="J18" s="1968">
        <v>12325</v>
      </c>
    </row>
    <row r="19" spans="1:10" x14ac:dyDescent="0.2">
      <c r="A19" s="1070"/>
      <c r="B19" s="1956"/>
      <c r="F19" s="1967"/>
      <c r="H19" s="1967" t="s">
        <v>2134</v>
      </c>
      <c r="J19" s="1966">
        <v>10924</v>
      </c>
    </row>
    <row r="20" spans="1:10" ht="13.5" thickBot="1" x14ac:dyDescent="0.25">
      <c r="A20" s="1070"/>
      <c r="B20" s="1956"/>
      <c r="F20" s="1967"/>
      <c r="H20" s="1967"/>
      <c r="J20" s="1965">
        <f>SUM(J18:J19)</f>
        <v>23249</v>
      </c>
    </row>
    <row r="21" spans="1:10" ht="13.5" thickTop="1" x14ac:dyDescent="0.2">
      <c r="A21" s="1070"/>
      <c r="B21" s="1956"/>
      <c r="F21" s="1967"/>
      <c r="H21" s="1967"/>
      <c r="J21" s="1968"/>
    </row>
    <row r="22" spans="1:10" x14ac:dyDescent="0.2">
      <c r="A22" s="1070"/>
      <c r="B22" s="1956">
        <v>16</v>
      </c>
      <c r="D22" s="329">
        <v>1999</v>
      </c>
      <c r="F22" s="1967" t="s">
        <v>470</v>
      </c>
      <c r="H22" s="1967" t="s">
        <v>2137</v>
      </c>
      <c r="J22" s="1968">
        <v>1791</v>
      </c>
    </row>
    <row r="23" spans="1:10" x14ac:dyDescent="0.2">
      <c r="A23" s="1070"/>
      <c r="B23" s="1956"/>
      <c r="F23" s="1967"/>
      <c r="H23" s="1967"/>
      <c r="J23" s="1968"/>
    </row>
    <row r="24" spans="1:10" x14ac:dyDescent="0.2">
      <c r="A24" s="1070"/>
      <c r="B24" s="1956">
        <v>16</v>
      </c>
      <c r="D24" s="329">
        <v>1999</v>
      </c>
      <c r="F24" s="1967" t="s">
        <v>157</v>
      </c>
      <c r="H24" s="1967" t="s">
        <v>2135</v>
      </c>
      <c r="J24" s="1968">
        <v>7555</v>
      </c>
    </row>
    <row r="25" spans="1:10" x14ac:dyDescent="0.2">
      <c r="A25" s="1070"/>
      <c r="B25" s="1956"/>
      <c r="F25" s="1967"/>
      <c r="H25" s="1967"/>
      <c r="J25" s="1968"/>
    </row>
    <row r="26" spans="1:10" x14ac:dyDescent="0.2">
      <c r="A26" s="1070"/>
      <c r="B26" s="1956">
        <v>16</v>
      </c>
      <c r="D26" s="329">
        <v>1999</v>
      </c>
      <c r="F26" s="1967" t="s">
        <v>456</v>
      </c>
      <c r="H26" s="1967" t="s">
        <v>2136</v>
      </c>
      <c r="J26" s="1968">
        <v>537</v>
      </c>
    </row>
    <row r="27" spans="1:10" x14ac:dyDescent="0.2">
      <c r="A27" s="1070"/>
      <c r="B27" s="1956"/>
      <c r="F27" s="1967"/>
      <c r="H27" s="1967"/>
      <c r="J27" s="1968"/>
    </row>
    <row r="28" spans="1:10" x14ac:dyDescent="0.2">
      <c r="A28" s="1070"/>
      <c r="B28" s="1956">
        <v>20</v>
      </c>
      <c r="D28" s="329">
        <v>2190</v>
      </c>
      <c r="F28" s="1967" t="s">
        <v>1217</v>
      </c>
      <c r="H28" s="1967" t="s">
        <v>2107</v>
      </c>
      <c r="J28" s="1968">
        <v>2013</v>
      </c>
    </row>
    <row r="29" spans="1:10" x14ac:dyDescent="0.2">
      <c r="A29" s="1070"/>
      <c r="B29" s="1956"/>
      <c r="F29" s="1967"/>
      <c r="H29" s="1967"/>
      <c r="J29" s="1968"/>
    </row>
    <row r="30" spans="1:10" x14ac:dyDescent="0.2">
      <c r="A30" s="1070"/>
      <c r="B30" s="1956">
        <v>23</v>
      </c>
      <c r="D30" s="329">
        <v>5400</v>
      </c>
      <c r="F30" s="1967" t="s">
        <v>470</v>
      </c>
      <c r="H30" s="1967" t="s">
        <v>2108</v>
      </c>
      <c r="J30" s="1968">
        <v>21451</v>
      </c>
    </row>
    <row r="31" spans="1:10" x14ac:dyDescent="0.2">
      <c r="A31" s="1070"/>
      <c r="B31" s="1956"/>
      <c r="F31" s="1967"/>
      <c r="H31" s="1967"/>
      <c r="J31" s="1968"/>
    </row>
    <row r="32" spans="1:10" x14ac:dyDescent="0.2">
      <c r="A32" s="1070"/>
      <c r="B32" s="1956">
        <v>29</v>
      </c>
      <c r="D32" s="1970" t="s">
        <v>2109</v>
      </c>
      <c r="F32" s="1967" t="s">
        <v>2110</v>
      </c>
      <c r="H32" s="1967" t="s">
        <v>2111</v>
      </c>
      <c r="J32" s="1968">
        <v>-1025000</v>
      </c>
    </row>
    <row r="33" spans="1:10" x14ac:dyDescent="0.2">
      <c r="A33" s="1070"/>
      <c r="B33" s="1956"/>
      <c r="F33" s="1967"/>
      <c r="H33" s="1967" t="s">
        <v>2112</v>
      </c>
      <c r="J33" s="1966">
        <v>1025000</v>
      </c>
    </row>
    <row r="34" spans="1:10" x14ac:dyDescent="0.2">
      <c r="A34" s="1070"/>
      <c r="B34" s="1956"/>
      <c r="F34" s="1967"/>
      <c r="H34" s="1967" t="s">
        <v>2113</v>
      </c>
      <c r="J34" s="1966">
        <v>15000</v>
      </c>
    </row>
    <row r="35" spans="1:10" s="1963" customFormat="1" x14ac:dyDescent="0.2">
      <c r="A35" s="1070"/>
      <c r="B35" s="1956"/>
      <c r="F35" s="1967" t="s">
        <v>2145</v>
      </c>
      <c r="H35" s="1967" t="s">
        <v>2143</v>
      </c>
      <c r="J35" s="1966">
        <v>-36229</v>
      </c>
    </row>
    <row r="36" spans="1:10" s="1963" customFormat="1" x14ac:dyDescent="0.2">
      <c r="A36" s="1070"/>
      <c r="B36" s="1956"/>
      <c r="F36" s="1967" t="s">
        <v>2145</v>
      </c>
      <c r="H36" s="1967" t="s">
        <v>2146</v>
      </c>
      <c r="J36" s="1966">
        <v>70313</v>
      </c>
    </row>
    <row r="37" spans="1:10" s="1963" customFormat="1" x14ac:dyDescent="0.2">
      <c r="A37" s="1070"/>
      <c r="B37" s="1956"/>
      <c r="F37" s="1967" t="s">
        <v>2145</v>
      </c>
      <c r="H37" s="1967" t="s">
        <v>2144</v>
      </c>
      <c r="J37" s="1966">
        <v>-70313</v>
      </c>
    </row>
    <row r="38" spans="1:10" x14ac:dyDescent="0.2">
      <c r="A38" s="1070"/>
      <c r="B38" s="1956"/>
      <c r="F38" s="1967"/>
      <c r="H38" s="1967" t="s">
        <v>2114</v>
      </c>
      <c r="J38" s="1966">
        <v>5180</v>
      </c>
    </row>
    <row r="39" spans="1:10" ht="13.5" thickBot="1" x14ac:dyDescent="0.25">
      <c r="A39" s="1070"/>
      <c r="B39" s="1956"/>
      <c r="F39" s="1967"/>
      <c r="H39" s="1967"/>
      <c r="J39" s="1965">
        <f>SUM(J32:J38)</f>
        <v>-16049</v>
      </c>
    </row>
    <row r="40" spans="1:10" ht="13.5" thickTop="1" x14ac:dyDescent="0.2">
      <c r="A40" s="1070"/>
      <c r="B40" s="1956"/>
      <c r="F40" s="1967"/>
      <c r="H40" s="1967"/>
      <c r="J40" s="1968"/>
    </row>
    <row r="41" spans="1:10" x14ac:dyDescent="0.2">
      <c r="A41" s="1070"/>
      <c r="B41" s="1956">
        <v>30</v>
      </c>
      <c r="F41" s="1967" t="s">
        <v>430</v>
      </c>
      <c r="H41" s="1967" t="s">
        <v>2138</v>
      </c>
      <c r="J41" s="1968">
        <v>61</v>
      </c>
    </row>
    <row r="42" spans="1:10" x14ac:dyDescent="0.2">
      <c r="A42" s="1070"/>
      <c r="B42" s="1956"/>
      <c r="F42" s="1967"/>
      <c r="H42" s="1967"/>
      <c r="J42" s="1968"/>
    </row>
    <row r="43" spans="1:10" x14ac:dyDescent="0.2">
      <c r="A43" s="1070"/>
      <c r="B43" s="1956"/>
      <c r="F43" s="1967"/>
      <c r="H43" s="1967"/>
      <c r="J43" s="1968"/>
    </row>
    <row r="44" spans="1:10" x14ac:dyDescent="0.2">
      <c r="A44" s="1070"/>
      <c r="B44" s="1956"/>
      <c r="F44" s="1967"/>
      <c r="H44" s="1967"/>
      <c r="J44" s="1968"/>
    </row>
    <row r="45" spans="1:10" x14ac:dyDescent="0.2">
      <c r="A45" s="1070"/>
      <c r="B45" s="1956"/>
      <c r="F45" s="1967"/>
      <c r="H45" s="1967"/>
      <c r="J45" s="1968"/>
    </row>
    <row r="46" spans="1:10" x14ac:dyDescent="0.2">
      <c r="A46" s="1070"/>
      <c r="B46" s="1956"/>
      <c r="F46" s="1967"/>
      <c r="H46" s="1967"/>
      <c r="J46" s="1968"/>
    </row>
    <row r="47" spans="1:10" x14ac:dyDescent="0.2">
      <c r="A47" s="1070"/>
      <c r="B47" s="1956"/>
      <c r="F47" s="1967"/>
      <c r="H47" s="1967"/>
      <c r="J47" s="1968"/>
    </row>
    <row r="48" spans="1:10" x14ac:dyDescent="0.2">
      <c r="A48" s="1070"/>
      <c r="B48" s="1956"/>
      <c r="F48" s="1967"/>
      <c r="H48" s="1967"/>
      <c r="J48" s="1968"/>
    </row>
    <row r="49" spans="1:10" x14ac:dyDescent="0.2">
      <c r="A49" s="1070"/>
      <c r="B49" s="1956"/>
      <c r="F49" s="1967"/>
      <c r="H49" s="1967"/>
      <c r="J49" s="1968"/>
    </row>
    <row r="50" spans="1:10" x14ac:dyDescent="0.2">
      <c r="A50" s="1070"/>
      <c r="B50" s="1956"/>
      <c r="F50" s="1967"/>
      <c r="H50" s="1967"/>
      <c r="J50" s="1968"/>
    </row>
    <row r="51" spans="1:10" x14ac:dyDescent="0.2">
      <c r="A51" s="1070"/>
      <c r="B51" s="1956"/>
      <c r="F51" s="1967"/>
      <c r="H51" s="1967"/>
      <c r="J51" s="1968"/>
    </row>
    <row r="52" spans="1:10" x14ac:dyDescent="0.2">
      <c r="A52" s="1070"/>
      <c r="B52" s="1956"/>
      <c r="F52" s="1967"/>
      <c r="H52" s="1967"/>
      <c r="J52" s="1968"/>
    </row>
    <row r="53" spans="1:10" x14ac:dyDescent="0.2">
      <c r="A53" s="1070"/>
      <c r="B53" s="1956"/>
      <c r="F53" s="1967"/>
      <c r="H53" s="1967"/>
      <c r="J53" s="1968"/>
    </row>
    <row r="54" spans="1:10" x14ac:dyDescent="0.2">
      <c r="A54" s="1070"/>
      <c r="B54" s="1956"/>
      <c r="F54" s="1967"/>
      <c r="J54" s="1968"/>
    </row>
    <row r="55" spans="1:10" x14ac:dyDescent="0.2">
      <c r="A55" s="1070"/>
      <c r="B55" s="1956"/>
      <c r="F55" s="1967"/>
      <c r="J55" s="1968"/>
    </row>
    <row r="56" spans="1:10" x14ac:dyDescent="0.2">
      <c r="A56" s="1070"/>
      <c r="B56" s="1956"/>
      <c r="J56" s="1968"/>
    </row>
    <row r="57" spans="1:10" x14ac:dyDescent="0.2">
      <c r="A57" s="1070"/>
      <c r="B57" s="1956"/>
    </row>
    <row r="58" spans="1:10" x14ac:dyDescent="0.2">
      <c r="A58" s="1070"/>
    </row>
    <row r="59" spans="1:10" x14ac:dyDescent="0.2">
      <c r="A59" s="1070"/>
    </row>
    <row r="60" spans="1:10" x14ac:dyDescent="0.2">
      <c r="A60" s="1070"/>
    </row>
    <row r="61" spans="1:10" x14ac:dyDescent="0.2">
      <c r="A61" s="1070"/>
    </row>
    <row r="62" spans="1:10" x14ac:dyDescent="0.2">
      <c r="A62" s="1070"/>
      <c r="B62" s="258" t="str">
        <f>COVER!A17</f>
        <v>Freeburg CHSD 77</v>
      </c>
    </row>
    <row r="63" spans="1:10" x14ac:dyDescent="0.2">
      <c r="B63" s="1071">
        <f>COVER!A13</f>
        <v>50082077016</v>
      </c>
    </row>
  </sheetData>
  <phoneticPr fontId="13"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13"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6" t="s">
        <v>1125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715</v>
      </c>
      <c r="B40" s="2083"/>
      <c r="C40" s="2083"/>
      <c r="D40" s="2083"/>
      <c r="E40" s="2083"/>
    </row>
    <row r="41" spans="1:5" x14ac:dyDescent="0.2">
      <c r="A41" s="2084" t="s">
        <v>1706</v>
      </c>
      <c r="B41" s="2084"/>
      <c r="C41" s="2084"/>
      <c r="D41" s="2084"/>
      <c r="E41" s="2084"/>
    </row>
    <row r="42" spans="1:5" ht="12.75" customHeight="1" x14ac:dyDescent="0.2">
      <c r="A42" s="2085" t="s">
        <v>1080</v>
      </c>
      <c r="B42" s="2085"/>
      <c r="C42" s="2085"/>
      <c r="D42" s="2085"/>
      <c r="E42" s="208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5" sqref="C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9" t="s">
        <v>1784</v>
      </c>
      <c r="B18" s="236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6</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1285875</xdr:colOff>
                <xdr:row>2</xdr:row>
                <xdr:rowOff>142875</xdr:rowOff>
              </from>
              <to>
                <xdr:col>1</xdr:col>
                <xdr:colOff>2181225</xdr:colOff>
                <xdr:row>6</xdr:row>
                <xdr:rowOff>133350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5"/>
      <c r="H2" s="1075"/>
    </row>
    <row r="3" spans="1:8" ht="57" customHeight="1" x14ac:dyDescent="0.2">
      <c r="A3" s="2383" t="s">
        <v>1786</v>
      </c>
      <c r="B3" s="2384"/>
      <c r="C3" s="2384"/>
      <c r="D3" s="2384"/>
      <c r="E3" s="2384"/>
      <c r="F3" s="2385"/>
      <c r="G3" s="1075"/>
      <c r="H3" s="1075"/>
    </row>
    <row r="4" spans="1:8" ht="14.25" customHeight="1" x14ac:dyDescent="0.2">
      <c r="A4" s="2389" t="s">
        <v>2056</v>
      </c>
      <c r="B4" s="2390"/>
      <c r="C4" s="2390"/>
      <c r="D4" s="2390"/>
      <c r="E4" s="2390"/>
      <c r="F4" s="2391"/>
      <c r="G4" s="1075"/>
      <c r="H4" s="1075"/>
    </row>
    <row r="5" spans="1:8" ht="14.25" customHeight="1" x14ac:dyDescent="0.2">
      <c r="A5" s="2392" t="s">
        <v>2057</v>
      </c>
      <c r="B5" s="2393"/>
      <c r="C5" s="2393"/>
      <c r="D5" s="2393"/>
      <c r="E5" s="2393"/>
      <c r="F5" s="2394"/>
      <c r="G5" s="1075"/>
      <c r="H5" s="1075"/>
    </row>
    <row r="6" spans="1:8" s="1076" customFormat="1" ht="41.25" customHeight="1" x14ac:dyDescent="0.2">
      <c r="A6" s="2386" t="s">
        <v>1792</v>
      </c>
      <c r="B6" s="2387"/>
      <c r="C6" s="2387"/>
      <c r="D6" s="2387"/>
      <c r="E6" s="2387"/>
      <c r="F6" s="238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4994742</v>
      </c>
      <c r="C8" s="1838">
        <f>'Acct Summary 7-8'!D8</f>
        <v>855903</v>
      </c>
      <c r="D8" s="1838">
        <f>'Acct Summary 7-8'!F8</f>
        <v>432030</v>
      </c>
      <c r="E8" s="1838">
        <f>'Acct Summary 7-8'!I8</f>
        <v>132202</v>
      </c>
      <c r="F8" s="1838">
        <f>SUM(B8:E8)</f>
        <v>6414877</v>
      </c>
    </row>
    <row r="9" spans="1:8" s="1080" customFormat="1" ht="14.25" customHeight="1" thickBot="1" x14ac:dyDescent="0.25">
      <c r="A9" s="1079" t="s">
        <v>1436</v>
      </c>
      <c r="B9" s="1839">
        <f>'Acct Summary 7-8'!C17</f>
        <v>4629051</v>
      </c>
      <c r="C9" s="1839">
        <f>'Acct Summary 7-8'!D17</f>
        <v>738000</v>
      </c>
      <c r="D9" s="1839">
        <f>'Acct Summary 7-8'!F17</f>
        <v>441552</v>
      </c>
      <c r="E9" s="1838"/>
      <c r="F9" s="1838">
        <f>SUM(B9:E9)</f>
        <v>5808603</v>
      </c>
    </row>
    <row r="10" spans="1:8" s="1080" customFormat="1" ht="14.25" thickTop="1" thickBot="1" x14ac:dyDescent="0.25">
      <c r="A10" s="1081" t="s">
        <v>1437</v>
      </c>
      <c r="B10" s="1840">
        <f>(B8-B9)</f>
        <v>365691</v>
      </c>
      <c r="C10" s="1840">
        <f>(C8-C9)</f>
        <v>117903</v>
      </c>
      <c r="D10" s="1840">
        <f>(D8-D9)</f>
        <v>-9522</v>
      </c>
      <c r="E10" s="1839">
        <f>(E8-E9)</f>
        <v>132202</v>
      </c>
      <c r="F10" s="1841">
        <f>SUM(F8-F9)</f>
        <v>606274</v>
      </c>
    </row>
    <row r="11" spans="1:8" s="1080" customFormat="1" ht="14.25" thickTop="1" thickBot="1" x14ac:dyDescent="0.25">
      <c r="A11" s="1082" t="s">
        <v>1785</v>
      </c>
      <c r="B11" s="1842">
        <f>'Acct Summary 7-8'!C81</f>
        <v>656292</v>
      </c>
      <c r="C11" s="1842">
        <f>'Acct Summary 7-8'!D81</f>
        <v>875287</v>
      </c>
      <c r="D11" s="1842">
        <f>'Acct Summary 7-8'!F81</f>
        <v>481154</v>
      </c>
      <c r="E11" s="1842">
        <f>'Acct Summary 7-8'!I81</f>
        <v>345022</v>
      </c>
      <c r="F11" s="1843">
        <f>SUM(B11:E11)</f>
        <v>2357755</v>
      </c>
    </row>
    <row r="12" spans="1:8" ht="16.5" customHeight="1" thickTop="1" x14ac:dyDescent="0.2">
      <c r="A12" s="1083"/>
      <c r="B12" s="1084"/>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5"/>
      <c r="B13" s="1086"/>
      <c r="C13" s="2374"/>
      <c r="D13" s="2375"/>
      <c r="E13" s="2375"/>
      <c r="F13" s="2376"/>
      <c r="H13" s="1075"/>
    </row>
    <row r="14" spans="1:8" ht="19.5" customHeight="1" x14ac:dyDescent="0.2">
      <c r="A14" s="1085"/>
      <c r="B14" s="1086"/>
      <c r="C14" s="2374"/>
      <c r="D14" s="2375"/>
      <c r="E14" s="2375"/>
      <c r="F14" s="2376"/>
      <c r="H14" s="1075"/>
    </row>
    <row r="15" spans="1:8" ht="17.25" customHeight="1" x14ac:dyDescent="0.2">
      <c r="A15" s="1085"/>
      <c r="B15" s="1086"/>
      <c r="C15" s="2377"/>
      <c r="D15" s="2378"/>
      <c r="E15" s="2378"/>
      <c r="F15" s="2379"/>
      <c r="H15" s="1075"/>
    </row>
    <row r="16" spans="1:8" s="310" customFormat="1" ht="51.75" hidden="1" customHeight="1" x14ac:dyDescent="0.2">
      <c r="A16" s="2373" t="s">
        <v>1787</v>
      </c>
      <c r="B16" s="2373"/>
      <c r="C16" s="2373"/>
      <c r="D16" s="2373"/>
      <c r="E16" s="237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5" t="s">
        <v>686</v>
      </c>
      <c r="B3" s="2396"/>
      <c r="C3" s="2396"/>
      <c r="D3" s="239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6" t="s">
        <v>1584</v>
      </c>
      <c r="D7" s="240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0" t="s">
        <v>332</v>
      </c>
      <c r="D21" s="2411"/>
    </row>
    <row r="22" spans="1:10" ht="12.75" x14ac:dyDescent="0.2">
      <c r="A22" s="1140"/>
      <c r="B22" s="1141">
        <v>2</v>
      </c>
      <c r="C22" s="2408" t="s">
        <v>1605</v>
      </c>
      <c r="D22" s="240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2" t="s">
        <v>557</v>
      </c>
      <c r="D43" s="241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4" t="s">
        <v>817</v>
      </c>
      <c r="D56" s="240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4" t="s">
        <v>1797</v>
      </c>
      <c r="D70" s="240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50082077016</v>
      </c>
    </row>
    <row r="3" spans="1:2" x14ac:dyDescent="0.2">
      <c r="A3" t="s">
        <v>1013</v>
      </c>
      <c r="B3" s="138" t="str">
        <f>COVER!A15</f>
        <v>ST. CLAIR</v>
      </c>
    </row>
    <row r="4" spans="1:2" x14ac:dyDescent="0.2">
      <c r="A4" t="s">
        <v>1064</v>
      </c>
      <c r="B4" s="138" t="str">
        <f>COVER!A17</f>
        <v>Freeburg CHSD 77</v>
      </c>
    </row>
    <row r="5" spans="1:2" x14ac:dyDescent="0.2">
      <c r="A5" t="s">
        <v>728</v>
      </c>
      <c r="B5" s="138" t="str">
        <f>COVER!A38</f>
        <v>GREGORY A. FRERKING</v>
      </c>
    </row>
    <row r="6" spans="1:2" x14ac:dyDescent="0.2">
      <c r="A6" t="s">
        <v>733</v>
      </c>
      <c r="B6" s="138">
        <f>COVER!P35</f>
        <v>0</v>
      </c>
    </row>
    <row r="7" spans="1:2" x14ac:dyDescent="0.2">
      <c r="A7" t="s">
        <v>729</v>
      </c>
      <c r="B7" s="138">
        <f>COVER!I38</f>
        <v>0</v>
      </c>
    </row>
    <row r="8" spans="1:2" x14ac:dyDescent="0.2">
      <c r="A8" t="s">
        <v>730</v>
      </c>
      <c r="B8" s="138" t="str">
        <f>COVER!T38</f>
        <v>SUSAN SARFATY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BRIAN A. OTTEN</v>
      </c>
    </row>
    <row r="18" spans="1:2" x14ac:dyDescent="0.2">
      <c r="A18" t="s">
        <v>1212</v>
      </c>
      <c r="B18" s="138" t="str">
        <f>COVER!T17</f>
        <v>222 EAST MAIN STREET</v>
      </c>
    </row>
    <row r="19" spans="1:2" x14ac:dyDescent="0.2">
      <c r="A19" t="s">
        <v>941</v>
      </c>
      <c r="B19" s="138" t="str">
        <f>COVER!T25</f>
        <v>brian.otten@scheffelboyle.com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656292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656292</v>
      </c>
      <c r="D92" s="2" t="str">
        <f t="shared" si="0"/>
        <v>Error?</v>
      </c>
    </row>
    <row r="93" spans="1:4" x14ac:dyDescent="0.2">
      <c r="A93" s="5">
        <v>32</v>
      </c>
      <c r="B93" s="138">
        <f>'Assets-Liab 5-6'!C41</f>
        <v>656292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875287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855672</v>
      </c>
      <c r="D123" s="2" t="str">
        <f t="shared" si="0"/>
        <v>Error?</v>
      </c>
    </row>
    <row r="124" spans="1:4" x14ac:dyDescent="0.2">
      <c r="A124" s="5">
        <v>63</v>
      </c>
      <c r="B124" s="138">
        <f>'Assets-Liab 5-6'!D41</f>
        <v>875287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23662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23662</v>
      </c>
      <c r="D140" s="2" t="str">
        <f t="shared" si="1"/>
        <v>Error?</v>
      </c>
    </row>
    <row r="141" spans="1:4" x14ac:dyDescent="0.2">
      <c r="A141" s="5">
        <v>80</v>
      </c>
      <c r="B141" s="138">
        <f>'Assets-Liab 5-6'!E41</f>
        <v>23662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481154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481154</v>
      </c>
      <c r="D170" s="2" t="str">
        <f t="shared" si="1"/>
        <v>Error?</v>
      </c>
    </row>
    <row r="171" spans="1:4" x14ac:dyDescent="0.2">
      <c r="A171" s="5">
        <v>110</v>
      </c>
      <c r="B171" s="138">
        <f>'Assets-Liab 5-6'!F41</f>
        <v>481154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460934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271651</v>
      </c>
      <c r="D189" s="2" t="str">
        <f t="shared" si="1"/>
        <v>Error?</v>
      </c>
    </row>
    <row r="190" spans="1:4" x14ac:dyDescent="0.2">
      <c r="A190" s="5">
        <v>129</v>
      </c>
      <c r="B190" s="138">
        <f>'Assets-Liab 5-6'!G41</f>
        <v>460934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932025</v>
      </c>
      <c r="D273" s="2" t="str">
        <f t="shared" si="3"/>
        <v>Error?</v>
      </c>
    </row>
    <row r="274" spans="1:4" x14ac:dyDescent="0.2">
      <c r="A274" s="5">
        <v>213</v>
      </c>
      <c r="B274" s="138">
        <f>'Assets-Liab 5-6'!M17</f>
        <v>10275242</v>
      </c>
      <c r="D274" s="2" t="str">
        <f t="shared" si="3"/>
        <v>Error?</v>
      </c>
    </row>
    <row r="275" spans="1:4" x14ac:dyDescent="0.2">
      <c r="A275" s="5">
        <v>214</v>
      </c>
      <c r="B275" s="138">
        <f>'Assets-Liab 5-6'!M18</f>
        <v>5517079</v>
      </c>
      <c r="D275" s="2" t="str">
        <f t="shared" si="3"/>
        <v>Error?</v>
      </c>
    </row>
    <row r="276" spans="1:4" x14ac:dyDescent="0.2">
      <c r="A276" s="5">
        <v>215</v>
      </c>
      <c r="B276" s="138">
        <f>'Assets-Liab 5-6'!M19</f>
        <v>5333035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22270166</v>
      </c>
      <c r="C279" s="2" t="s">
        <v>594</v>
      </c>
      <c r="D279" s="2" t="str">
        <f t="shared" si="3"/>
        <v>Error?</v>
      </c>
    </row>
    <row r="280" spans="1:4" x14ac:dyDescent="0.2">
      <c r="A280" s="5">
        <v>219</v>
      </c>
      <c r="B280" s="138">
        <f>'Assets-Liab 5-6'!M40</f>
        <v>22270166</v>
      </c>
      <c r="D280" s="2" t="str">
        <f t="shared" si="3"/>
        <v>Error?</v>
      </c>
    </row>
    <row r="281" spans="1:4" x14ac:dyDescent="0.2">
      <c r="A281" s="5">
        <v>220</v>
      </c>
      <c r="B281" s="138">
        <f>'Assets-Liab 5-6'!M41</f>
        <v>22270166</v>
      </c>
      <c r="C281" s="2" t="s">
        <v>594</v>
      </c>
      <c r="D281" s="2" t="str">
        <f t="shared" si="3"/>
        <v>Error?</v>
      </c>
    </row>
    <row r="282" spans="1:4" x14ac:dyDescent="0.2">
      <c r="A282" s="5">
        <v>221</v>
      </c>
      <c r="B282" s="138">
        <f>'Assets-Liab 5-6'!N21</f>
        <v>23662</v>
      </c>
      <c r="D282" s="2" t="str">
        <f t="shared" si="3"/>
        <v>Error?</v>
      </c>
    </row>
    <row r="283" spans="1:4" x14ac:dyDescent="0.2">
      <c r="A283" s="5">
        <v>222</v>
      </c>
      <c r="B283" s="138">
        <f>'Assets-Liab 5-6'!N22</f>
        <v>6258799</v>
      </c>
      <c r="D283" s="2" t="str">
        <f t="shared" si="3"/>
        <v>Error?</v>
      </c>
    </row>
    <row r="284" spans="1:4" x14ac:dyDescent="0.2">
      <c r="A284" s="5">
        <v>223</v>
      </c>
      <c r="B284" s="138">
        <f>'Assets-Liab 5-6'!N23</f>
        <v>6282461</v>
      </c>
      <c r="C284" s="2" t="s">
        <v>594</v>
      </c>
      <c r="D284" s="2" t="str">
        <f t="shared" si="3"/>
        <v>Error?</v>
      </c>
    </row>
    <row r="285" spans="1:4" x14ac:dyDescent="0.2">
      <c r="A285" s="5">
        <v>224</v>
      </c>
      <c r="B285" s="138">
        <f>'Assets-Liab 5-6'!N36</f>
        <v>6282461</v>
      </c>
      <c r="D285" s="2" t="str">
        <f t="shared" si="3"/>
        <v>Error?</v>
      </c>
    </row>
    <row r="286" spans="1:4" x14ac:dyDescent="0.2">
      <c r="A286" s="10">
        <v>225</v>
      </c>
      <c r="D286" s="2" t="str">
        <f t="shared" si="3"/>
        <v>OK</v>
      </c>
    </row>
    <row r="287" spans="1:4" x14ac:dyDescent="0.2">
      <c r="A287" s="5">
        <v>226</v>
      </c>
      <c r="B287" s="138">
        <f>'Assets-Liab 5-6'!N37</f>
        <v>6282461</v>
      </c>
      <c r="C287" s="2" t="s">
        <v>594</v>
      </c>
      <c r="D287" s="2" t="str">
        <f t="shared" si="3"/>
        <v>Error?</v>
      </c>
    </row>
    <row r="288" spans="1:4" x14ac:dyDescent="0.2">
      <c r="A288" s="5">
        <v>227</v>
      </c>
      <c r="B288" s="138">
        <f>'Assets-Liab 5-6'!N41</f>
        <v>6282461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212820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1412993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274265</v>
      </c>
      <c r="D717" s="2" t="str">
        <f t="shared" si="10"/>
        <v>Error?</v>
      </c>
    </row>
    <row r="718" spans="1:4" x14ac:dyDescent="0.2">
      <c r="A718" s="5">
        <v>657</v>
      </c>
      <c r="B718" s="138">
        <f>'Expenditures 15-22'!C14</f>
        <v>259554</v>
      </c>
      <c r="D718" s="2" t="str">
        <f t="shared" si="10"/>
        <v>Error?</v>
      </c>
    </row>
    <row r="719" spans="1:4" x14ac:dyDescent="0.2">
      <c r="A719" s="5">
        <v>658</v>
      </c>
      <c r="B719" s="138">
        <f>'Expenditures 15-22'!C15</f>
        <v>1704</v>
      </c>
      <c r="D719" s="2" t="str">
        <f t="shared" si="10"/>
        <v>Error?</v>
      </c>
    </row>
    <row r="720" spans="1:4" x14ac:dyDescent="0.2">
      <c r="A720" s="5">
        <v>659</v>
      </c>
      <c r="B720" s="138">
        <f>'Expenditures 15-22'!C33</f>
        <v>2404568</v>
      </c>
      <c r="C720" s="2" t="s">
        <v>594</v>
      </c>
      <c r="D720" s="2" t="str">
        <f t="shared" si="10"/>
        <v>Error?</v>
      </c>
    </row>
    <row r="721" spans="1:4" x14ac:dyDescent="0.2">
      <c r="A721" s="5">
        <v>660</v>
      </c>
      <c r="B721" s="138">
        <f>'Expenditures 15-22'!C36</f>
        <v>97671</v>
      </c>
      <c r="D721" s="2" t="str">
        <f t="shared" si="10"/>
        <v>Error?</v>
      </c>
    </row>
    <row r="722" spans="1:4" x14ac:dyDescent="0.2">
      <c r="A722" s="5">
        <v>661</v>
      </c>
      <c r="B722" s="138">
        <f>'Expenditures 15-22'!C37</f>
        <v>96463</v>
      </c>
      <c r="D722" s="2" t="str">
        <f t="shared" si="10"/>
        <v>Error?</v>
      </c>
    </row>
    <row r="723" spans="1:4" x14ac:dyDescent="0.2">
      <c r="A723" s="5">
        <v>662</v>
      </c>
      <c r="B723" s="138">
        <f>'Expenditures 15-22'!C38</f>
        <v>34884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229018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1900</v>
      </c>
      <c r="D732" s="2" t="str">
        <f t="shared" si="10"/>
        <v>Error?</v>
      </c>
    </row>
    <row r="733" spans="1:4" x14ac:dyDescent="0.2">
      <c r="A733" s="5">
        <v>672</v>
      </c>
      <c r="B733" s="138">
        <f>'Expenditures 15-22'!C50</f>
        <v>152850</v>
      </c>
      <c r="D733" s="2" t="str">
        <f t="shared" si="10"/>
        <v>Error?</v>
      </c>
    </row>
    <row r="734" spans="1:4" x14ac:dyDescent="0.2">
      <c r="A734" s="5">
        <v>673</v>
      </c>
      <c r="B734" s="138">
        <f>'Expenditures 15-22'!C53</f>
        <v>154750</v>
      </c>
      <c r="C734" s="2" t="s">
        <v>594</v>
      </c>
      <c r="D734" s="2" t="str">
        <f t="shared" si="10"/>
        <v>Error?</v>
      </c>
    </row>
    <row r="735" spans="1:4" x14ac:dyDescent="0.2">
      <c r="A735" s="5">
        <v>674</v>
      </c>
      <c r="B735" s="138">
        <f>'Expenditures 15-22'!C55</f>
        <v>134508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134508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91469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23505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114974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99140</v>
      </c>
      <c r="D751" s="2" t="str">
        <f t="shared" si="10"/>
        <v>Error?</v>
      </c>
    </row>
    <row r="752" spans="1:4" x14ac:dyDescent="0.2">
      <c r="A752" s="10">
        <v>691</v>
      </c>
      <c r="D752" s="2" t="str">
        <f t="shared" si="10"/>
        <v>OK</v>
      </c>
    </row>
    <row r="753" spans="1:4" x14ac:dyDescent="0.2">
      <c r="A753" s="5">
        <v>692</v>
      </c>
      <c r="B753" s="138">
        <f>'Expenditures 15-22'!C72</f>
        <v>99140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732390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3136958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333390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57390</v>
      </c>
      <c r="D775" s="2" t="str">
        <f t="shared" si="11"/>
        <v>Error?</v>
      </c>
    </row>
    <row r="776" spans="1:4" x14ac:dyDescent="0.2">
      <c r="A776" s="5">
        <v>715</v>
      </c>
      <c r="B776" s="138">
        <f>'Expenditures 15-22'!D14</f>
        <v>12396</v>
      </c>
      <c r="D776" s="2" t="str">
        <f t="shared" si="11"/>
        <v>Error?</v>
      </c>
    </row>
    <row r="777" spans="1:4" x14ac:dyDescent="0.2">
      <c r="A777" s="5">
        <v>716</v>
      </c>
      <c r="B777" s="138">
        <f>'Expenditures 15-22'!D15</f>
        <v>25</v>
      </c>
      <c r="D777" s="2" t="str">
        <f t="shared" si="11"/>
        <v>Error?</v>
      </c>
    </row>
    <row r="778" spans="1:4" x14ac:dyDescent="0.2">
      <c r="A778" s="5">
        <v>717</v>
      </c>
      <c r="B778" s="138">
        <f>'Expenditures 15-22'!D33</f>
        <v>542789</v>
      </c>
      <c r="C778" s="2" t="s">
        <v>594</v>
      </c>
      <c r="D778" s="2" t="str">
        <f t="shared" si="11"/>
        <v>Error?</v>
      </c>
    </row>
    <row r="779" spans="1:4" x14ac:dyDescent="0.2">
      <c r="A779" s="5">
        <v>718</v>
      </c>
      <c r="B779" s="138">
        <f>'Expenditures 15-22'!D36</f>
        <v>26621</v>
      </c>
      <c r="D779" s="2" t="str">
        <f t="shared" si="11"/>
        <v>Error?</v>
      </c>
    </row>
    <row r="780" spans="1:4" x14ac:dyDescent="0.2">
      <c r="A780" s="5">
        <v>719</v>
      </c>
      <c r="B780" s="138">
        <f>'Expenditures 15-22'!D37</f>
        <v>27999</v>
      </c>
      <c r="D780" s="2" t="str">
        <f t="shared" si="11"/>
        <v>Error?</v>
      </c>
    </row>
    <row r="781" spans="1:4" x14ac:dyDescent="0.2">
      <c r="A781" s="5">
        <v>720</v>
      </c>
      <c r="B781" s="138">
        <f>'Expenditures 15-22'!D38</f>
        <v>8694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63314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32915</v>
      </c>
      <c r="D791" s="2" t="str">
        <f t="shared" si="11"/>
        <v>Error?</v>
      </c>
    </row>
    <row r="792" spans="1:4" x14ac:dyDescent="0.2">
      <c r="A792" s="5">
        <v>731</v>
      </c>
      <c r="B792" s="138">
        <f>'Expenditures 15-22'!D53</f>
        <v>32915</v>
      </c>
      <c r="C792" s="2" t="s">
        <v>594</v>
      </c>
      <c r="D792" s="2" t="str">
        <f t="shared" si="11"/>
        <v>Error?</v>
      </c>
    </row>
    <row r="793" spans="1:4" x14ac:dyDescent="0.2">
      <c r="A793" s="5">
        <v>732</v>
      </c>
      <c r="B793" s="138">
        <f>'Expenditures 15-22'!D55</f>
        <v>35086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35086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23033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11606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34639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10937</v>
      </c>
      <c r="D809" s="2" t="str">
        <f t="shared" si="11"/>
        <v>Error?</v>
      </c>
    </row>
    <row r="810" spans="1:4" x14ac:dyDescent="0.2">
      <c r="A810" s="10">
        <v>749</v>
      </c>
      <c r="D810" s="2" t="str">
        <f t="shared" si="11"/>
        <v>OK</v>
      </c>
    </row>
    <row r="811" spans="1:4" x14ac:dyDescent="0.2">
      <c r="A811" s="5">
        <v>750</v>
      </c>
      <c r="B811" s="138">
        <f>'Expenditures 15-22'!D72</f>
        <v>10937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176891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719680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16453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275</v>
      </c>
      <c r="D833" s="2" t="str">
        <f t="shared" si="12"/>
        <v>Error?</v>
      </c>
    </row>
    <row r="834" spans="1:4" x14ac:dyDescent="0.2">
      <c r="A834" s="5">
        <v>773</v>
      </c>
      <c r="B834" s="138">
        <f>'Expenditures 15-22'!E14</f>
        <v>45983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70518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v>
      </c>
      <c r="D838" s="2" t="str">
        <f t="shared" si="12"/>
        <v>Error?</v>
      </c>
    </row>
    <row r="839" spans="1:4" x14ac:dyDescent="0.2">
      <c r="A839" s="5">
        <v>778</v>
      </c>
      <c r="B839" s="138">
        <f>'Expenditures 15-22'!E38</f>
        <v>114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139</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20047</v>
      </c>
      <c r="D848" s="2" t="str">
        <f t="shared" si="12"/>
        <v>Error?</v>
      </c>
    </row>
    <row r="849" spans="1:4" x14ac:dyDescent="0.2">
      <c r="A849" s="5">
        <v>788</v>
      </c>
      <c r="B849" s="138">
        <f>'Expenditures 15-22'!E50</f>
        <v>2016</v>
      </c>
      <c r="D849" s="2" t="str">
        <f t="shared" si="12"/>
        <v>Error?</v>
      </c>
    </row>
    <row r="850" spans="1:4" x14ac:dyDescent="0.2">
      <c r="A850" s="5">
        <v>789</v>
      </c>
      <c r="B850" s="138">
        <f>'Expenditures 15-22'!E53</f>
        <v>22063</v>
      </c>
      <c r="C850" s="2" t="s">
        <v>594</v>
      </c>
      <c r="D850" s="2" t="str">
        <f t="shared" si="12"/>
        <v>Error?</v>
      </c>
    </row>
    <row r="851" spans="1:4" x14ac:dyDescent="0.2">
      <c r="A851" s="5">
        <v>790</v>
      </c>
      <c r="B851" s="138">
        <f>'Expenditures 15-22'!E55</f>
        <v>1294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1294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221615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221915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698</v>
      </c>
      <c r="D867" s="2" t="str">
        <f t="shared" si="12"/>
        <v>Error?</v>
      </c>
    </row>
    <row r="868" spans="1:4" x14ac:dyDescent="0.2">
      <c r="A868" s="10">
        <v>807</v>
      </c>
      <c r="D868" s="2" t="str">
        <f t="shared" si="12"/>
        <v>OK</v>
      </c>
    </row>
    <row r="869" spans="1:4" x14ac:dyDescent="0.2">
      <c r="A869" s="5">
        <v>808</v>
      </c>
      <c r="B869" s="138">
        <f>'Expenditures 15-22'!E72</f>
        <v>698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246109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316627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47235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42129</v>
      </c>
      <c r="D891" s="2" t="str">
        <f t="shared" si="12"/>
        <v>Error?</v>
      </c>
    </row>
    <row r="892" spans="1:4" x14ac:dyDescent="0.2">
      <c r="A892" s="5">
        <v>831</v>
      </c>
      <c r="B892" s="138">
        <f>'Expenditures 15-22'!F14</f>
        <v>19617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112491</v>
      </c>
      <c r="C894" s="2" t="s">
        <v>594</v>
      </c>
      <c r="D894" s="2" t="str">
        <f t="shared" si="12"/>
        <v>Error?</v>
      </c>
    </row>
    <row r="895" spans="1:4" x14ac:dyDescent="0.2">
      <c r="A895" s="5">
        <v>834</v>
      </c>
      <c r="B895" s="138">
        <f>'Expenditures 15-22'!F36</f>
        <v>25</v>
      </c>
      <c r="D895" s="2" t="str">
        <f t="shared" ref="D895:D958" si="13">IF(ISBLANK(B895),"OK",IF(A895-B895=0,"OK","Error?"))</f>
        <v>Error?</v>
      </c>
    </row>
    <row r="896" spans="1:4" x14ac:dyDescent="0.2">
      <c r="A896" s="5">
        <v>835</v>
      </c>
      <c r="B896" s="138">
        <f>'Expenditures 15-22'!F37</f>
        <v>1686</v>
      </c>
      <c r="D896" s="2" t="str">
        <f t="shared" si="13"/>
        <v>Error?</v>
      </c>
    </row>
    <row r="897" spans="1:4" x14ac:dyDescent="0.2">
      <c r="A897" s="5">
        <v>836</v>
      </c>
      <c r="B897" s="138">
        <f>'Expenditures 15-22'!F38</f>
        <v>699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2013</v>
      </c>
      <c r="D900" s="2" t="str">
        <f t="shared" si="13"/>
        <v>Error?</v>
      </c>
    </row>
    <row r="901" spans="1:4" x14ac:dyDescent="0.2">
      <c r="A901" s="5">
        <v>840</v>
      </c>
      <c r="B901" s="138">
        <f>'Expenditures 15-22'!F42</f>
        <v>4423</v>
      </c>
      <c r="C901" s="2" t="s">
        <v>594</v>
      </c>
      <c r="D901" s="2" t="str">
        <f t="shared" si="13"/>
        <v>Error?</v>
      </c>
    </row>
    <row r="902" spans="1:4" x14ac:dyDescent="0.2">
      <c r="A902" s="5">
        <v>841</v>
      </c>
      <c r="B902" s="138">
        <f>'Expenditures 15-22'!F44</f>
        <v>3409</v>
      </c>
      <c r="D902" s="2" t="str">
        <f t="shared" si="13"/>
        <v>Error?</v>
      </c>
    </row>
    <row r="903" spans="1:4" x14ac:dyDescent="0.2">
      <c r="A903" s="5">
        <v>842</v>
      </c>
      <c r="B903" s="138">
        <f>'Expenditures 15-22'!F45</f>
        <v>1299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4708</v>
      </c>
      <c r="C905" s="2" t="s">
        <v>594</v>
      </c>
      <c r="D905" s="2" t="str">
        <f t="shared" si="13"/>
        <v>Error?</v>
      </c>
    </row>
    <row r="906" spans="1:4" x14ac:dyDescent="0.2">
      <c r="A906" s="5">
        <v>845</v>
      </c>
      <c r="B906" s="138">
        <f>'Expenditures 15-22'!F49</f>
        <v>1519</v>
      </c>
      <c r="D906" s="2" t="str">
        <f t="shared" si="13"/>
        <v>Error?</v>
      </c>
    </row>
    <row r="907" spans="1:4" x14ac:dyDescent="0.2">
      <c r="A907" s="5">
        <v>846</v>
      </c>
      <c r="B907" s="138">
        <f>'Expenditures 15-22'!F50</f>
        <v>554</v>
      </c>
      <c r="D907" s="2" t="str">
        <f t="shared" si="13"/>
        <v>Error?</v>
      </c>
    </row>
    <row r="908" spans="1:4" x14ac:dyDescent="0.2">
      <c r="A908" s="5">
        <v>847</v>
      </c>
      <c r="B908" s="138">
        <f>'Expenditures 15-22'!F53</f>
        <v>2073</v>
      </c>
      <c r="C908" s="2" t="s">
        <v>594</v>
      </c>
      <c r="D908" s="2" t="str">
        <f t="shared" si="13"/>
        <v>Error?</v>
      </c>
    </row>
    <row r="909" spans="1:4" x14ac:dyDescent="0.2">
      <c r="A909" s="5">
        <v>848</v>
      </c>
      <c r="B909" s="138">
        <f>'Expenditures 15-22'!F55</f>
        <v>8092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8092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1882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1909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24564</v>
      </c>
      <c r="D925" s="2" t="str">
        <f t="shared" si="13"/>
        <v>Error?</v>
      </c>
    </row>
    <row r="926" spans="1:4" x14ac:dyDescent="0.2">
      <c r="A926" s="10">
        <v>865</v>
      </c>
      <c r="D926" s="2" t="str">
        <f t="shared" si="13"/>
        <v>OK</v>
      </c>
    </row>
    <row r="927" spans="1:4" x14ac:dyDescent="0.2">
      <c r="A927" s="5">
        <v>866</v>
      </c>
      <c r="B927" s="138">
        <f>'Expenditures 15-22'!F72</f>
        <v>24564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45769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158260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10764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10764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1111</v>
      </c>
      <c r="D965" s="2" t="str">
        <f t="shared" si="14"/>
        <v>Error?</v>
      </c>
    </row>
    <row r="966" spans="1:4" x14ac:dyDescent="0.2">
      <c r="A966" s="5">
        <v>905</v>
      </c>
      <c r="B966" s="138">
        <f>'Expenditures 15-22'!G53</f>
        <v>1111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4426</v>
      </c>
      <c r="D983" s="2" t="str">
        <f t="shared" si="14"/>
        <v>Error?</v>
      </c>
    </row>
    <row r="984" spans="1:4" x14ac:dyDescent="0.2">
      <c r="A984" s="10">
        <v>923</v>
      </c>
      <c r="D984" s="2" t="str">
        <f t="shared" si="14"/>
        <v>OK</v>
      </c>
    </row>
    <row r="985" spans="1:4" x14ac:dyDescent="0.2">
      <c r="A985" s="5">
        <v>924</v>
      </c>
      <c r="B985" s="138">
        <f>'Expenditures 15-22'!G72</f>
        <v>4426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16301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67</v>
      </c>
      <c r="D1007" s="2" t="str">
        <f t="shared" si="14"/>
        <v>Error?</v>
      </c>
    </row>
    <row r="1008" spans="1:4" x14ac:dyDescent="0.2">
      <c r="A1008" s="5">
        <v>947</v>
      </c>
      <c r="B1008" s="138">
        <f>'Expenditures 15-22'!H14</f>
        <v>15093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22938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30</v>
      </c>
      <c r="D1012" s="2" t="str">
        <f t="shared" si="14"/>
        <v>Error?</v>
      </c>
    </row>
    <row r="1013" spans="1:4" x14ac:dyDescent="0.2">
      <c r="A1013" s="5">
        <v>952</v>
      </c>
      <c r="B1013" s="138">
        <f>'Expenditures 15-22'!H38</f>
        <v>140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170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5800</v>
      </c>
      <c r="D1022" s="2" t="str">
        <f t="shared" si="14"/>
        <v>Error?</v>
      </c>
    </row>
    <row r="1023" spans="1:4" x14ac:dyDescent="0.2">
      <c r="A1023" s="5">
        <v>962</v>
      </c>
      <c r="B1023" s="138">
        <f>'Expenditures 15-22'!H50</f>
        <v>1342</v>
      </c>
      <c r="D1023" s="2" t="str">
        <f t="shared" ref="D1023:D1086" si="15">IF(ISBLANK(B1023),"OK",IF(A1023-B1023=0,"OK","Error?"))</f>
        <v>Error?</v>
      </c>
    </row>
    <row r="1024" spans="1:4" x14ac:dyDescent="0.2">
      <c r="A1024" s="5">
        <v>963</v>
      </c>
      <c r="B1024" s="138">
        <f>'Expenditures 15-22'!H53</f>
        <v>7142</v>
      </c>
      <c r="C1024" s="2" t="s">
        <v>594</v>
      </c>
      <c r="D1024" s="2" t="str">
        <f t="shared" si="15"/>
        <v>Error?</v>
      </c>
    </row>
    <row r="1025" spans="1:4" x14ac:dyDescent="0.2">
      <c r="A1025" s="5">
        <v>964</v>
      </c>
      <c r="B1025" s="138">
        <f>'Expenditures 15-22'!H55</f>
        <v>2104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2104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276</v>
      </c>
      <c r="D1041" s="2" t="str">
        <f t="shared" si="15"/>
        <v>Error?</v>
      </c>
    </row>
    <row r="1042" spans="1:4" x14ac:dyDescent="0.2">
      <c r="A1042" s="10">
        <v>981</v>
      </c>
      <c r="D1042" s="2" t="str">
        <f t="shared" si="15"/>
        <v>OK</v>
      </c>
    </row>
    <row r="1043" spans="1:4" x14ac:dyDescent="0.2">
      <c r="A1043" s="5">
        <v>982</v>
      </c>
      <c r="B1043" s="138">
        <f>'Expenditures 15-22'!H72</f>
        <v>276</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10062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248225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281225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1817276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384890</v>
      </c>
      <c r="C1105" s="2" t="s">
        <v>594</v>
      </c>
      <c r="D1105" s="2" t="str">
        <f t="shared" si="16"/>
        <v>Error?</v>
      </c>
    </row>
    <row r="1106" spans="1:4" x14ac:dyDescent="0.2">
      <c r="A1106" s="5">
        <v>1045</v>
      </c>
      <c r="B1106" s="138">
        <f>'Expenditures 15-22'!K14</f>
        <v>352643</v>
      </c>
      <c r="C1106" s="2" t="s">
        <v>594</v>
      </c>
      <c r="D1106" s="2" t="str">
        <f t="shared" si="16"/>
        <v>Error?</v>
      </c>
    </row>
    <row r="1107" spans="1:4" x14ac:dyDescent="0.2">
      <c r="A1107" s="5">
        <v>1046</v>
      </c>
      <c r="B1107" s="138">
        <f>'Expenditures 15-22'!K15</f>
        <v>1729</v>
      </c>
      <c r="C1107" s="2" t="s">
        <v>594</v>
      </c>
      <c r="D1107" s="2" t="str">
        <f t="shared" si="16"/>
        <v>Error?</v>
      </c>
    </row>
    <row r="1108" spans="1:4" x14ac:dyDescent="0.2">
      <c r="A1108" s="5">
        <v>1047</v>
      </c>
      <c r="B1108" s="138">
        <f>'Expenditures 15-22'!K33</f>
        <v>3164068</v>
      </c>
      <c r="C1108" s="2" t="s">
        <v>594</v>
      </c>
      <c r="D1108" s="2" t="str">
        <f t="shared" si="16"/>
        <v>Error?</v>
      </c>
    </row>
    <row r="1109" spans="1:4" x14ac:dyDescent="0.2">
      <c r="A1109" s="5">
        <v>1048</v>
      </c>
      <c r="B1109" s="138">
        <f>'Expenditures 15-22'!K36</f>
        <v>124317</v>
      </c>
      <c r="C1109" s="2" t="s">
        <v>594</v>
      </c>
      <c r="D1109" s="2" t="str">
        <f t="shared" si="16"/>
        <v>Error?</v>
      </c>
    </row>
    <row r="1110" spans="1:4" x14ac:dyDescent="0.2">
      <c r="A1110" s="5">
        <v>1049</v>
      </c>
      <c r="B1110" s="138">
        <f>'Expenditures 15-22'!K37</f>
        <v>126203</v>
      </c>
      <c r="C1110" s="2" t="s">
        <v>594</v>
      </c>
      <c r="D1110" s="2" t="str">
        <f t="shared" si="16"/>
        <v>Error?</v>
      </c>
    </row>
    <row r="1111" spans="1:4" x14ac:dyDescent="0.2">
      <c r="A1111" s="5">
        <v>1050</v>
      </c>
      <c r="B1111" s="138">
        <f>'Expenditures 15-22'!K38</f>
        <v>44531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2013</v>
      </c>
      <c r="C1114" s="2" t="s">
        <v>594</v>
      </c>
      <c r="D1114" s="2" t="str">
        <f t="shared" si="16"/>
        <v>Error?</v>
      </c>
    </row>
    <row r="1115" spans="1:4" x14ac:dyDescent="0.2">
      <c r="A1115" s="5">
        <v>1054</v>
      </c>
      <c r="B1115" s="138">
        <f>'Expenditures 15-22'!K42</f>
        <v>297064</v>
      </c>
      <c r="C1115" s="2" t="s">
        <v>594</v>
      </c>
      <c r="D1115" s="2" t="str">
        <f t="shared" si="16"/>
        <v>Error?</v>
      </c>
    </row>
    <row r="1116" spans="1:4" x14ac:dyDescent="0.2">
      <c r="A1116" s="5">
        <v>1055</v>
      </c>
      <c r="B1116" s="138">
        <f>'Expenditures 15-22'!K44</f>
        <v>3409</v>
      </c>
      <c r="C1116" s="2" t="s">
        <v>594</v>
      </c>
      <c r="D1116" s="2" t="str">
        <f t="shared" si="16"/>
        <v>Error?</v>
      </c>
    </row>
    <row r="1117" spans="1:4" x14ac:dyDescent="0.2">
      <c r="A1117" s="5">
        <v>1056</v>
      </c>
      <c r="B1117" s="138">
        <f>'Expenditures 15-22'!K45</f>
        <v>1299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4708</v>
      </c>
      <c r="C1119" s="2" t="s">
        <v>594</v>
      </c>
      <c r="D1119" s="2" t="str">
        <f t="shared" si="16"/>
        <v>Error?</v>
      </c>
    </row>
    <row r="1120" spans="1:4" x14ac:dyDescent="0.2">
      <c r="A1120" s="5">
        <v>1059</v>
      </c>
      <c r="B1120" s="138">
        <f>'Expenditures 15-22'!K49</f>
        <v>29266</v>
      </c>
      <c r="C1120" s="2" t="s">
        <v>594</v>
      </c>
      <c r="D1120" s="2" t="str">
        <f t="shared" si="16"/>
        <v>Error?</v>
      </c>
    </row>
    <row r="1121" spans="1:4" x14ac:dyDescent="0.2">
      <c r="A1121" s="5">
        <v>1060</v>
      </c>
      <c r="B1121" s="138">
        <f>'Expenditures 15-22'!K50</f>
        <v>190788</v>
      </c>
      <c r="C1121" s="2" t="s">
        <v>594</v>
      </c>
      <c r="D1121" s="2" t="str">
        <f t="shared" si="16"/>
        <v>Error?</v>
      </c>
    </row>
    <row r="1122" spans="1:4" x14ac:dyDescent="0.2">
      <c r="A1122" s="5">
        <v>1061</v>
      </c>
      <c r="B1122" s="138">
        <f>'Expenditures 15-22'!K53</f>
        <v>220054</v>
      </c>
      <c r="C1122" s="2" t="s">
        <v>594</v>
      </c>
      <c r="D1122" s="2" t="str">
        <f t="shared" si="16"/>
        <v>Error?</v>
      </c>
    </row>
    <row r="1123" spans="1:4" x14ac:dyDescent="0.2">
      <c r="A1123" s="5">
        <v>1062</v>
      </c>
      <c r="B1123" s="138">
        <f>'Expenditures 15-22'!K55</f>
        <v>181084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181084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116919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256888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373807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140041</v>
      </c>
      <c r="C1139" s="2" t="s">
        <v>594</v>
      </c>
      <c r="D1139" s="2" t="str">
        <f t="shared" si="16"/>
        <v>Error?</v>
      </c>
    </row>
    <row r="1140" spans="1:4" x14ac:dyDescent="0.2">
      <c r="A1140" s="10">
        <v>1079</v>
      </c>
      <c r="D1140" s="2" t="str">
        <f t="shared" si="16"/>
        <v>OK</v>
      </c>
    </row>
    <row r="1141" spans="1:4" x14ac:dyDescent="0.2">
      <c r="A1141" s="5">
        <v>1080</v>
      </c>
      <c r="B1141" s="138">
        <f>'Expenditures 15-22'!K72</f>
        <v>140041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1216758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248225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4629051</v>
      </c>
      <c r="C1152" s="2" t="s">
        <v>594</v>
      </c>
      <c r="D1152" s="2" t="str">
        <f t="shared" si="17"/>
        <v>Error?</v>
      </c>
    </row>
    <row r="1153" spans="1:4" x14ac:dyDescent="0.2">
      <c r="A1153" s="5">
        <v>1092</v>
      </c>
      <c r="B1153" s="138">
        <f>'Expenditures 15-22'!K115</f>
        <v>365691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180105</v>
      </c>
      <c r="D1221" s="2" t="str">
        <f t="shared" si="18"/>
        <v>Error?</v>
      </c>
    </row>
    <row r="1222" spans="1:4" x14ac:dyDescent="0.2">
      <c r="A1222" s="10">
        <v>1161</v>
      </c>
      <c r="D1222" s="2" t="str">
        <f t="shared" si="18"/>
        <v>OK</v>
      </c>
    </row>
    <row r="1223" spans="1:4" x14ac:dyDescent="0.2">
      <c r="A1223" s="5">
        <v>1162</v>
      </c>
      <c r="B1223" s="138">
        <f>'Expenditures 15-22'!C127</f>
        <v>180105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180105</v>
      </c>
      <c r="C1225" s="2" t="s">
        <v>594</v>
      </c>
      <c r="D1225" s="2" t="str">
        <f t="shared" si="18"/>
        <v>Error?</v>
      </c>
    </row>
    <row r="1226" spans="1:4" x14ac:dyDescent="0.2">
      <c r="A1226" s="5">
        <v>1165</v>
      </c>
      <c r="B1226" s="138">
        <f>'Expenditures 15-22'!C151</f>
        <v>180105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40709</v>
      </c>
      <c r="D1229" s="2" t="str">
        <f t="shared" si="18"/>
        <v>Error?</v>
      </c>
    </row>
    <row r="1230" spans="1:4" x14ac:dyDescent="0.2">
      <c r="A1230" s="10">
        <v>1169</v>
      </c>
      <c r="D1230" s="2" t="str">
        <f t="shared" si="18"/>
        <v>OK</v>
      </c>
    </row>
    <row r="1231" spans="1:4" x14ac:dyDescent="0.2">
      <c r="A1231" s="5">
        <v>1170</v>
      </c>
      <c r="B1231" s="138">
        <f>'Expenditures 15-22'!D127</f>
        <v>40709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40709</v>
      </c>
      <c r="C1233" s="2" t="s">
        <v>594</v>
      </c>
      <c r="D1233" s="2" t="str">
        <f t="shared" si="18"/>
        <v>Error?</v>
      </c>
    </row>
    <row r="1234" spans="1:4" x14ac:dyDescent="0.2">
      <c r="A1234" s="5">
        <v>1173</v>
      </c>
      <c r="B1234" s="138">
        <f>'Expenditures 15-22'!D151</f>
        <v>40709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128925</v>
      </c>
      <c r="D1237" s="2" t="str">
        <f t="shared" si="18"/>
        <v>Error?</v>
      </c>
    </row>
    <row r="1238" spans="1:4" x14ac:dyDescent="0.2">
      <c r="A1238" s="10">
        <v>1177</v>
      </c>
      <c r="D1238" s="2" t="str">
        <f t="shared" si="18"/>
        <v>OK</v>
      </c>
    </row>
    <row r="1239" spans="1:4" x14ac:dyDescent="0.2">
      <c r="A1239" s="5">
        <v>1178</v>
      </c>
      <c r="B1239" s="138">
        <f>'Expenditures 15-22'!E127</f>
        <v>128925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128925</v>
      </c>
      <c r="C1241" s="2" t="s">
        <v>594</v>
      </c>
      <c r="D1241" s="2" t="str">
        <f t="shared" si="18"/>
        <v>Error?</v>
      </c>
    </row>
    <row r="1242" spans="1:4" x14ac:dyDescent="0.2">
      <c r="A1242" s="5">
        <v>1181</v>
      </c>
      <c r="B1242" s="138">
        <f>'Expenditures 15-22'!E151</f>
        <v>128925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181712</v>
      </c>
      <c r="D1245" s="2" t="str">
        <f t="shared" si="18"/>
        <v>Error?</v>
      </c>
    </row>
    <row r="1246" spans="1:4" x14ac:dyDescent="0.2">
      <c r="A1246" s="10">
        <v>1185</v>
      </c>
      <c r="D1246" s="2" t="str">
        <f t="shared" si="18"/>
        <v>OK</v>
      </c>
    </row>
    <row r="1247" spans="1:4" x14ac:dyDescent="0.2">
      <c r="A1247" s="5">
        <v>1186</v>
      </c>
      <c r="B1247" s="138">
        <f>'Expenditures 15-22'!F127</f>
        <v>181712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181712</v>
      </c>
      <c r="C1249" s="2" t="s">
        <v>594</v>
      </c>
      <c r="D1249" s="2" t="str">
        <f t="shared" si="18"/>
        <v>Error?</v>
      </c>
    </row>
    <row r="1250" spans="1:4" x14ac:dyDescent="0.2">
      <c r="A1250" s="5">
        <v>1189</v>
      </c>
      <c r="B1250" s="138">
        <f>'Expenditures 15-22'!F151</f>
        <v>181712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203646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203646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203646</v>
      </c>
      <c r="C1258" s="2" t="s">
        <v>594</v>
      </c>
      <c r="D1258" s="2" t="str">
        <f t="shared" si="18"/>
        <v>Error?</v>
      </c>
    </row>
    <row r="1259" spans="1:4" x14ac:dyDescent="0.2">
      <c r="A1259" s="5">
        <v>1198</v>
      </c>
      <c r="B1259" s="138">
        <f>'Expenditures 15-22'!G151</f>
        <v>203646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2903</v>
      </c>
      <c r="D1262" s="2" t="str">
        <f t="shared" si="18"/>
        <v>Error?</v>
      </c>
    </row>
    <row r="1263" spans="1:4" x14ac:dyDescent="0.2">
      <c r="A1263" s="10">
        <v>1202</v>
      </c>
      <c r="D1263" s="2" t="str">
        <f t="shared" si="18"/>
        <v>OK</v>
      </c>
    </row>
    <row r="1264" spans="1:4" x14ac:dyDescent="0.2">
      <c r="A1264" s="5">
        <v>1203</v>
      </c>
      <c r="B1264" s="138">
        <f>'Expenditures 15-22'!H127</f>
        <v>2903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2903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2903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738000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738000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738000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738000</v>
      </c>
      <c r="C1288" s="2" t="s">
        <v>594</v>
      </c>
      <c r="D1288" s="2" t="str">
        <f t="shared" si="19"/>
        <v>Error?</v>
      </c>
    </row>
    <row r="1289" spans="1:4" x14ac:dyDescent="0.2">
      <c r="A1289" s="5">
        <v>1228</v>
      </c>
      <c r="B1289" s="138">
        <f>'Expenditures 15-22'!K152</f>
        <v>117903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275252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453000</v>
      </c>
      <c r="D1315" s="2" t="str">
        <f t="shared" si="19"/>
        <v>Error?</v>
      </c>
    </row>
    <row r="1316" spans="1:4" x14ac:dyDescent="0.2">
      <c r="A1316" s="5">
        <v>1255</v>
      </c>
      <c r="B1316" s="138">
        <f>'Expenditures 15-22'!H171</f>
        <v>21451</v>
      </c>
      <c r="D1316" s="2" t="str">
        <f t="shared" si="19"/>
        <v>Error?</v>
      </c>
    </row>
    <row r="1317" spans="1:4" x14ac:dyDescent="0.2">
      <c r="A1317" s="5">
        <v>1256</v>
      </c>
      <c r="B1317" s="138">
        <f>'Expenditures 15-22'!H172</f>
        <v>749703</v>
      </c>
      <c r="C1317" s="2" t="s">
        <v>594</v>
      </c>
      <c r="D1317" s="2" t="str">
        <f t="shared" si="19"/>
        <v>Error?</v>
      </c>
    </row>
    <row r="1318" spans="1:4" x14ac:dyDescent="0.2">
      <c r="A1318" s="5">
        <v>1257</v>
      </c>
      <c r="B1318" s="138">
        <f>'Expenditures 15-22'!H174</f>
        <v>749703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275252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453000</v>
      </c>
      <c r="C1329" s="2" t="s">
        <v>594</v>
      </c>
      <c r="D1329" s="2" t="str">
        <f t="shared" si="19"/>
        <v>Error?</v>
      </c>
    </row>
    <row r="1330" spans="1:4" x14ac:dyDescent="0.2">
      <c r="A1330" s="5">
        <v>1269</v>
      </c>
      <c r="B1330" s="138">
        <f>'Expenditures 15-22'!K171</f>
        <v>21451</v>
      </c>
      <c r="C1330" s="2" t="s">
        <v>594</v>
      </c>
      <c r="D1330" s="2" t="str">
        <f t="shared" si="19"/>
        <v>Error?</v>
      </c>
    </row>
    <row r="1331" spans="1:4" x14ac:dyDescent="0.2">
      <c r="A1331" s="5">
        <v>1270</v>
      </c>
      <c r="B1331" s="138">
        <f>'Expenditures 15-22'!K172</f>
        <v>749703</v>
      </c>
      <c r="C1331" s="2" t="s">
        <v>594</v>
      </c>
      <c r="D1331" s="2" t="str">
        <f t="shared" si="19"/>
        <v>Error?</v>
      </c>
    </row>
    <row r="1332" spans="1:4" x14ac:dyDescent="0.2">
      <c r="A1332" s="5">
        <v>1271</v>
      </c>
      <c r="B1332" s="138">
        <f>'Expenditures 15-22'!K174</f>
        <v>749703</v>
      </c>
      <c r="C1332" s="2" t="s">
        <v>594</v>
      </c>
      <c r="D1332" s="2" t="str">
        <f t="shared" si="19"/>
        <v>Error?</v>
      </c>
    </row>
    <row r="1333" spans="1:4" x14ac:dyDescent="0.2">
      <c r="A1333" s="5">
        <v>1272</v>
      </c>
      <c r="B1333" s="138">
        <f>'Expenditures 15-22'!K175</f>
        <v>-193138</v>
      </c>
      <c r="C1333" s="2" t="s">
        <v>594</v>
      </c>
      <c r="D1333" s="2" t="str">
        <f t="shared" si="19"/>
        <v>Error?</v>
      </c>
    </row>
    <row r="1334" spans="1:4" x14ac:dyDescent="0.2">
      <c r="A1334" s="10">
        <v>1273</v>
      </c>
      <c r="D1334" s="2" t="str">
        <f t="shared" si="19"/>
        <v>OK</v>
      </c>
    </row>
    <row r="1335" spans="1:4" x14ac:dyDescent="0.2">
      <c r="A1335" s="5">
        <v>1274</v>
      </c>
      <c r="B1335" s="138">
        <f>'Expenditures 15-22'!C182</f>
        <v>147880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147880</v>
      </c>
      <c r="C1339" s="2" t="s">
        <v>594</v>
      </c>
      <c r="D1339" s="2" t="str">
        <f t="shared" si="19"/>
        <v>Error?</v>
      </c>
    </row>
    <row r="1340" spans="1:4" x14ac:dyDescent="0.2">
      <c r="A1340" s="5">
        <v>1279</v>
      </c>
      <c r="B1340" s="138">
        <f>'Expenditures 15-22'!C210</f>
        <v>147880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141948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141948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141948</v>
      </c>
      <c r="C1353" s="2" t="s">
        <v>594</v>
      </c>
      <c r="D1353" s="2" t="str">
        <f t="shared" si="20"/>
        <v>Error?</v>
      </c>
    </row>
    <row r="1354" spans="1:4" x14ac:dyDescent="0.2">
      <c r="A1354" s="5">
        <v>1293</v>
      </c>
      <c r="B1354" s="138">
        <f>'Expenditures 15-22'!F182</f>
        <v>56484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56484</v>
      </c>
      <c r="C1358" s="2" t="s">
        <v>594</v>
      </c>
      <c r="D1358" s="2" t="str">
        <f t="shared" si="20"/>
        <v>Error?</v>
      </c>
    </row>
    <row r="1359" spans="1:4" x14ac:dyDescent="0.2">
      <c r="A1359" s="5">
        <v>1298</v>
      </c>
      <c r="B1359" s="138">
        <f>'Expenditures 15-22'!F210</f>
        <v>56484</v>
      </c>
      <c r="C1359" s="2" t="s">
        <v>594</v>
      </c>
      <c r="D1359" s="2" t="str">
        <f t="shared" si="20"/>
        <v>Error?</v>
      </c>
    </row>
    <row r="1360" spans="1:4" x14ac:dyDescent="0.2">
      <c r="A1360" s="5">
        <v>1299</v>
      </c>
      <c r="B1360" s="138">
        <f>'Expenditures 15-22'!G182</f>
        <v>94940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94940</v>
      </c>
      <c r="C1364" s="2" t="s">
        <v>594</v>
      </c>
      <c r="D1364" s="2" t="str">
        <f t="shared" si="20"/>
        <v>Error?</v>
      </c>
    </row>
    <row r="1365" spans="1:4" x14ac:dyDescent="0.2">
      <c r="A1365" s="5">
        <v>1304</v>
      </c>
      <c r="B1365" s="138">
        <f>'Expenditures 15-22'!G210</f>
        <v>94940</v>
      </c>
      <c r="C1365" s="2" t="s">
        <v>594</v>
      </c>
      <c r="D1365" s="2" t="str">
        <f t="shared" si="20"/>
        <v>Error?</v>
      </c>
    </row>
    <row r="1366" spans="1:4" x14ac:dyDescent="0.2">
      <c r="A1366" s="5">
        <v>1305</v>
      </c>
      <c r="B1366" s="138">
        <f>'Expenditures 15-22'!H182</f>
        <v>300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300</v>
      </c>
      <c r="C1376" s="2" t="s">
        <v>594</v>
      </c>
      <c r="D1376" s="2" t="str">
        <f t="shared" si="20"/>
        <v>Error?</v>
      </c>
    </row>
    <row r="1377" spans="1:4" x14ac:dyDescent="0.2">
      <c r="A1377" s="5">
        <v>1316</v>
      </c>
      <c r="B1377" s="138">
        <f>'Expenditures 15-22'!K182</f>
        <v>441552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441552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441552</v>
      </c>
      <c r="C1388" s="2" t="s">
        <v>594</v>
      </c>
      <c r="D1388" s="2" t="str">
        <f t="shared" si="20"/>
        <v>Error?</v>
      </c>
    </row>
    <row r="1389" spans="1:4" x14ac:dyDescent="0.2">
      <c r="A1389" s="5">
        <v>1328</v>
      </c>
      <c r="B1389" s="138">
        <f>'Expenditures 15-22'!K211</f>
        <v>-9522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5137</v>
      </c>
      <c r="D1407" s="2" t="str">
        <f t="shared" ref="D1407:D1470" si="21">IF(ISBLANK(B1407),"OK",IF(A1407-B1407=0,"OK","Error?"))</f>
        <v>Error?</v>
      </c>
    </row>
    <row r="1408" spans="1:4" x14ac:dyDescent="0.2">
      <c r="A1408" s="5">
        <v>1347</v>
      </c>
      <c r="B1408" s="138">
        <f>'Expenditures 15-22'!D223</f>
        <v>8600</v>
      </c>
      <c r="D1408" s="2" t="str">
        <f t="shared" si="21"/>
        <v>Error?</v>
      </c>
    </row>
    <row r="1409" spans="1:4" x14ac:dyDescent="0.2">
      <c r="A1409" s="5">
        <v>1348</v>
      </c>
      <c r="B1409" s="138">
        <f>'Expenditures 15-22'!D224</f>
        <v>25</v>
      </c>
      <c r="D1409" s="2" t="str">
        <f t="shared" si="21"/>
        <v>Error?</v>
      </c>
    </row>
    <row r="1410" spans="1:4" x14ac:dyDescent="0.2">
      <c r="A1410" s="5">
        <v>1349</v>
      </c>
      <c r="B1410" s="138">
        <f>'Expenditures 15-22'!D229</f>
        <v>64056</v>
      </c>
      <c r="C1410" s="2" t="s">
        <v>594</v>
      </c>
      <c r="D1410" s="2" t="str">
        <f t="shared" si="21"/>
        <v>Error?</v>
      </c>
    </row>
    <row r="1411" spans="1:4" x14ac:dyDescent="0.2">
      <c r="A1411" s="5">
        <v>1350</v>
      </c>
      <c r="B1411" s="138">
        <f>'Expenditures 15-22'!D232</f>
        <v>6610</v>
      </c>
      <c r="D1411" s="2" t="str">
        <f t="shared" si="21"/>
        <v>Error?</v>
      </c>
    </row>
    <row r="1412" spans="1:4" x14ac:dyDescent="0.2">
      <c r="A1412" s="5">
        <v>1351</v>
      </c>
      <c r="B1412" s="138">
        <f>'Expenditures 15-22'!D233</f>
        <v>1772</v>
      </c>
      <c r="D1412" s="2" t="str">
        <f t="shared" si="21"/>
        <v>Error?</v>
      </c>
    </row>
    <row r="1413" spans="1:4" x14ac:dyDescent="0.2">
      <c r="A1413" s="5">
        <v>1352</v>
      </c>
      <c r="B1413" s="138">
        <f>'Expenditures 15-22'!D234</f>
        <v>8654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17036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332</v>
      </c>
      <c r="D1422" s="2" t="str">
        <f t="shared" si="21"/>
        <v>Error?</v>
      </c>
    </row>
    <row r="1423" spans="1:4" x14ac:dyDescent="0.2">
      <c r="A1423" s="5">
        <v>1362</v>
      </c>
      <c r="B1423" s="138">
        <f>'Expenditures 15-22'!D246</f>
        <v>8637</v>
      </c>
      <c r="D1423" s="2" t="str">
        <f t="shared" si="21"/>
        <v>Error?</v>
      </c>
    </row>
    <row r="1424" spans="1:4" x14ac:dyDescent="0.2">
      <c r="A1424" s="5">
        <v>1363</v>
      </c>
      <c r="B1424" s="138">
        <f>'Expenditures 15-22'!D257</f>
        <v>8969</v>
      </c>
      <c r="C1424" s="2" t="s">
        <v>594</v>
      </c>
      <c r="D1424" s="2" t="str">
        <f t="shared" si="21"/>
        <v>Error?</v>
      </c>
    </row>
    <row r="1425" spans="1:4" x14ac:dyDescent="0.2">
      <c r="A1425" s="5">
        <v>1364</v>
      </c>
      <c r="B1425" s="138">
        <f>'Expenditures 15-22'!D259</f>
        <v>2783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2783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15577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33790</v>
      </c>
      <c r="D1431" s="2" t="str">
        <f t="shared" si="21"/>
        <v>Error?</v>
      </c>
    </row>
    <row r="1432" spans="1:4" x14ac:dyDescent="0.2">
      <c r="A1432" s="5">
        <v>1371</v>
      </c>
      <c r="B1432" s="138">
        <f>'Expenditures 15-22'!D267</f>
        <v>17764</v>
      </c>
      <c r="D1432" s="2" t="str">
        <f t="shared" si="21"/>
        <v>Error?</v>
      </c>
    </row>
    <row r="1433" spans="1:4" x14ac:dyDescent="0.2">
      <c r="A1433" s="5">
        <v>1372</v>
      </c>
      <c r="B1433" s="138">
        <f>'Expenditures 15-22'!D268</f>
        <v>4734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71865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3902</v>
      </c>
      <c r="D1442" s="2" t="str">
        <f t="shared" si="21"/>
        <v>Error?</v>
      </c>
    </row>
    <row r="1443" spans="1:4" x14ac:dyDescent="0.2">
      <c r="A1443" s="10">
        <v>1382</v>
      </c>
      <c r="D1443" s="2" t="str">
        <f t="shared" si="21"/>
        <v>OK</v>
      </c>
    </row>
    <row r="1444" spans="1:4" x14ac:dyDescent="0.2">
      <c r="A1444" s="5">
        <v>1383</v>
      </c>
      <c r="B1444" s="138">
        <f>'Expenditures 15-22'!D277</f>
        <v>3902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104555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169771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5137</v>
      </c>
      <c r="C1471" s="2" t="s">
        <v>594</v>
      </c>
      <c r="D1471" s="2" t="str">
        <f t="shared" ref="D1471:D1534" si="22">IF(ISBLANK(B1471),"OK",IF(A1471-B1471=0,"OK","Error?"))</f>
        <v>Error?</v>
      </c>
    </row>
    <row r="1472" spans="1:4" x14ac:dyDescent="0.2">
      <c r="A1472" s="5">
        <v>1411</v>
      </c>
      <c r="B1472" s="138">
        <f>'Expenditures 15-22'!K223</f>
        <v>8600</v>
      </c>
      <c r="C1472" s="2" t="s">
        <v>594</v>
      </c>
      <c r="D1472" s="2" t="str">
        <f t="shared" si="22"/>
        <v>Error?</v>
      </c>
    </row>
    <row r="1473" spans="1:4" x14ac:dyDescent="0.2">
      <c r="A1473" s="5">
        <v>1412</v>
      </c>
      <c r="B1473" s="138">
        <f>'Expenditures 15-22'!K224</f>
        <v>25</v>
      </c>
      <c r="C1473" s="2" t="s">
        <v>594</v>
      </c>
      <c r="D1473" s="2" t="str">
        <f t="shared" si="22"/>
        <v>Error?</v>
      </c>
    </row>
    <row r="1474" spans="1:4" x14ac:dyDescent="0.2">
      <c r="A1474" s="5">
        <v>1413</v>
      </c>
      <c r="B1474" s="138">
        <f>'Expenditures 15-22'!K229</f>
        <v>64056</v>
      </c>
      <c r="C1474" s="2" t="s">
        <v>594</v>
      </c>
      <c r="D1474" s="2" t="str">
        <f t="shared" si="22"/>
        <v>Error?</v>
      </c>
    </row>
    <row r="1475" spans="1:4" x14ac:dyDescent="0.2">
      <c r="A1475" s="5">
        <v>1414</v>
      </c>
      <c r="B1475" s="138">
        <f>'Expenditures 15-22'!K232</f>
        <v>6610</v>
      </c>
      <c r="C1475" s="2" t="s">
        <v>594</v>
      </c>
      <c r="D1475" s="2" t="str">
        <f t="shared" si="22"/>
        <v>Error?</v>
      </c>
    </row>
    <row r="1476" spans="1:4" x14ac:dyDescent="0.2">
      <c r="A1476" s="5">
        <v>1415</v>
      </c>
      <c r="B1476" s="138">
        <f>'Expenditures 15-22'!K233</f>
        <v>1772</v>
      </c>
      <c r="C1476" s="2" t="s">
        <v>594</v>
      </c>
      <c r="D1476" s="2" t="str">
        <f t="shared" si="22"/>
        <v>Error?</v>
      </c>
    </row>
    <row r="1477" spans="1:4" x14ac:dyDescent="0.2">
      <c r="A1477" s="5">
        <v>1416</v>
      </c>
      <c r="B1477" s="138">
        <f>'Expenditures 15-22'!K234</f>
        <v>8654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17036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332</v>
      </c>
      <c r="C1486" s="2" t="s">
        <v>594</v>
      </c>
      <c r="D1486" s="2" t="str">
        <f t="shared" si="22"/>
        <v>Error?</v>
      </c>
    </row>
    <row r="1487" spans="1:4" x14ac:dyDescent="0.2">
      <c r="A1487" s="5">
        <v>1426</v>
      </c>
      <c r="B1487" s="138">
        <f>'Expenditures 15-22'!K246</f>
        <v>8637</v>
      </c>
      <c r="C1487" s="2" t="s">
        <v>594</v>
      </c>
      <c r="D1487" s="2" t="str">
        <f t="shared" si="22"/>
        <v>Error?</v>
      </c>
    </row>
    <row r="1488" spans="1:4" x14ac:dyDescent="0.2">
      <c r="A1488" s="5">
        <v>1427</v>
      </c>
      <c r="B1488" s="138">
        <f>'Expenditures 15-22'!K257</f>
        <v>8969</v>
      </c>
      <c r="C1488" s="2" t="s">
        <v>594</v>
      </c>
      <c r="D1488" s="2" t="str">
        <f t="shared" si="22"/>
        <v>Error?</v>
      </c>
    </row>
    <row r="1489" spans="1:4" x14ac:dyDescent="0.2">
      <c r="A1489" s="5">
        <v>1428</v>
      </c>
      <c r="B1489" s="138">
        <f>'Expenditures 15-22'!K259</f>
        <v>2783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2783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15577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33790</v>
      </c>
      <c r="C1495" s="2" t="s">
        <v>594</v>
      </c>
      <c r="D1495" s="2" t="str">
        <f t="shared" si="22"/>
        <v>Error?</v>
      </c>
    </row>
    <row r="1496" spans="1:4" x14ac:dyDescent="0.2">
      <c r="A1496" s="5">
        <v>1435</v>
      </c>
      <c r="B1496" s="138">
        <f>'Expenditures 15-22'!K267</f>
        <v>17764</v>
      </c>
      <c r="C1496" s="2" t="s">
        <v>594</v>
      </c>
      <c r="D1496" s="2" t="str">
        <f t="shared" si="22"/>
        <v>Error?</v>
      </c>
    </row>
    <row r="1497" spans="1:4" x14ac:dyDescent="0.2">
      <c r="A1497" s="5">
        <v>1436</v>
      </c>
      <c r="B1497" s="138">
        <f>'Expenditures 15-22'!K268</f>
        <v>4734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71865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3902</v>
      </c>
      <c r="C1506" s="2" t="s">
        <v>594</v>
      </c>
      <c r="D1506" s="2" t="str">
        <f t="shared" si="22"/>
        <v>Error?</v>
      </c>
    </row>
    <row r="1507" spans="1:4" x14ac:dyDescent="0.2">
      <c r="A1507" s="10">
        <v>1446</v>
      </c>
      <c r="D1507" s="2" t="str">
        <f t="shared" si="22"/>
        <v>OK</v>
      </c>
    </row>
    <row r="1508" spans="1:4" x14ac:dyDescent="0.2">
      <c r="A1508" s="5">
        <v>1447</v>
      </c>
      <c r="B1508" s="138">
        <f>'Expenditures 15-22'!K277</f>
        <v>3902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104555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169771</v>
      </c>
      <c r="C1517" s="2" t="s">
        <v>594</v>
      </c>
      <c r="D1517" s="2" t="str">
        <f t="shared" si="22"/>
        <v>Error?</v>
      </c>
    </row>
    <row r="1518" spans="1:4" x14ac:dyDescent="0.2">
      <c r="A1518" s="5">
        <v>1457</v>
      </c>
      <c r="B1518" s="138">
        <f>'Expenditures 15-22'!K296</f>
        <v>198461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290601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656292</v>
      </c>
      <c r="C1630" s="2" t="s">
        <v>594</v>
      </c>
      <c r="D1630" s="2" t="str">
        <f t="shared" si="24"/>
        <v>Error?</v>
      </c>
    </row>
    <row r="1631" spans="1:4" x14ac:dyDescent="0.2">
      <c r="A1631" s="5">
        <v>1570</v>
      </c>
      <c r="B1631" s="138">
        <f>'Acct Summary 7-8'!D79</f>
        <v>757384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875287</v>
      </c>
      <c r="C1644" s="2" t="s">
        <v>594</v>
      </c>
      <c r="D1644" s="2" t="str">
        <f t="shared" si="24"/>
        <v>Error?</v>
      </c>
    </row>
    <row r="1645" spans="1:4" x14ac:dyDescent="0.2">
      <c r="A1645" s="5">
        <v>1584</v>
      </c>
      <c r="B1645" s="138">
        <f>'Acct Summary 7-8'!E79</f>
        <v>216800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23662</v>
      </c>
      <c r="C1658" s="2" t="s">
        <v>594</v>
      </c>
      <c r="D1658" s="2" t="str">
        <f t="shared" si="24"/>
        <v>Error?</v>
      </c>
    </row>
    <row r="1659" spans="1:4" x14ac:dyDescent="0.2">
      <c r="A1659" s="5">
        <v>1598</v>
      </c>
      <c r="B1659" s="138">
        <f>'Acct Summary 7-8'!F79</f>
        <v>490676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481154</v>
      </c>
      <c r="C1672" s="2" t="s">
        <v>594</v>
      </c>
      <c r="D1672" s="2" t="str">
        <f t="shared" si="25"/>
        <v>Error?</v>
      </c>
    </row>
    <row r="1673" spans="1:4" x14ac:dyDescent="0.2">
      <c r="A1673" s="5">
        <v>1612</v>
      </c>
      <c r="B1673" s="138">
        <f>'Acct Summary 7-8'!G79</f>
        <v>262473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460934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2692764</v>
      </c>
      <c r="C1744" s="2" t="s">
        <v>594</v>
      </c>
      <c r="D1744" s="2" t="str">
        <f t="shared" si="26"/>
        <v>Error?</v>
      </c>
    </row>
    <row r="1745" spans="1:5" x14ac:dyDescent="0.2">
      <c r="A1745" s="5">
        <v>1684</v>
      </c>
      <c r="B1745" s="138">
        <f>'Tax Sched 23'!B5</f>
        <v>659988</v>
      </c>
      <c r="C1745" s="2" t="s">
        <v>594</v>
      </c>
      <c r="D1745" s="2" t="str">
        <f t="shared" si="26"/>
        <v>Error?</v>
      </c>
    </row>
    <row r="1746" spans="1:5" x14ac:dyDescent="0.2">
      <c r="A1746" s="5">
        <v>1685</v>
      </c>
      <c r="B1746" s="138">
        <f>'Tax Sched 23'!B6</f>
        <v>551476</v>
      </c>
      <c r="C1746" s="2" t="s">
        <v>594</v>
      </c>
      <c r="D1746" s="2" t="str">
        <f t="shared" si="26"/>
        <v>Error?</v>
      </c>
    </row>
    <row r="1747" spans="1:5" x14ac:dyDescent="0.2">
      <c r="A1747" s="5">
        <v>1686</v>
      </c>
      <c r="B1747" s="138">
        <f>'Tax Sched 23'!B7</f>
        <v>316795</v>
      </c>
      <c r="C1747" s="2" t="s">
        <v>594</v>
      </c>
      <c r="D1747" s="2" t="str">
        <f t="shared" si="26"/>
        <v>Error?</v>
      </c>
    </row>
    <row r="1748" spans="1:5" x14ac:dyDescent="0.2">
      <c r="A1748" s="5">
        <v>1687</v>
      </c>
      <c r="B1748" s="138">
        <f>'Tax Sched 23'!B8</f>
        <v>186644</v>
      </c>
      <c r="C1748" s="2" t="s">
        <v>594</v>
      </c>
      <c r="D1748" s="2" t="str">
        <f t="shared" si="26"/>
        <v>Error?</v>
      </c>
    </row>
    <row r="1749" spans="1:5" x14ac:dyDescent="0.2">
      <c r="A1749" s="5">
        <v>1688</v>
      </c>
      <c r="B1749" s="138">
        <f>'Tax Sched 23'!B10</f>
        <v>131998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1357708</v>
      </c>
      <c r="C1752" s="2" t="s">
        <v>594</v>
      </c>
      <c r="D1752" s="2" t="str">
        <f t="shared" si="26"/>
        <v>Error?</v>
      </c>
    </row>
    <row r="1753" spans="1:5" x14ac:dyDescent="0.2">
      <c r="A1753" s="5">
        <v>1692</v>
      </c>
      <c r="B1753" s="138">
        <f>'Tax Sched 23'!B12</f>
        <v>131998</v>
      </c>
      <c r="C1753" s="2" t="s">
        <v>594</v>
      </c>
      <c r="D1753" s="2" t="str">
        <f t="shared" si="26"/>
        <v>Error?</v>
      </c>
    </row>
    <row r="1754" spans="1:5" x14ac:dyDescent="0.2">
      <c r="A1754" s="5">
        <v>1693</v>
      </c>
      <c r="B1754" s="138">
        <f>'Tax Sched 23'!B14</f>
        <v>52800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6377579</v>
      </c>
      <c r="C1759" s="2" t="s">
        <v>594</v>
      </c>
      <c r="D1759" s="2" t="str">
        <f t="shared" si="26"/>
        <v>Error?</v>
      </c>
    </row>
    <row r="1760" spans="1:5" x14ac:dyDescent="0.2">
      <c r="A1760" s="5">
        <v>1699</v>
      </c>
      <c r="B1760" s="138">
        <f>'Tax Sched 23'!D4</f>
        <v>2692764</v>
      </c>
      <c r="C1760" s="2" t="s">
        <v>594</v>
      </c>
      <c r="D1760" s="2" t="str">
        <f t="shared" si="26"/>
        <v>Error?</v>
      </c>
    </row>
    <row r="1761" spans="1:5" x14ac:dyDescent="0.2">
      <c r="A1761" s="5">
        <v>1700</v>
      </c>
      <c r="B1761" s="138">
        <f>'Tax Sched 23'!D5</f>
        <v>659988</v>
      </c>
      <c r="C1761" s="2" t="s">
        <v>594</v>
      </c>
      <c r="D1761" s="2" t="str">
        <f t="shared" si="26"/>
        <v>Error?</v>
      </c>
    </row>
    <row r="1762" spans="1:5" s="8" customFormat="1" x14ac:dyDescent="0.2">
      <c r="A1762" s="5">
        <v>1701</v>
      </c>
      <c r="B1762" s="138">
        <f>'Tax Sched 23'!D6</f>
        <v>551476</v>
      </c>
      <c r="C1762" s="2" t="s">
        <v>594</v>
      </c>
      <c r="D1762" s="2" t="str">
        <f t="shared" si="26"/>
        <v>Error?</v>
      </c>
      <c r="E1762" s="9"/>
    </row>
    <row r="1763" spans="1:5" x14ac:dyDescent="0.2">
      <c r="A1763" s="5">
        <v>1702</v>
      </c>
      <c r="B1763" s="138">
        <f>'Tax Sched 23'!D7</f>
        <v>316795</v>
      </c>
      <c r="C1763" s="2" t="s">
        <v>594</v>
      </c>
      <c r="D1763" s="2" t="str">
        <f t="shared" si="26"/>
        <v>Error?</v>
      </c>
    </row>
    <row r="1764" spans="1:5" x14ac:dyDescent="0.2">
      <c r="A1764" s="5">
        <v>1703</v>
      </c>
      <c r="B1764" s="138">
        <f>'Tax Sched 23'!D8</f>
        <v>186644</v>
      </c>
      <c r="C1764" s="2" t="s">
        <v>594</v>
      </c>
      <c r="D1764" s="2" t="str">
        <f t="shared" si="26"/>
        <v>Error?</v>
      </c>
    </row>
    <row r="1765" spans="1:5" x14ac:dyDescent="0.2">
      <c r="A1765" s="5">
        <v>1704</v>
      </c>
      <c r="B1765" s="138">
        <f>'Tax Sched 23'!D10</f>
        <v>131998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1357708</v>
      </c>
      <c r="C1768" s="2" t="s">
        <v>594</v>
      </c>
      <c r="D1768" s="2" t="str">
        <f t="shared" si="26"/>
        <v>Error?</v>
      </c>
    </row>
    <row r="1769" spans="1:5" x14ac:dyDescent="0.2">
      <c r="A1769" s="5">
        <v>1708</v>
      </c>
      <c r="B1769" s="138">
        <f>'Tax Sched 23'!D12</f>
        <v>131998</v>
      </c>
      <c r="C1769" s="2" t="s">
        <v>594</v>
      </c>
      <c r="D1769" s="2" t="str">
        <f t="shared" si="26"/>
        <v>Error?</v>
      </c>
    </row>
    <row r="1770" spans="1:5" x14ac:dyDescent="0.2">
      <c r="A1770" s="5">
        <v>1709</v>
      </c>
      <c r="B1770" s="138">
        <f>'Tax Sched 23'!D14</f>
        <v>52800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6377579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2747639</v>
      </c>
      <c r="C1792" s="2" t="s">
        <v>594</v>
      </c>
      <c r="D1792" s="2" t="str">
        <f t="shared" si="27"/>
        <v>Error?</v>
      </c>
    </row>
    <row r="1793" spans="1:4" x14ac:dyDescent="0.2">
      <c r="A1793" s="5">
        <v>1732</v>
      </c>
      <c r="B1793" s="138">
        <f>'Tax Sched 23'!F5</f>
        <v>673441</v>
      </c>
      <c r="C1793" s="2" t="s">
        <v>594</v>
      </c>
      <c r="D1793" s="2" t="str">
        <f t="shared" si="27"/>
        <v>Error?</v>
      </c>
    </row>
    <row r="1794" spans="1:4" x14ac:dyDescent="0.2">
      <c r="A1794" s="5">
        <v>1733</v>
      </c>
      <c r="B1794" s="138">
        <f>'Tax Sched 23'!F6</f>
        <v>542524</v>
      </c>
      <c r="C1794" s="2" t="s">
        <v>594</v>
      </c>
      <c r="D1794" s="2" t="str">
        <f t="shared" si="27"/>
        <v>Error?</v>
      </c>
    </row>
    <row r="1795" spans="1:4" x14ac:dyDescent="0.2">
      <c r="A1795" s="5">
        <v>1734</v>
      </c>
      <c r="B1795" s="138">
        <f>'Tax Sched 23'!F7</f>
        <v>323252</v>
      </c>
      <c r="C1795" s="2" t="s">
        <v>594</v>
      </c>
      <c r="D1795" s="2" t="str">
        <f t="shared" si="27"/>
        <v>Error?</v>
      </c>
    </row>
    <row r="1796" spans="1:4" x14ac:dyDescent="0.2">
      <c r="A1796" s="5">
        <v>1735</v>
      </c>
      <c r="B1796" s="138">
        <f>'Tax Sched 23'!F8</f>
        <v>155161</v>
      </c>
      <c r="C1796" s="2" t="s">
        <v>594</v>
      </c>
      <c r="D1796" s="2" t="str">
        <f t="shared" si="27"/>
        <v>Error?</v>
      </c>
    </row>
    <row r="1797" spans="1:4" x14ac:dyDescent="0.2">
      <c r="A1797" s="5">
        <v>1736</v>
      </c>
      <c r="B1797" s="138">
        <f>'Tax Sched 23'!F10</f>
        <v>134688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1449514</v>
      </c>
      <c r="C1800" s="2" t="s">
        <v>594</v>
      </c>
      <c r="D1800" s="2" t="str">
        <f t="shared" si="27"/>
        <v>Error?</v>
      </c>
    </row>
    <row r="1801" spans="1:4" x14ac:dyDescent="0.2">
      <c r="A1801" s="5">
        <v>1740</v>
      </c>
      <c r="B1801" s="138">
        <f>'Tax Sched 23'!F12</f>
        <v>134688</v>
      </c>
      <c r="C1801" s="2" t="s">
        <v>594</v>
      </c>
      <c r="D1801" s="2" t="str">
        <f t="shared" si="27"/>
        <v>Error?</v>
      </c>
    </row>
    <row r="1802" spans="1:4" x14ac:dyDescent="0.2">
      <c r="A1802" s="5">
        <v>1741</v>
      </c>
      <c r="B1802" s="138">
        <f>'Tax Sched 23'!F14</f>
        <v>53875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6486583</v>
      </c>
      <c r="C1807" s="2" t="s">
        <v>594</v>
      </c>
      <c r="D1807" s="2" t="str">
        <f t="shared" si="27"/>
        <v>Error?</v>
      </c>
    </row>
    <row r="1808" spans="1:4" x14ac:dyDescent="0.2">
      <c r="A1808" s="5">
        <v>1747</v>
      </c>
      <c r="B1808" s="138">
        <f>'Tax Sched 23'!E4</f>
        <v>2747639</v>
      </c>
      <c r="D1808" s="2" t="str">
        <f t="shared" si="27"/>
        <v>Error?</v>
      </c>
    </row>
    <row r="1809" spans="1:4" x14ac:dyDescent="0.2">
      <c r="A1809" s="5">
        <v>1748</v>
      </c>
      <c r="B1809" s="138">
        <f>'Tax Sched 23'!E5</f>
        <v>673441</v>
      </c>
      <c r="D1809" s="2" t="str">
        <f t="shared" si="27"/>
        <v>Error?</v>
      </c>
    </row>
    <row r="1810" spans="1:4" x14ac:dyDescent="0.2">
      <c r="A1810" s="5">
        <v>1749</v>
      </c>
      <c r="B1810" s="138">
        <f>'Tax Sched 23'!E6</f>
        <v>542524</v>
      </c>
      <c r="D1810" s="2" t="str">
        <f t="shared" si="27"/>
        <v>Error?</v>
      </c>
    </row>
    <row r="1811" spans="1:4" x14ac:dyDescent="0.2">
      <c r="A1811" s="5">
        <v>1750</v>
      </c>
      <c r="B1811" s="138">
        <f>'Tax Sched 23'!E7</f>
        <v>323252</v>
      </c>
      <c r="D1811" s="2" t="str">
        <f t="shared" si="27"/>
        <v>Error?</v>
      </c>
    </row>
    <row r="1812" spans="1:4" x14ac:dyDescent="0.2">
      <c r="A1812" s="5">
        <v>1751</v>
      </c>
      <c r="B1812" s="138">
        <f>'Tax Sched 23'!E8</f>
        <v>155161</v>
      </c>
      <c r="D1812" s="2" t="str">
        <f t="shared" si="27"/>
        <v>Error?</v>
      </c>
    </row>
    <row r="1813" spans="1:4" x14ac:dyDescent="0.2">
      <c r="A1813" s="5">
        <v>1752</v>
      </c>
      <c r="B1813" s="138">
        <f>'Tax Sched 23'!E10</f>
        <v>134688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1449514</v>
      </c>
      <c r="D1816" s="2" t="str">
        <f t="shared" si="27"/>
        <v>Error?</v>
      </c>
    </row>
    <row r="1817" spans="1:4" x14ac:dyDescent="0.2">
      <c r="A1817" s="5">
        <v>1756</v>
      </c>
      <c r="B1817" s="138">
        <f>'Tax Sched 23'!E12</f>
        <v>134688</v>
      </c>
      <c r="D1817" s="2" t="str">
        <f t="shared" si="27"/>
        <v>Error?</v>
      </c>
    </row>
    <row r="1818" spans="1:4" x14ac:dyDescent="0.2">
      <c r="A1818" s="5">
        <v>1757</v>
      </c>
      <c r="B1818" s="138">
        <f>'Tax Sched 23'!E14</f>
        <v>53875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6486583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6538690</v>
      </c>
      <c r="C1939" s="2" t="s">
        <v>594</v>
      </c>
      <c r="D1939" s="2" t="str">
        <f t="shared" si="29"/>
        <v>Error?</v>
      </c>
    </row>
    <row r="1940" spans="1:5" x14ac:dyDescent="0.2">
      <c r="A1940" s="5">
        <v>1879</v>
      </c>
      <c r="B1940" s="138">
        <f>'Short-Term Long-Term Debt 24'!F49</f>
        <v>212820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52800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61</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52861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52861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836881</v>
      </c>
      <c r="D2008" s="2" t="str">
        <f t="shared" si="30"/>
        <v>Error?</v>
      </c>
    </row>
    <row r="2009" spans="1:4" x14ac:dyDescent="0.2">
      <c r="A2009" s="5">
        <v>1948</v>
      </c>
      <c r="B2009" s="138">
        <f>'Cap Outlay Deprec 26'!C8</f>
        <v>10370386</v>
      </c>
      <c r="D2009" s="2" t="str">
        <f t="shared" si="30"/>
        <v>Error?</v>
      </c>
    </row>
    <row r="2010" spans="1:4" x14ac:dyDescent="0.2">
      <c r="A2010" s="5">
        <v>1949</v>
      </c>
      <c r="B2010" s="138">
        <f>'Cap Outlay Deprec 26'!C10</f>
        <v>5517079</v>
      </c>
      <c r="D2010" s="2" t="str">
        <f t="shared" si="30"/>
        <v>Error?</v>
      </c>
    </row>
    <row r="2011" spans="1:4" x14ac:dyDescent="0.2">
      <c r="A2011" s="5">
        <v>1950</v>
      </c>
      <c r="B2011" s="138">
        <f>'Cap Outlay Deprec 26'!C12</f>
        <v>4075924</v>
      </c>
      <c r="D2011" s="2" t="str">
        <f t="shared" si="30"/>
        <v>Error?</v>
      </c>
    </row>
    <row r="2012" spans="1:4" x14ac:dyDescent="0.2">
      <c r="A2012" s="5">
        <v>1951</v>
      </c>
      <c r="B2012" s="138">
        <f>'Cap Outlay Deprec 26'!C13</f>
        <v>1084390</v>
      </c>
      <c r="D2012" s="2" t="str">
        <f t="shared" si="30"/>
        <v>Error?</v>
      </c>
    </row>
    <row r="2013" spans="1:4" x14ac:dyDescent="0.2">
      <c r="A2013" s="5">
        <v>1952</v>
      </c>
      <c r="B2013" s="138">
        <f>'Cap Outlay Deprec 26'!C16</f>
        <v>21884660</v>
      </c>
      <c r="C2013" s="2" t="s">
        <v>594</v>
      </c>
      <c r="D2013" s="2" t="str">
        <f t="shared" si="30"/>
        <v>Error?</v>
      </c>
    </row>
    <row r="2014" spans="1:4" x14ac:dyDescent="0.2">
      <c r="A2014" s="5">
        <v>1953</v>
      </c>
      <c r="B2014" s="138">
        <f>'Cap Outlay Deprec 26'!D5</f>
        <v>95144</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77781</v>
      </c>
      <c r="D2017" s="2" t="str">
        <f t="shared" si="30"/>
        <v>Error?</v>
      </c>
    </row>
    <row r="2018" spans="1:4" x14ac:dyDescent="0.2">
      <c r="A2018" s="5">
        <v>1957</v>
      </c>
      <c r="B2018" s="138">
        <f>'Cap Outlay Deprec 26'!D13</f>
        <v>94940</v>
      </c>
      <c r="D2018" s="2" t="str">
        <f t="shared" si="30"/>
        <v>Error?</v>
      </c>
    </row>
    <row r="2019" spans="1:4" x14ac:dyDescent="0.2">
      <c r="A2019" s="5">
        <v>1958</v>
      </c>
      <c r="B2019" s="138">
        <f>'Cap Outlay Deprec 26'!D16</f>
        <v>480650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95144</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95144</v>
      </c>
      <c r="C2025" s="2" t="s">
        <v>594</v>
      </c>
      <c r="D2025" s="2" t="str">
        <f t="shared" si="30"/>
        <v>Error?</v>
      </c>
    </row>
    <row r="2026" spans="1:4" x14ac:dyDescent="0.2">
      <c r="A2026" s="5">
        <v>1965</v>
      </c>
      <c r="B2026" s="138">
        <f>'Cap Outlay Deprec 26'!F5</f>
        <v>932025</v>
      </c>
      <c r="C2026" s="2" t="s">
        <v>594</v>
      </c>
      <c r="D2026" s="2" t="str">
        <f t="shared" si="30"/>
        <v>Error?</v>
      </c>
    </row>
    <row r="2027" spans="1:4" x14ac:dyDescent="0.2">
      <c r="A2027" s="5">
        <v>1966</v>
      </c>
      <c r="B2027" s="138">
        <f>'Cap Outlay Deprec 26'!F8</f>
        <v>10275242</v>
      </c>
      <c r="C2027" s="2" t="s">
        <v>594</v>
      </c>
      <c r="D2027" s="2" t="str">
        <f t="shared" si="30"/>
        <v>Error?</v>
      </c>
    </row>
    <row r="2028" spans="1:4" x14ac:dyDescent="0.2">
      <c r="A2028" s="5">
        <v>1967</v>
      </c>
      <c r="B2028" s="138">
        <f>'Cap Outlay Deprec 26'!F10</f>
        <v>5517079</v>
      </c>
      <c r="C2028" s="2" t="s">
        <v>594</v>
      </c>
      <c r="D2028" s="2" t="str">
        <f t="shared" si="30"/>
        <v>Error?</v>
      </c>
    </row>
    <row r="2029" spans="1:4" x14ac:dyDescent="0.2">
      <c r="A2029" s="5">
        <v>1968</v>
      </c>
      <c r="B2029" s="138">
        <f>'Cap Outlay Deprec 26'!F12</f>
        <v>4153705</v>
      </c>
      <c r="C2029" s="2" t="s">
        <v>594</v>
      </c>
      <c r="D2029" s="2" t="str">
        <f t="shared" si="30"/>
        <v>Error?</v>
      </c>
    </row>
    <row r="2030" spans="1:4" x14ac:dyDescent="0.2">
      <c r="A2030" s="5">
        <v>1969</v>
      </c>
      <c r="B2030" s="138">
        <f>'Cap Outlay Deprec 26'!F13</f>
        <v>1179330</v>
      </c>
      <c r="C2030" s="2" t="s">
        <v>594</v>
      </c>
      <c r="D2030" s="2" t="str">
        <f t="shared" si="30"/>
        <v>Error?</v>
      </c>
    </row>
    <row r="2031" spans="1:4" x14ac:dyDescent="0.2">
      <c r="A2031" s="5">
        <v>1970</v>
      </c>
      <c r="B2031" s="138">
        <f>'Cap Outlay Deprec 26'!F16</f>
        <v>22270166</v>
      </c>
      <c r="C2031" s="2" t="s">
        <v>594</v>
      </c>
      <c r="D2031" s="2" t="str">
        <f t="shared" si="30"/>
        <v>Error?</v>
      </c>
    </row>
    <row r="2032" spans="1:4" x14ac:dyDescent="0.2">
      <c r="A2032" s="10">
        <v>1971</v>
      </c>
      <c r="D2032" s="2" t="str">
        <f t="shared" si="30"/>
        <v>OK</v>
      </c>
    </row>
    <row r="2033" spans="1:4" x14ac:dyDescent="0.2">
      <c r="A2033" s="5">
        <v>1972</v>
      </c>
      <c r="B2033" s="138">
        <f>'Cap Outlay Deprec 26'!H8</f>
        <v>3930485</v>
      </c>
      <c r="D2033" s="2" t="str">
        <f t="shared" si="30"/>
        <v>Error?</v>
      </c>
    </row>
    <row r="2034" spans="1:4" x14ac:dyDescent="0.2">
      <c r="A2034" s="5">
        <v>1973</v>
      </c>
      <c r="B2034" s="138">
        <f>'Cap Outlay Deprec 26'!H10</f>
        <v>2305164</v>
      </c>
      <c r="D2034" s="2" t="str">
        <f t="shared" si="30"/>
        <v>Error?</v>
      </c>
    </row>
    <row r="2035" spans="1:4" x14ac:dyDescent="0.2">
      <c r="A2035" s="5">
        <v>1974</v>
      </c>
      <c r="B2035" s="138">
        <f>'Cap Outlay Deprec 26'!H12</f>
        <v>3284026</v>
      </c>
      <c r="D2035" s="2" t="str">
        <f t="shared" si="30"/>
        <v>Error?</v>
      </c>
    </row>
    <row r="2036" spans="1:4" x14ac:dyDescent="0.2">
      <c r="A2036" s="5">
        <v>1975</v>
      </c>
      <c r="B2036" s="138">
        <f>'Cap Outlay Deprec 26'!H13</f>
        <v>992529</v>
      </c>
      <c r="D2036" s="2" t="str">
        <f t="shared" si="30"/>
        <v>Error?</v>
      </c>
    </row>
    <row r="2037" spans="1:4" x14ac:dyDescent="0.2">
      <c r="A2037" s="5">
        <v>1976</v>
      </c>
      <c r="B2037" s="138">
        <f>'Cap Outlay Deprec 26'!H16</f>
        <v>10512204</v>
      </c>
      <c r="C2037" s="2" t="s">
        <v>594</v>
      </c>
      <c r="D2037" s="2" t="str">
        <f t="shared" si="30"/>
        <v>Error?</v>
      </c>
    </row>
    <row r="2038" spans="1:4" x14ac:dyDescent="0.2">
      <c r="A2038" s="10">
        <v>1977</v>
      </c>
      <c r="D2038" s="2" t="str">
        <f t="shared" si="30"/>
        <v>OK</v>
      </c>
    </row>
    <row r="2039" spans="1:4" x14ac:dyDescent="0.2">
      <c r="A2039" s="5">
        <v>1978</v>
      </c>
      <c r="B2039" s="138">
        <f>'Cap Outlay Deprec 26'!I8</f>
        <v>195125</v>
      </c>
      <c r="D2039" s="2" t="str">
        <f t="shared" si="30"/>
        <v>Error?</v>
      </c>
    </row>
    <row r="2040" spans="1:4" x14ac:dyDescent="0.2">
      <c r="A2040" s="5">
        <v>1979</v>
      </c>
      <c r="B2040" s="138">
        <f>'Cap Outlay Deprec 26'!I10</f>
        <v>260393</v>
      </c>
      <c r="D2040" s="2" t="str">
        <f t="shared" si="30"/>
        <v>Error?</v>
      </c>
    </row>
    <row r="2041" spans="1:4" x14ac:dyDescent="0.2">
      <c r="A2041" s="5">
        <v>1980</v>
      </c>
      <c r="B2041" s="138">
        <f>'Cap Outlay Deprec 26'!I12</f>
        <v>146976</v>
      </c>
      <c r="D2041" s="2" t="str">
        <f t="shared" si="30"/>
        <v>Error?</v>
      </c>
    </row>
    <row r="2042" spans="1:4" x14ac:dyDescent="0.2">
      <c r="A2042" s="5">
        <v>1981</v>
      </c>
      <c r="B2042" s="138">
        <f>'Cap Outlay Deprec 26'!I13</f>
        <v>23455</v>
      </c>
      <c r="D2042" s="2" t="str">
        <f t="shared" si="30"/>
        <v>Error?</v>
      </c>
    </row>
    <row r="2043" spans="1:4" x14ac:dyDescent="0.2">
      <c r="A2043" s="5">
        <v>1982</v>
      </c>
      <c r="B2043" s="138">
        <f>'Cap Outlay Deprec 26'!I16</f>
        <v>625949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4125610</v>
      </c>
      <c r="C2051" s="2" t="s">
        <v>594</v>
      </c>
      <c r="D2051" s="2" t="str">
        <f t="shared" si="31"/>
        <v>Error?</v>
      </c>
    </row>
    <row r="2052" spans="1:4" x14ac:dyDescent="0.2">
      <c r="A2052" s="5">
        <v>1991</v>
      </c>
      <c r="B2052" s="138">
        <f>'Cap Outlay Deprec 26'!K10</f>
        <v>2565557</v>
      </c>
      <c r="C2052" s="2" t="s">
        <v>594</v>
      </c>
      <c r="D2052" s="2" t="str">
        <f t="shared" si="31"/>
        <v>Error?</v>
      </c>
    </row>
    <row r="2053" spans="1:4" x14ac:dyDescent="0.2">
      <c r="A2053" s="5">
        <v>1992</v>
      </c>
      <c r="B2053" s="138">
        <f>'Cap Outlay Deprec 26'!K12</f>
        <v>3431002</v>
      </c>
      <c r="C2053" s="2" t="s">
        <v>594</v>
      </c>
      <c r="D2053" s="2" t="str">
        <f t="shared" si="31"/>
        <v>Error?</v>
      </c>
    </row>
    <row r="2054" spans="1:4" x14ac:dyDescent="0.2">
      <c r="A2054" s="5">
        <v>1993</v>
      </c>
      <c r="B2054" s="138">
        <f>'Cap Outlay Deprec 26'!K13</f>
        <v>1015984</v>
      </c>
      <c r="C2054" s="2" t="s">
        <v>594</v>
      </c>
      <c r="D2054" s="2" t="str">
        <f t="shared" si="31"/>
        <v>Error?</v>
      </c>
    </row>
    <row r="2055" spans="1:4" x14ac:dyDescent="0.2">
      <c r="A2055" s="5">
        <v>1994</v>
      </c>
      <c r="B2055" s="138">
        <f>'Cap Outlay Deprec 26'!K16</f>
        <v>11138153</v>
      </c>
      <c r="C2055" s="2" t="s">
        <v>594</v>
      </c>
      <c r="D2055" s="2" t="str">
        <f t="shared" si="31"/>
        <v>Error?</v>
      </c>
    </row>
    <row r="2056" spans="1:4" x14ac:dyDescent="0.2">
      <c r="A2056" s="5">
        <v>1995</v>
      </c>
      <c r="B2056" s="138">
        <f>'Cap Outlay Deprec 26'!L5</f>
        <v>932025</v>
      </c>
      <c r="C2056" s="2" t="s">
        <v>594</v>
      </c>
      <c r="D2056" s="2" t="str">
        <f t="shared" si="31"/>
        <v>Error?</v>
      </c>
    </row>
    <row r="2057" spans="1:4" x14ac:dyDescent="0.2">
      <c r="A2057" s="5">
        <v>1996</v>
      </c>
      <c r="B2057" s="138">
        <f>'Cap Outlay Deprec 26'!L8</f>
        <v>6149632</v>
      </c>
      <c r="C2057" s="2" t="s">
        <v>594</v>
      </c>
      <c r="D2057" s="2" t="str">
        <f t="shared" si="31"/>
        <v>Error?</v>
      </c>
    </row>
    <row r="2058" spans="1:4" x14ac:dyDescent="0.2">
      <c r="A2058" s="5">
        <v>1997</v>
      </c>
      <c r="B2058" s="138">
        <f>'Cap Outlay Deprec 26'!L10</f>
        <v>2951522</v>
      </c>
      <c r="C2058" s="2" t="s">
        <v>594</v>
      </c>
      <c r="D2058" s="2" t="str">
        <f t="shared" si="31"/>
        <v>Error?</v>
      </c>
    </row>
    <row r="2059" spans="1:4" x14ac:dyDescent="0.2">
      <c r="A2059" s="5">
        <v>1998</v>
      </c>
      <c r="B2059" s="138">
        <f>'Cap Outlay Deprec 26'!L12</f>
        <v>722703</v>
      </c>
      <c r="C2059" s="2" t="s">
        <v>594</v>
      </c>
      <c r="D2059" s="2" t="str">
        <f t="shared" si="31"/>
        <v>Error?</v>
      </c>
    </row>
    <row r="2060" spans="1:4" x14ac:dyDescent="0.2">
      <c r="A2060" s="5">
        <v>1999</v>
      </c>
      <c r="B2060" s="138">
        <f>'Cap Outlay Deprec 26'!L13</f>
        <v>163346</v>
      </c>
      <c r="C2060" s="2" t="s">
        <v>594</v>
      </c>
      <c r="D2060" s="2" t="str">
        <f t="shared" si="31"/>
        <v>Error?</v>
      </c>
    </row>
    <row r="2061" spans="1:4" x14ac:dyDescent="0.2">
      <c r="A2061" s="5">
        <v>2000</v>
      </c>
      <c r="B2061" s="138">
        <f>'Cap Outlay Deprec 26'!L16</f>
        <v>11132013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248225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248225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19615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189283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3376207</v>
      </c>
      <c r="C2551" s="2" t="s">
        <v>594</v>
      </c>
      <c r="D2551" s="2" t="str">
        <f t="shared" si="38"/>
        <v>Error?</v>
      </c>
    </row>
    <row r="2552" spans="1:4" x14ac:dyDescent="0.2">
      <c r="A2552" s="10">
        <v>2491</v>
      </c>
      <c r="D2552" s="2" t="str">
        <f t="shared" si="38"/>
        <v>OK</v>
      </c>
    </row>
    <row r="2553" spans="1:4" x14ac:dyDescent="0.2">
      <c r="A2553" s="5">
        <v>2492</v>
      </c>
      <c r="B2553" s="138">
        <f>'Acct Summary 7-8'!C6</f>
        <v>1400903</v>
      </c>
      <c r="C2553" s="2" t="s">
        <v>594</v>
      </c>
      <c r="D2553" s="2" t="str">
        <f t="shared" si="38"/>
        <v>Error?</v>
      </c>
    </row>
    <row r="2554" spans="1:4" x14ac:dyDescent="0.2">
      <c r="A2554" s="5">
        <v>2493</v>
      </c>
      <c r="B2554" s="138">
        <f>'Acct Summary 7-8'!C7</f>
        <v>217632</v>
      </c>
      <c r="C2554" s="2" t="s">
        <v>594</v>
      </c>
      <c r="D2554" s="2" t="str">
        <f t="shared" si="38"/>
        <v>Error?</v>
      </c>
    </row>
    <row r="2555" spans="1:4" x14ac:dyDescent="0.2">
      <c r="A2555" s="5">
        <v>2494</v>
      </c>
      <c r="B2555" s="138">
        <f>'Acct Summary 7-8'!C8</f>
        <v>4994742</v>
      </c>
      <c r="C2555" s="2" t="s">
        <v>594</v>
      </c>
      <c r="D2555" s="2" t="str">
        <f t="shared" si="38"/>
        <v>Error?</v>
      </c>
    </row>
    <row r="2556" spans="1:4" x14ac:dyDescent="0.2">
      <c r="A2556" s="5">
        <v>2495</v>
      </c>
      <c r="B2556" s="138">
        <f>'Acct Summary 7-8'!C12</f>
        <v>3164068</v>
      </c>
      <c r="C2556" s="2" t="s">
        <v>594</v>
      </c>
      <c r="D2556" s="2" t="str">
        <f t="shared" si="38"/>
        <v>Error?</v>
      </c>
    </row>
    <row r="2557" spans="1:4" x14ac:dyDescent="0.2">
      <c r="A2557" s="5">
        <v>2496</v>
      </c>
      <c r="B2557" s="138">
        <f>'Acct Summary 7-8'!C13</f>
        <v>1216758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248225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4629051</v>
      </c>
      <c r="C2561" s="2" t="s">
        <v>594</v>
      </c>
      <c r="D2561" s="2" t="str">
        <f t="shared" si="39"/>
        <v>Error?</v>
      </c>
    </row>
    <row r="2562" spans="1:4" x14ac:dyDescent="0.2">
      <c r="A2562" s="5">
        <v>2501</v>
      </c>
      <c r="B2562" s="138">
        <f>'Acct Summary 7-8'!C20</f>
        <v>365691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855903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855903</v>
      </c>
      <c r="C2568" s="2" t="s">
        <v>594</v>
      </c>
      <c r="D2568" s="2" t="str">
        <f t="shared" si="39"/>
        <v>Error?</v>
      </c>
    </row>
    <row r="2569" spans="1:4" x14ac:dyDescent="0.2">
      <c r="A2569" s="5">
        <v>2508</v>
      </c>
      <c r="B2569" s="138">
        <f>'Acct Summary 7-8'!D13</f>
        <v>738000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738000</v>
      </c>
      <c r="C2573" s="2" t="s">
        <v>594</v>
      </c>
      <c r="D2573" s="2" t="str">
        <f t="shared" si="39"/>
        <v>Error?</v>
      </c>
    </row>
    <row r="2574" spans="1:4" x14ac:dyDescent="0.2">
      <c r="A2574" s="5">
        <v>2513</v>
      </c>
      <c r="B2574" s="138">
        <f>'Acct Summary 7-8'!D20</f>
        <v>117903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330235</v>
      </c>
      <c r="C2591" s="2" t="s">
        <v>594</v>
      </c>
      <c r="D2591" s="2" t="str">
        <f t="shared" si="39"/>
        <v>Error?</v>
      </c>
    </row>
    <row r="2592" spans="1:4" x14ac:dyDescent="0.2">
      <c r="A2592" s="10">
        <v>2531</v>
      </c>
      <c r="D2592" s="2" t="str">
        <f t="shared" si="39"/>
        <v>OK</v>
      </c>
    </row>
    <row r="2593" spans="1:4" x14ac:dyDescent="0.2">
      <c r="A2593" s="5">
        <v>2532</v>
      </c>
      <c r="B2593" s="138">
        <f>'Acct Summary 7-8'!F6</f>
        <v>101795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432030</v>
      </c>
      <c r="C2595" s="2" t="s">
        <v>594</v>
      </c>
      <c r="D2595" s="2" t="str">
        <f t="shared" si="39"/>
        <v>Error?</v>
      </c>
    </row>
    <row r="2596" spans="1:4" x14ac:dyDescent="0.2">
      <c r="A2596" s="5">
        <v>2535</v>
      </c>
      <c r="B2596" s="138">
        <f>'Acct Summary 7-8'!F13</f>
        <v>441552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441552</v>
      </c>
      <c r="C2600" s="2" t="s">
        <v>594</v>
      </c>
      <c r="D2600" s="2" t="str">
        <f t="shared" si="39"/>
        <v>Error?</v>
      </c>
    </row>
    <row r="2601" spans="1:4" x14ac:dyDescent="0.2">
      <c r="A2601" s="5">
        <v>2540</v>
      </c>
      <c r="B2601" s="138">
        <f>'Acct Summary 7-8'!F20</f>
        <v>-9522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368232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368232</v>
      </c>
      <c r="C2606" s="2" t="s">
        <v>594</v>
      </c>
      <c r="D2606" s="2" t="str">
        <f t="shared" si="39"/>
        <v>Error?</v>
      </c>
    </row>
    <row r="2607" spans="1:4" x14ac:dyDescent="0.2">
      <c r="A2607" s="5">
        <v>2546</v>
      </c>
      <c r="B2607" s="138">
        <f>'Acct Summary 7-8'!G12</f>
        <v>64056</v>
      </c>
      <c r="C2607" s="2" t="s">
        <v>594</v>
      </c>
      <c r="D2607" s="2" t="str">
        <f t="shared" si="39"/>
        <v>Error?</v>
      </c>
    </row>
    <row r="2608" spans="1:4" x14ac:dyDescent="0.2">
      <c r="A2608" s="5">
        <v>2547</v>
      </c>
      <c r="B2608" s="138">
        <f>'Acct Summary 7-8'!G13</f>
        <v>104555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169771</v>
      </c>
      <c r="C2612" s="2" t="s">
        <v>594</v>
      </c>
      <c r="D2612" s="2" t="str">
        <f t="shared" si="39"/>
        <v>Error?</v>
      </c>
    </row>
    <row r="2613" spans="1:4" x14ac:dyDescent="0.2">
      <c r="A2613" s="5">
        <v>2552</v>
      </c>
      <c r="B2613" s="138">
        <f>'Acct Summary 7-8'!G20</f>
        <v>198461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556565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556565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749703</v>
      </c>
      <c r="C2634" s="2" t="s">
        <v>594</v>
      </c>
      <c r="D2634" s="2" t="str">
        <f t="shared" si="40"/>
        <v>Error?</v>
      </c>
    </row>
    <row r="2635" spans="1:4" x14ac:dyDescent="0.2">
      <c r="A2635" s="5">
        <v>2574</v>
      </c>
      <c r="B2635" s="138">
        <f>'Acct Summary 7-8'!E17</f>
        <v>749703</v>
      </c>
      <c r="C2635" s="2" t="s">
        <v>594</v>
      </c>
      <c r="D2635" s="2" t="str">
        <f t="shared" si="40"/>
        <v>Error?</v>
      </c>
    </row>
    <row r="2636" spans="1:4" x14ac:dyDescent="0.2">
      <c r="A2636" s="5">
        <v>2575</v>
      </c>
      <c r="B2636" s="138">
        <f>'Acct Summary 7-8'!E20</f>
        <v>-193138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212785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345022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57244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246158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345022</v>
      </c>
      <c r="D2912" s="2" t="str">
        <f t="shared" si="44"/>
        <v>Error?</v>
      </c>
    </row>
    <row r="2913" spans="1:4" x14ac:dyDescent="0.2">
      <c r="A2913" s="5">
        <v>2852</v>
      </c>
      <c r="B2913" s="138">
        <f>'Assets-Liab 5-6'!I41</f>
        <v>345022</v>
      </c>
      <c r="C2913" s="2" t="s">
        <v>594</v>
      </c>
      <c r="D2913" s="2" t="str">
        <f t="shared" si="44"/>
        <v>Error?</v>
      </c>
    </row>
    <row r="2914" spans="1:4" x14ac:dyDescent="0.2">
      <c r="A2914" s="5">
        <v>2853</v>
      </c>
      <c r="B2914" s="138">
        <f>'Assets-Liab 5-6'!L33</f>
        <v>246158</v>
      </c>
      <c r="D2914" s="2" t="str">
        <f t="shared" si="44"/>
        <v>Error?</v>
      </c>
    </row>
    <row r="2915" spans="1:4" x14ac:dyDescent="0.2">
      <c r="A2915" s="10">
        <v>2854</v>
      </c>
      <c r="D2915" s="2" t="str">
        <f t="shared" si="44"/>
        <v>OK</v>
      </c>
    </row>
    <row r="2916" spans="1:4" x14ac:dyDescent="0.2">
      <c r="A2916" s="5">
        <v>2855</v>
      </c>
      <c r="B2916" s="138">
        <f>'Assets-Liab 5-6'!L34</f>
        <v>246158</v>
      </c>
      <c r="C2916" s="2" t="s">
        <v>594</v>
      </c>
      <c r="D2916" s="2" t="str">
        <f t="shared" si="44"/>
        <v>Error?</v>
      </c>
    </row>
    <row r="2917" spans="1:4" x14ac:dyDescent="0.2">
      <c r="A2917" s="5">
        <v>2856</v>
      </c>
      <c r="B2917" s="138">
        <f>'Assets-Liab 5-6'!L41</f>
        <v>246158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23206</v>
      </c>
      <c r="D2955" s="2" t="str">
        <f t="shared" si="45"/>
        <v>Error?</v>
      </c>
    </row>
    <row r="2956" spans="1:4" x14ac:dyDescent="0.2">
      <c r="A2956" s="5">
        <v>2895</v>
      </c>
      <c r="B2956" s="138">
        <f>'Expenditures 15-22'!H79</f>
        <v>225019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23206</v>
      </c>
      <c r="C2973" s="2" t="s">
        <v>594</v>
      </c>
      <c r="D2973" s="2" t="str">
        <f t="shared" si="45"/>
        <v>Error?</v>
      </c>
    </row>
    <row r="2974" spans="1:4" x14ac:dyDescent="0.2">
      <c r="A2974" s="5">
        <v>2913</v>
      </c>
      <c r="B2974" s="138">
        <f>'Expenditures 15-22'!K79</f>
        <v>225019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14919</v>
      </c>
      <c r="D3055" s="2" t="str">
        <f t="shared" si="46"/>
        <v>Error?</v>
      </c>
    </row>
    <row r="3056" spans="1:4" x14ac:dyDescent="0.2">
      <c r="A3056" s="5">
        <v>2995</v>
      </c>
      <c r="B3056" s="138">
        <f>'Expenditures 15-22'!D10</f>
        <v>2821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17740</v>
      </c>
      <c r="C3062" s="2" t="s">
        <v>594</v>
      </c>
      <c r="D3062" s="2" t="str">
        <f t="shared" si="46"/>
        <v>Error?</v>
      </c>
    </row>
    <row r="3063" spans="1:4" x14ac:dyDescent="0.2">
      <c r="A3063" s="10">
        <v>3002</v>
      </c>
      <c r="D3063" s="2" t="str">
        <f t="shared" si="46"/>
        <v>OK</v>
      </c>
    </row>
    <row r="3064" spans="1:4" x14ac:dyDescent="0.2">
      <c r="A3064" s="5">
        <v>3003</v>
      </c>
      <c r="B3064" s="138">
        <f>'Expenditures 15-22'!D219</f>
        <v>206</v>
      </c>
      <c r="D3064" s="2" t="str">
        <f t="shared" si="46"/>
        <v>Error?</v>
      </c>
    </row>
    <row r="3065" spans="1:4" x14ac:dyDescent="0.2">
      <c r="A3065" s="5">
        <v>3004</v>
      </c>
      <c r="B3065" s="138">
        <f>'Expenditures 15-22'!K219</f>
        <v>206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132202</v>
      </c>
      <c r="C3225" s="2" t="s">
        <v>594</v>
      </c>
      <c r="D3225" s="2" t="str">
        <f t="shared" si="49"/>
        <v>Error?</v>
      </c>
    </row>
    <row r="3226" spans="1:4" x14ac:dyDescent="0.2">
      <c r="A3226" s="5">
        <v>3165</v>
      </c>
      <c r="B3226" s="138">
        <f>'Acct Summary 7-8'!I8</f>
        <v>132202</v>
      </c>
      <c r="C3226" s="2" t="s">
        <v>594</v>
      </c>
      <c r="D3226" s="2" t="str">
        <f t="shared" si="49"/>
        <v>Error?</v>
      </c>
    </row>
    <row r="3227" spans="1:4" x14ac:dyDescent="0.2">
      <c r="A3227" s="5">
        <v>3166</v>
      </c>
      <c r="B3227" s="138">
        <f>'Acct Summary 7-8'!I20</f>
        <v>132202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365691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117903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-9522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198461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-193138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212820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212820</v>
      </c>
      <c r="C3319" s="2" t="s">
        <v>594</v>
      </c>
      <c r="D3319" s="2" t="str">
        <f t="shared" si="50"/>
        <v>Error?</v>
      </c>
    </row>
    <row r="3320" spans="1:4" x14ac:dyDescent="0.2">
      <c r="A3320" s="5">
        <v>3259</v>
      </c>
      <c r="B3320" s="138">
        <f>'Acct Summary 7-8'!I78</f>
        <v>345022</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345022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385224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115141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505293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28491</v>
      </c>
      <c r="D3387" s="2" t="str">
        <f t="shared" si="51"/>
        <v>Error?</v>
      </c>
    </row>
    <row r="3388" spans="1:4" x14ac:dyDescent="0.2">
      <c r="A3388" s="5">
        <v>3327</v>
      </c>
      <c r="B3388" s="138">
        <f>'Expenditures 15-22'!D217</f>
        <v>20380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28491</v>
      </c>
      <c r="C3390" s="2" t="s">
        <v>594</v>
      </c>
      <c r="D3390" s="2" t="str">
        <f t="shared" si="51"/>
        <v>Error?</v>
      </c>
    </row>
    <row r="3391" spans="1:4" x14ac:dyDescent="0.2">
      <c r="A3391" s="5">
        <v>3330</v>
      </c>
      <c r="B3391" s="138">
        <f>'Expenditures 15-22'!K217</f>
        <v>20380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656292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875287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23662</v>
      </c>
      <c r="D3417" s="2" t="str">
        <f t="shared" si="52"/>
        <v>Error?</v>
      </c>
    </row>
    <row r="3418" spans="1:4" x14ac:dyDescent="0.2">
      <c r="A3418" s="10">
        <v>3357</v>
      </c>
      <c r="D3418" s="2" t="str">
        <f t="shared" si="52"/>
        <v>OK</v>
      </c>
    </row>
    <row r="3419" spans="1:4" x14ac:dyDescent="0.2">
      <c r="A3419" s="5">
        <v>3358</v>
      </c>
      <c r="B3419" s="138">
        <f>'Assets-Liab 5-6'!F4</f>
        <v>481154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460934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345022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188914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163411</v>
      </c>
      <c r="C3446" s="2" t="s">
        <v>594</v>
      </c>
      <c r="D3446" s="2" t="str">
        <f t="shared" si="52"/>
        <v>Error?</v>
      </c>
    </row>
    <row r="3447" spans="1:4" x14ac:dyDescent="0.2">
      <c r="A3447" s="5">
        <v>3386</v>
      </c>
      <c r="B3447" s="138">
        <f>'Tax Sched 23'!D16</f>
        <v>163411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137113</v>
      </c>
      <c r="C3449" s="2" t="s">
        <v>594</v>
      </c>
      <c r="D3449" s="2" t="str">
        <f t="shared" si="52"/>
        <v>Error?</v>
      </c>
    </row>
    <row r="3450" spans="1:4" x14ac:dyDescent="0.2">
      <c r="A3450" s="5">
        <v>3389</v>
      </c>
      <c r="B3450" s="138">
        <f>'Tax Sched 23'!E16</f>
        <v>137113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212785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212785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212785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699954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699954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699954</v>
      </c>
      <c r="D3567" s="2" t="str">
        <f t="shared" si="54"/>
        <v>Error?</v>
      </c>
    </row>
    <row r="3568" spans="1:4" x14ac:dyDescent="0.2">
      <c r="A3568" s="5">
        <v>3507</v>
      </c>
      <c r="B3568" s="138">
        <f>'Assets-Liab 5-6'!K41</f>
        <v>699954</v>
      </c>
      <c r="C3568" s="2" t="s">
        <v>594</v>
      </c>
      <c r="D3568" s="2" t="str">
        <f t="shared" si="54"/>
        <v>Error?</v>
      </c>
    </row>
    <row r="3569" spans="1:4" x14ac:dyDescent="0.2">
      <c r="A3569" s="5">
        <v>3508</v>
      </c>
      <c r="B3569" s="138">
        <f>'Acct Summary 7-8'!K4</f>
        <v>139656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139656</v>
      </c>
      <c r="C3571" s="2" t="s">
        <v>594</v>
      </c>
      <c r="D3571" s="2" t="str">
        <f t="shared" si="54"/>
        <v>Error?</v>
      </c>
    </row>
    <row r="3572" spans="1:4" x14ac:dyDescent="0.2">
      <c r="A3572" s="5">
        <v>3511</v>
      </c>
      <c r="B3572" s="138">
        <f>'Acct Summary 7-8'!K13</f>
        <v>245857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245857</v>
      </c>
      <c r="C3575" s="2" t="s">
        <v>594</v>
      </c>
      <c r="D3575" s="2" t="str">
        <f t="shared" si="54"/>
        <v>Error?</v>
      </c>
    </row>
    <row r="3576" spans="1:4" x14ac:dyDescent="0.2">
      <c r="A3576" s="5">
        <v>3515</v>
      </c>
      <c r="B3576" s="138">
        <f>'Acct Summary 7-8'!K20</f>
        <v>-106201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-106201</v>
      </c>
      <c r="C3588" s="2" t="s">
        <v>594</v>
      </c>
      <c r="D3588" s="2" t="str">
        <f t="shared" si="55"/>
        <v>Error?</v>
      </c>
    </row>
    <row r="3589" spans="1:4" x14ac:dyDescent="0.2">
      <c r="A3589" s="5">
        <v>3528</v>
      </c>
      <c r="B3589" s="138">
        <f>'Acct Summary 7-8'!K79</f>
        <v>806155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699954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77800</v>
      </c>
      <c r="D3632" s="2" t="str">
        <f t="shared" si="55"/>
        <v>Error?</v>
      </c>
    </row>
    <row r="3633" spans="1:4" x14ac:dyDescent="0.2">
      <c r="A3633" s="5">
        <v>3572</v>
      </c>
      <c r="B3633" s="138">
        <f>'Expenditures 15-22'!E350</f>
        <v>77800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77800</v>
      </c>
      <c r="C3635" s="2" t="s">
        <v>594</v>
      </c>
      <c r="D3635" s="2" t="str">
        <f t="shared" si="55"/>
        <v>Error?</v>
      </c>
    </row>
    <row r="3636" spans="1:4" x14ac:dyDescent="0.2">
      <c r="A3636" s="5">
        <v>3575</v>
      </c>
      <c r="B3636" s="138">
        <f>'Expenditures 15-22'!E367</f>
        <v>77800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168057</v>
      </c>
      <c r="D3646" s="2" t="str">
        <f t="shared" si="55"/>
        <v>Error?</v>
      </c>
    </row>
    <row r="3647" spans="1:4" x14ac:dyDescent="0.2">
      <c r="A3647" s="5">
        <v>3586</v>
      </c>
      <c r="B3647" s="138">
        <f>'Expenditures 15-22'!G350</f>
        <v>168057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168057</v>
      </c>
      <c r="C3649" s="2" t="s">
        <v>594</v>
      </c>
      <c r="D3649" s="2" t="str">
        <f t="shared" si="56"/>
        <v>Error?</v>
      </c>
    </row>
    <row r="3650" spans="1:4" x14ac:dyDescent="0.2">
      <c r="A3650" s="5">
        <v>3589</v>
      </c>
      <c r="B3650" s="138">
        <f>'Expenditures 15-22'!G367</f>
        <v>168057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245857</v>
      </c>
      <c r="C3669" s="2" t="s">
        <v>594</v>
      </c>
      <c r="D3669" s="2" t="str">
        <f t="shared" si="56"/>
        <v>Error?</v>
      </c>
    </row>
    <row r="3670" spans="1:4" x14ac:dyDescent="0.2">
      <c r="A3670" s="5">
        <v>3609</v>
      </c>
      <c r="B3670" s="138">
        <f>'Expenditures 15-22'!K350</f>
        <v>245857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245857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245857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-106201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1160</v>
      </c>
      <c r="D3721" s="2" t="str">
        <f t="shared" si="57"/>
        <v>Error?</v>
      </c>
    </row>
    <row r="3722" spans="1:4" x14ac:dyDescent="0.2">
      <c r="A3722" s="5">
        <v>3661</v>
      </c>
      <c r="B3722" s="138">
        <f>'Expenditures 15-22'!D285</f>
        <v>1160</v>
      </c>
      <c r="C3722" s="2" t="s">
        <v>594</v>
      </c>
      <c r="D3722" s="2" t="str">
        <f t="shared" si="57"/>
        <v>Error?</v>
      </c>
    </row>
    <row r="3723" spans="1:4" x14ac:dyDescent="0.2">
      <c r="A3723" s="5">
        <v>3662</v>
      </c>
      <c r="B3723" s="138">
        <f>'Expenditures 15-22'!K283</f>
        <v>1160</v>
      </c>
      <c r="C3723" s="2" t="s">
        <v>594</v>
      </c>
      <c r="D3723" s="2" t="str">
        <f t="shared" si="57"/>
        <v>Error?</v>
      </c>
    </row>
    <row r="3724" spans="1:4" x14ac:dyDescent="0.2">
      <c r="A3724" s="5">
        <v>3663</v>
      </c>
      <c r="B3724" s="138">
        <f>'Expenditures 15-22'!K285</f>
        <v>1160</v>
      </c>
      <c r="C3724" s="2" t="s">
        <v>594</v>
      </c>
      <c r="D3724" s="2" t="str">
        <f t="shared" si="57"/>
        <v>Error?</v>
      </c>
    </row>
    <row r="3725" spans="1:4" x14ac:dyDescent="0.2">
      <c r="A3725" s="5">
        <v>3664</v>
      </c>
      <c r="B3725" s="138">
        <f>'Tax Sched 23'!B13</f>
        <v>131997</v>
      </c>
      <c r="C3725" s="2" t="s">
        <v>594</v>
      </c>
      <c r="D3725" s="2" t="str">
        <f t="shared" si="57"/>
        <v>Error?</v>
      </c>
    </row>
    <row r="3726" spans="1:4" x14ac:dyDescent="0.2">
      <c r="A3726" s="5">
        <v>3665</v>
      </c>
      <c r="B3726" s="138">
        <f>'Tax Sched 23'!D13</f>
        <v>131997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134688</v>
      </c>
      <c r="C3728" s="2" t="s">
        <v>594</v>
      </c>
      <c r="D3728" s="2" t="str">
        <f t="shared" si="57"/>
        <v>Error?</v>
      </c>
    </row>
    <row r="3729" spans="1:4" x14ac:dyDescent="0.2">
      <c r="A3729" s="5">
        <v>3668</v>
      </c>
      <c r="B3729" s="138">
        <f>'Tax Sched 23'!E13</f>
        <v>134688</v>
      </c>
      <c r="D3729" s="2" t="str">
        <f t="shared" si="57"/>
        <v>Error?</v>
      </c>
    </row>
    <row r="3730" spans="1:4" x14ac:dyDescent="0.2">
      <c r="A3730" s="5">
        <v>3669</v>
      </c>
      <c r="B3730" s="138">
        <f>'ICR Computation 30'!E10</f>
        <v>47186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2470808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7465550</v>
      </c>
      <c r="C4122" s="2" t="s">
        <v>594</v>
      </c>
      <c r="D4122" s="2" t="str">
        <f t="shared" si="63"/>
        <v>Error?</v>
      </c>
    </row>
    <row r="4123" spans="1:4" x14ac:dyDescent="0.2">
      <c r="A4123" s="5">
        <v>4062</v>
      </c>
      <c r="B4123" s="138">
        <f>'Acct Summary 7-8'!D10</f>
        <v>855903</v>
      </c>
      <c r="C4123" s="2" t="s">
        <v>594</v>
      </c>
      <c r="D4123" s="2" t="str">
        <f t="shared" si="63"/>
        <v>Error?</v>
      </c>
    </row>
    <row r="4124" spans="1:4" x14ac:dyDescent="0.2">
      <c r="A4124" s="5">
        <v>4063</v>
      </c>
      <c r="B4124" s="138">
        <f>'Acct Summary 7-8'!E10</f>
        <v>556565</v>
      </c>
      <c r="C4124" s="2" t="s">
        <v>594</v>
      </c>
      <c r="D4124" s="2" t="str">
        <f t="shared" si="63"/>
        <v>Error?</v>
      </c>
    </row>
    <row r="4125" spans="1:4" x14ac:dyDescent="0.2">
      <c r="A4125" s="5">
        <v>4064</v>
      </c>
      <c r="B4125" s="138">
        <f>'Acct Summary 7-8'!F10</f>
        <v>432030</v>
      </c>
      <c r="C4125" s="2" t="s">
        <v>594</v>
      </c>
      <c r="D4125" s="2" t="str">
        <f t="shared" si="63"/>
        <v>Error?</v>
      </c>
    </row>
    <row r="4126" spans="1:4" x14ac:dyDescent="0.2">
      <c r="A4126" s="5">
        <v>4065</v>
      </c>
      <c r="B4126" s="138">
        <f>'Acct Summary 7-8'!G10</f>
        <v>368232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132202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139656</v>
      </c>
      <c r="C4130" s="2" t="s">
        <v>594</v>
      </c>
      <c r="D4130" s="2" t="str">
        <f t="shared" si="63"/>
        <v>Error?</v>
      </c>
    </row>
    <row r="4131" spans="1:4" x14ac:dyDescent="0.2">
      <c r="A4131" s="5">
        <v>4070</v>
      </c>
      <c r="B4131" s="138">
        <f>'Acct Summary 7-8'!C18</f>
        <v>2470808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7099859</v>
      </c>
      <c r="C4136" s="2" t="s">
        <v>594</v>
      </c>
      <c r="D4136" s="2" t="str">
        <f t="shared" si="63"/>
        <v>Error?</v>
      </c>
    </row>
    <row r="4137" spans="1:4" x14ac:dyDescent="0.2">
      <c r="A4137" s="5">
        <v>4076</v>
      </c>
      <c r="B4137" s="138">
        <f>'Acct Summary 7-8'!D19</f>
        <v>738000</v>
      </c>
      <c r="C4137" s="2" t="s">
        <v>594</v>
      </c>
      <c r="D4137" s="2" t="str">
        <f t="shared" si="63"/>
        <v>Error?</v>
      </c>
    </row>
    <row r="4138" spans="1:4" x14ac:dyDescent="0.2">
      <c r="A4138" s="5">
        <v>4077</v>
      </c>
      <c r="B4138" s="138">
        <f>'Acct Summary 7-8'!E19</f>
        <v>749703</v>
      </c>
      <c r="C4138" s="2" t="s">
        <v>594</v>
      </c>
      <c r="D4138" s="2" t="str">
        <f t="shared" si="63"/>
        <v>Error?</v>
      </c>
    </row>
    <row r="4139" spans="1:4" x14ac:dyDescent="0.2">
      <c r="A4139" s="5">
        <v>4078</v>
      </c>
      <c r="B4139" s="138">
        <f>'Acct Summary 7-8'!F19</f>
        <v>441552</v>
      </c>
      <c r="C4139" s="2" t="s">
        <v>594</v>
      </c>
      <c r="D4139" s="2" t="str">
        <f t="shared" si="63"/>
        <v>Error?</v>
      </c>
    </row>
    <row r="4140" spans="1:4" x14ac:dyDescent="0.2">
      <c r="A4140" s="5">
        <v>4079</v>
      </c>
      <c r="B4140" s="138">
        <f>'Acct Summary 7-8'!G19</f>
        <v>169771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245857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6282461</v>
      </c>
      <c r="C4171" s="2" t="s">
        <v>594</v>
      </c>
      <c r="D4171" s="2" t="str">
        <f t="shared" si="64"/>
        <v>Error?</v>
      </c>
    </row>
    <row r="4172" spans="1:4" x14ac:dyDescent="0.2">
      <c r="A4172" s="5">
        <v>4111</v>
      </c>
      <c r="B4172" s="138">
        <f>'Short-Term Long-Term Debt 24'!J49</f>
        <v>6258799</v>
      </c>
      <c r="C4172" s="2" t="s">
        <v>594</v>
      </c>
      <c r="D4172" s="2" t="str">
        <f t="shared" si="64"/>
        <v>Error?</v>
      </c>
    </row>
    <row r="4173" spans="1:4" x14ac:dyDescent="0.2">
      <c r="A4173" s="5">
        <v>4112</v>
      </c>
      <c r="B4173" s="138">
        <f>'Short-Term Long-Term Debt 24'!H49</f>
        <v>453000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-16049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1020.0000000000001</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1390</v>
      </c>
      <c r="C4268" s="2" t="s">
        <v>594</v>
      </c>
      <c r="D4268" s="2" t="str">
        <f t="shared" si="65"/>
        <v>Error?</v>
      </c>
    </row>
    <row r="4269" spans="1:5" x14ac:dyDescent="0.2">
      <c r="A4269" s="12">
        <v>4208</v>
      </c>
      <c r="B4269" s="138">
        <f>'FP Info 3'!J16</f>
        <v>2357755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5701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6386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4550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6922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269490794</v>
      </c>
      <c r="D4995" s="2" t="str">
        <f t="shared" si="77"/>
        <v>Error?</v>
      </c>
    </row>
    <row r="4996" spans="1:4" x14ac:dyDescent="0.2">
      <c r="A4996" s="12">
        <v>4935</v>
      </c>
      <c r="B4996" s="138">
        <f>'FP Info 3'!H31</f>
        <v>18594864.786000002</v>
      </c>
      <c r="D4996" s="2" t="str">
        <f t="shared" si="77"/>
        <v>Error?</v>
      </c>
    </row>
    <row r="4997" spans="1:4" x14ac:dyDescent="0.2">
      <c r="A4997" s="12">
        <v>4936</v>
      </c>
      <c r="B4997" s="138">
        <f>'FP Info 3'!H37</f>
        <v>6282461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2692764</v>
      </c>
      <c r="D5061" s="2" t="str">
        <f t="shared" si="78"/>
        <v>Error?</v>
      </c>
    </row>
    <row r="5062" spans="1:4" x14ac:dyDescent="0.2">
      <c r="A5062" s="10">
        <v>5001</v>
      </c>
      <c r="D5062" s="2" t="str">
        <f t="shared" si="78"/>
        <v>OK</v>
      </c>
    </row>
    <row r="5063" spans="1:4" x14ac:dyDescent="0.2">
      <c r="A5063" s="5">
        <v>5002</v>
      </c>
      <c r="B5063" s="138">
        <f>'Revenues 9-14'!C7</f>
        <v>52800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2745564</v>
      </c>
      <c r="C5066" s="2" t="s">
        <v>594</v>
      </c>
      <c r="D5066" s="2" t="str">
        <f t="shared" si="78"/>
        <v>Error?</v>
      </c>
    </row>
    <row r="5067" spans="1:4" x14ac:dyDescent="0.2">
      <c r="A5067" s="5">
        <v>5006</v>
      </c>
      <c r="B5067" s="138">
        <f>'Revenues 9-14'!C14</f>
        <v>3158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191131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194289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5679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5679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208599</v>
      </c>
      <c r="C5096" s="2" t="s">
        <v>594</v>
      </c>
      <c r="D5096" s="2" t="str">
        <f t="shared" si="78"/>
        <v>Error?</v>
      </c>
    </row>
    <row r="5097" spans="1:4" x14ac:dyDescent="0.2">
      <c r="A5097" s="5">
        <v>5036</v>
      </c>
      <c r="B5097" s="138">
        <f>'Revenues 9-14'!C77</f>
        <v>38109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29189</v>
      </c>
      <c r="D5101" s="2" t="str">
        <f t="shared" si="78"/>
        <v>Error?</v>
      </c>
    </row>
    <row r="5102" spans="1:4" x14ac:dyDescent="0.2">
      <c r="A5102" s="5">
        <v>5041</v>
      </c>
      <c r="B5102" s="138">
        <f>'Revenues 9-14'!C82</f>
        <v>67298</v>
      </c>
      <c r="C5102" s="2" t="s">
        <v>594</v>
      </c>
      <c r="D5102" s="2" t="str">
        <f t="shared" si="78"/>
        <v>Error?</v>
      </c>
    </row>
    <row r="5103" spans="1:4" x14ac:dyDescent="0.2">
      <c r="A5103" s="5">
        <v>5042</v>
      </c>
      <c r="B5103" s="138">
        <f>'Revenues 9-14'!C84</f>
        <v>74448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44378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118826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v>
      </c>
      <c r="D5118" s="2" t="str">
        <f t="shared" si="78"/>
        <v>Error?</v>
      </c>
    </row>
    <row r="5119" spans="1:4" x14ac:dyDescent="0.2">
      <c r="A5119" s="5">
        <v>5058</v>
      </c>
      <c r="B5119" s="138">
        <f>'Revenues 9-14'!C107</f>
        <v>6132</v>
      </c>
      <c r="D5119" s="2" t="str">
        <f t="shared" ref="D5119:D5182" si="79">IF(ISBLANK(B5119),"OK",IF(A5119-B5119=0,"OK","Error?"))</f>
        <v>Error?</v>
      </c>
    </row>
    <row r="5120" spans="1:4" x14ac:dyDescent="0.2">
      <c r="A5120" s="5">
        <v>5059</v>
      </c>
      <c r="B5120" s="138">
        <f>'Revenues 9-14'!C108</f>
        <v>35952</v>
      </c>
      <c r="C5120" s="2" t="s">
        <v>594</v>
      </c>
      <c r="D5120" s="2" t="str">
        <f t="shared" si="79"/>
        <v>Error?</v>
      </c>
    </row>
    <row r="5121" spans="1:4" x14ac:dyDescent="0.2">
      <c r="A5121" s="5">
        <v>5060</v>
      </c>
      <c r="B5121" s="138">
        <f>'Revenues 9-14'!C109</f>
        <v>3376207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1217083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1217083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40081</v>
      </c>
      <c r="D5134" s="2" t="str">
        <f t="shared" si="79"/>
        <v>Error?</v>
      </c>
    </row>
    <row r="5135" spans="1:4" x14ac:dyDescent="0.2">
      <c r="A5135" s="5">
        <v>5074</v>
      </c>
      <c r="B5135" s="138">
        <f>'Revenues 9-14'!C126</f>
        <v>42740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500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83321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66158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70390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477</v>
      </c>
      <c r="D5167" s="2" t="str">
        <f t="shared" si="79"/>
        <v>Error?</v>
      </c>
    </row>
    <row r="5168" spans="1:4" x14ac:dyDescent="0.2">
      <c r="A5168" s="5">
        <v>5107</v>
      </c>
      <c r="B5168" s="138">
        <f>'Revenues 9-14'!C147</f>
        <v>26132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183820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1400903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45556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47186</v>
      </c>
      <c r="C5246" s="2" t="s">
        <v>594</v>
      </c>
      <c r="D5246" s="2" t="str">
        <f t="shared" si="80"/>
        <v>Error?</v>
      </c>
    </row>
    <row r="5247" spans="1:4" x14ac:dyDescent="0.2">
      <c r="A5247" s="5">
        <v>5186</v>
      </c>
      <c r="B5247" s="138">
        <f>'Revenues 9-14'!C203</f>
        <v>48601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4550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48601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81973</v>
      </c>
      <c r="D5278" s="2" t="str">
        <f t="shared" si="81"/>
        <v>Error?</v>
      </c>
    </row>
    <row r="5279" spans="1:4" x14ac:dyDescent="0.2">
      <c r="A5279" s="5">
        <v>5218</v>
      </c>
      <c r="B5279" s="138">
        <f>'Revenues 9-14'!C221</f>
        <v>1185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83158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15128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15128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217632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217632</v>
      </c>
      <c r="C5326" s="2" t="s">
        <v>594</v>
      </c>
      <c r="D5326" s="2" t="str">
        <f t="shared" si="82"/>
        <v>Error?</v>
      </c>
    </row>
    <row r="5327" spans="1:4" x14ac:dyDescent="0.2">
      <c r="A5327" s="5">
        <v>5266</v>
      </c>
      <c r="B5327" s="138">
        <f>'Revenues 9-14'!C275</f>
        <v>4994742</v>
      </c>
      <c r="C5327" s="2" t="s">
        <v>594</v>
      </c>
      <c r="D5327" s="2" t="str">
        <f t="shared" si="82"/>
        <v>Error?</v>
      </c>
    </row>
    <row r="5328" spans="1:4" x14ac:dyDescent="0.2">
      <c r="A5328" s="5">
        <v>5267</v>
      </c>
      <c r="B5328" s="138">
        <f>'Revenues 9-14'!D5</f>
        <v>659988</v>
      </c>
      <c r="D5328" s="2" t="str">
        <f t="shared" si="82"/>
        <v>Error?</v>
      </c>
    </row>
    <row r="5329" spans="1:4" x14ac:dyDescent="0.2">
      <c r="A5329" s="10">
        <v>5268</v>
      </c>
      <c r="D5329" s="2" t="str">
        <f t="shared" si="82"/>
        <v>OK</v>
      </c>
    </row>
    <row r="5330" spans="1:4" x14ac:dyDescent="0.2">
      <c r="A5330" s="5">
        <v>5269</v>
      </c>
      <c r="B5330" s="138">
        <f>'Revenues 9-14'!D6</f>
        <v>131997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791985</v>
      </c>
      <c r="C5334" s="2" t="s">
        <v>594</v>
      </c>
      <c r="D5334" s="2" t="str">
        <f t="shared" si="82"/>
        <v>Error?</v>
      </c>
    </row>
    <row r="5335" spans="1:4" x14ac:dyDescent="0.2">
      <c r="A5335" s="5">
        <v>5274</v>
      </c>
      <c r="B5335" s="138">
        <f>'Revenues 9-14'!D14</f>
        <v>911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911</v>
      </c>
      <c r="C5339" s="2" t="s">
        <v>594</v>
      </c>
      <c r="D5339" s="2" t="str">
        <f t="shared" si="82"/>
        <v>Error?</v>
      </c>
    </row>
    <row r="5340" spans="1:4" x14ac:dyDescent="0.2">
      <c r="A5340" s="5">
        <v>5279</v>
      </c>
      <c r="B5340" s="138">
        <f>'Revenues 9-14'!D65</f>
        <v>9299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9299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30459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23249</v>
      </c>
      <c r="D5354" s="2" t="str">
        <f t="shared" si="82"/>
        <v>Error?</v>
      </c>
    </row>
    <row r="5355" spans="1:4" x14ac:dyDescent="0.2">
      <c r="A5355" s="5">
        <v>5294</v>
      </c>
      <c r="B5355" s="138">
        <f>'Revenues 9-14'!D108</f>
        <v>53708</v>
      </c>
      <c r="C5355" s="2" t="s">
        <v>594</v>
      </c>
      <c r="D5355" s="2" t="str">
        <f t="shared" si="82"/>
        <v>Error?</v>
      </c>
    </row>
    <row r="5356" spans="1:4" x14ac:dyDescent="0.2">
      <c r="A5356" s="5">
        <v>5295</v>
      </c>
      <c r="B5356" s="138">
        <f>'Revenues 9-14'!D109</f>
        <v>855903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855903</v>
      </c>
      <c r="C5508" s="2" t="s">
        <v>594</v>
      </c>
      <c r="D5508" s="2" t="str">
        <f t="shared" si="85"/>
        <v>Error?</v>
      </c>
    </row>
    <row r="5509" spans="1:4" x14ac:dyDescent="0.2">
      <c r="A5509" s="5">
        <v>5448</v>
      </c>
      <c r="B5509" s="138">
        <f>'Revenues 9-14'!E5</f>
        <v>551476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551476</v>
      </c>
      <c r="C5513" s="2" t="s">
        <v>594</v>
      </c>
      <c r="D5513" s="2" t="str">
        <f t="shared" si="85"/>
        <v>Error?</v>
      </c>
    </row>
    <row r="5514" spans="1:4" x14ac:dyDescent="0.2">
      <c r="A5514" s="5">
        <v>5453</v>
      </c>
      <c r="B5514" s="138">
        <f>'Revenues 9-14'!E14</f>
        <v>634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634</v>
      </c>
      <c r="C5518" s="2" t="s">
        <v>594</v>
      </c>
      <c r="D5518" s="2" t="str">
        <f t="shared" si="85"/>
        <v>Error?</v>
      </c>
    </row>
    <row r="5519" spans="1:4" x14ac:dyDescent="0.2">
      <c r="A5519" s="5">
        <v>5458</v>
      </c>
      <c r="B5519" s="138">
        <f>'Revenues 9-14'!E65</f>
        <v>2664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2664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1791</v>
      </c>
      <c r="D5525" s="2" t="str">
        <f t="shared" si="85"/>
        <v>Error?</v>
      </c>
    </row>
    <row r="5526" spans="1:4" x14ac:dyDescent="0.2">
      <c r="A5526" s="5">
        <v>5465</v>
      </c>
      <c r="B5526" s="138">
        <f>'Revenues 9-14'!E108</f>
        <v>1791</v>
      </c>
      <c r="C5526" s="2" t="s">
        <v>594</v>
      </c>
      <c r="D5526" s="2" t="str">
        <f t="shared" si="85"/>
        <v>Error?</v>
      </c>
    </row>
    <row r="5527" spans="1:4" x14ac:dyDescent="0.2">
      <c r="A5527" s="5">
        <v>5466</v>
      </c>
      <c r="B5527" s="138">
        <f>'Revenues 9-14'!E109</f>
        <v>556565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556565</v>
      </c>
      <c r="C5552" s="2" t="s">
        <v>594</v>
      </c>
      <c r="D5552" s="2" t="str">
        <f t="shared" si="85"/>
        <v>Error?</v>
      </c>
    </row>
    <row r="5553" spans="1:4" x14ac:dyDescent="0.2">
      <c r="A5553" s="5">
        <v>5492</v>
      </c>
      <c r="B5553" s="138">
        <f>'Revenues 9-14'!F5</f>
        <v>316795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316795</v>
      </c>
      <c r="C5557" s="2" t="s">
        <v>594</v>
      </c>
      <c r="D5557" s="2" t="str">
        <f t="shared" si="85"/>
        <v>Error?</v>
      </c>
    </row>
    <row r="5558" spans="1:4" x14ac:dyDescent="0.2">
      <c r="A5558" s="5">
        <v>5497</v>
      </c>
      <c r="B5558" s="138">
        <f>'Revenues 9-14'!F14</f>
        <v>364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364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5521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5521</v>
      </c>
      <c r="C5582" s="2" t="s">
        <v>594</v>
      </c>
      <c r="D5582" s="2" t="str">
        <f t="shared" si="86"/>
        <v>OK</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7555</v>
      </c>
      <c r="D5586" s="2" t="str">
        <f t="shared" si="86"/>
        <v>Error?</v>
      </c>
    </row>
    <row r="5587" spans="1:4" x14ac:dyDescent="0.2">
      <c r="A5587" s="5">
        <v>5526</v>
      </c>
      <c r="B5587" s="138">
        <f>'Revenues 9-14'!F108</f>
        <v>7555</v>
      </c>
      <c r="C5587" s="2" t="s">
        <v>594</v>
      </c>
      <c r="D5587" s="2" t="str">
        <f t="shared" si="86"/>
        <v>Error?</v>
      </c>
    </row>
    <row r="5588" spans="1:4" x14ac:dyDescent="0.2">
      <c r="A5588" s="5">
        <v>5527</v>
      </c>
      <c r="B5588" s="138">
        <f>'Revenues 9-14'!F109</f>
        <v>330235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7201</v>
      </c>
      <c r="D5615" s="2" t="str">
        <f t="shared" si="86"/>
        <v>Error?</v>
      </c>
    </row>
    <row r="5616" spans="1:4" x14ac:dyDescent="0.2">
      <c r="A5616" s="10">
        <v>5555</v>
      </c>
      <c r="D5616" s="2" t="str">
        <f t="shared" si="86"/>
        <v>OK</v>
      </c>
    </row>
    <row r="5617" spans="1:4" x14ac:dyDescent="0.2">
      <c r="A5617" s="5">
        <v>5556</v>
      </c>
      <c r="B5617" s="138">
        <f>'Revenues 9-14'!F152</f>
        <v>94594</v>
      </c>
      <c r="D5617" s="2" t="str">
        <f t="shared" si="86"/>
        <v>Error?</v>
      </c>
    </row>
    <row r="5618" spans="1:4" x14ac:dyDescent="0.2">
      <c r="A5618" s="5">
        <v>5557</v>
      </c>
      <c r="B5618" s="138">
        <f>'Revenues 9-14'!F154</f>
        <v>101795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101795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101795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432030</v>
      </c>
      <c r="C5720" s="2" t="s">
        <v>594</v>
      </c>
      <c r="D5720" s="2" t="str">
        <f t="shared" si="88"/>
        <v>Error?</v>
      </c>
    </row>
    <row r="5721" spans="1:4" x14ac:dyDescent="0.2">
      <c r="A5721" s="5">
        <v>5660</v>
      </c>
      <c r="B5721" s="138">
        <f>'Revenues 9-14'!G5</f>
        <v>186644</v>
      </c>
      <c r="D5721" s="2" t="str">
        <f t="shared" si="88"/>
        <v>Error?</v>
      </c>
    </row>
    <row r="5722" spans="1:4" x14ac:dyDescent="0.2">
      <c r="A5722" s="5">
        <v>5661</v>
      </c>
      <c r="B5722" s="138">
        <f>'Revenues 9-14'!G7</f>
        <v>0</v>
      </c>
      <c r="D5722" s="2" t="str">
        <f t="shared" si="88"/>
        <v>Error?</v>
      </c>
    </row>
    <row r="5723" spans="1:4" x14ac:dyDescent="0.2">
      <c r="A5723" s="5">
        <v>5662</v>
      </c>
      <c r="B5723" s="138">
        <f>'Revenues 9-14'!G8</f>
        <v>163411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350055</v>
      </c>
      <c r="C5725" s="2" t="s">
        <v>594</v>
      </c>
      <c r="D5725" s="2" t="str">
        <f t="shared" si="88"/>
        <v>Error?</v>
      </c>
    </row>
    <row r="5726" spans="1:4" x14ac:dyDescent="0.2">
      <c r="A5726" s="5">
        <v>5665</v>
      </c>
      <c r="B5726" s="138">
        <f>'Revenues 9-14'!G14</f>
        <v>403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15403</v>
      </c>
      <c r="C5730" s="2" t="s">
        <v>594</v>
      </c>
      <c r="D5730" s="2" t="str">
        <f t="shared" si="88"/>
        <v>Error?</v>
      </c>
    </row>
    <row r="5731" spans="1:4" x14ac:dyDescent="0.2">
      <c r="A5731" s="5">
        <v>5670</v>
      </c>
      <c r="B5731" s="138">
        <f>'Revenues 9-14'!G65</f>
        <v>2774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368232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131998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131998</v>
      </c>
      <c r="C5918" s="2" t="s">
        <v>594</v>
      </c>
      <c r="D5918" s="2" t="str">
        <f t="shared" si="91"/>
        <v>Error?</v>
      </c>
    </row>
    <row r="5919" spans="1:4" x14ac:dyDescent="0.2">
      <c r="A5919" s="5">
        <v>5858</v>
      </c>
      <c r="B5919" s="138">
        <f>'Revenues 9-14'!I14</f>
        <v>152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152</v>
      </c>
      <c r="C5923" s="2" t="s">
        <v>594</v>
      </c>
      <c r="D5923" s="2" t="str">
        <f t="shared" si="91"/>
        <v>Error?</v>
      </c>
    </row>
    <row r="5924" spans="1:4" x14ac:dyDescent="0.2">
      <c r="A5924" s="5">
        <v>5863</v>
      </c>
      <c r="B5924" s="138">
        <f>'Revenues 9-14'!I65</f>
        <v>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132202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131998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131998</v>
      </c>
      <c r="C5987" s="2" t="s">
        <v>594</v>
      </c>
      <c r="D5987" s="2" t="str">
        <f t="shared" si="92"/>
        <v>Error?</v>
      </c>
    </row>
    <row r="5988" spans="1:4" x14ac:dyDescent="0.2">
      <c r="A5988" s="5">
        <v>5927</v>
      </c>
      <c r="B5988" s="138">
        <f>'Revenues 9-14'!K14</f>
        <v>152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152</v>
      </c>
      <c r="C5992" s="2" t="s">
        <v>594</v>
      </c>
      <c r="D5992" s="2" t="str">
        <f t="shared" si="92"/>
        <v>Error?</v>
      </c>
    </row>
    <row r="5993" spans="1:4" x14ac:dyDescent="0.2">
      <c r="A5993" s="5">
        <v>5932</v>
      </c>
      <c r="B5993" s="138">
        <f>'Revenues 9-14'!K65</f>
        <v>7506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7506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139656</v>
      </c>
      <c r="C6023" s="2" t="s">
        <v>594</v>
      </c>
      <c r="D6023" s="2" t="str">
        <f t="shared" si="93"/>
        <v>Error?</v>
      </c>
    </row>
    <row r="6024" spans="1:5" x14ac:dyDescent="0.2">
      <c r="A6024" s="5">
        <v>5963</v>
      </c>
      <c r="B6024" s="138">
        <f>'Revenues 9-14'!G109</f>
        <v>368232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132202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139656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208599</v>
      </c>
      <c r="D6031" s="2" t="str">
        <f t="shared" si="93"/>
        <v>Error?</v>
      </c>
    </row>
    <row r="6032" spans="1:5" x14ac:dyDescent="0.2">
      <c r="A6032" s="5">
        <v>5971</v>
      </c>
      <c r="B6032" s="138">
        <f>'Acct Summary 7-8'!G15</f>
        <v>1160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10842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375064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375064</v>
      </c>
      <c r="D6215" s="2" t="str">
        <f t="shared" si="96"/>
        <v>Error?</v>
      </c>
      <c r="E6215" s="2" t="s">
        <v>199</v>
      </c>
    </row>
    <row r="6216" spans="1:5" x14ac:dyDescent="0.2">
      <c r="A6216">
        <v>6155</v>
      </c>
      <c r="B6216" s="138">
        <f>'Assets-Liab 5-6'!J41</f>
        <v>375064</v>
      </c>
      <c r="D6216" s="2" t="str">
        <f t="shared" si="96"/>
        <v>Error?</v>
      </c>
      <c r="E6216" s="2" t="s">
        <v>199</v>
      </c>
    </row>
    <row r="6217" spans="1:5" x14ac:dyDescent="0.2">
      <c r="A6217">
        <v>6156</v>
      </c>
      <c r="B6217" s="138">
        <f>'Assets-Liab 5-6'!J4</f>
        <v>375064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1363701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1363701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1363701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1018503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1018503</v>
      </c>
      <c r="D6229" s="2" t="str">
        <f t="shared" si="96"/>
        <v>Error?</v>
      </c>
      <c r="E6229" s="2" t="s">
        <v>199</v>
      </c>
    </row>
    <row r="6230" spans="1:5" x14ac:dyDescent="0.2">
      <c r="A6230">
        <v>6169</v>
      </c>
      <c r="B6230" s="138">
        <f>'Acct Summary 7-8'!J20</f>
        <v>345198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345198</v>
      </c>
      <c r="D6263" s="2" t="str">
        <f t="shared" si="96"/>
        <v>Error?</v>
      </c>
      <c r="E6263" s="2" t="s">
        <v>199</v>
      </c>
    </row>
    <row r="6264" spans="1:5" x14ac:dyDescent="0.2">
      <c r="A6264">
        <v>6203</v>
      </c>
      <c r="B6264" s="138">
        <f>'Acct Summary 7-8'!J79</f>
        <v>29866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375064</v>
      </c>
      <c r="D6266" s="2" t="str">
        <f t="shared" si="96"/>
        <v>Error?</v>
      </c>
      <c r="E6266" s="2" t="s">
        <v>199</v>
      </c>
    </row>
    <row r="6267" spans="1:5" x14ac:dyDescent="0.2">
      <c r="A6267">
        <v>6206</v>
      </c>
      <c r="B6267" s="138">
        <f>'Acct Summary 7-8'!C82</f>
        <v>365691</v>
      </c>
      <c r="D6267" s="2" t="str">
        <f t="shared" si="96"/>
        <v>Error?</v>
      </c>
      <c r="E6267" s="2" t="s">
        <v>199</v>
      </c>
    </row>
    <row r="6268" spans="1:5" x14ac:dyDescent="0.2">
      <c r="A6268">
        <v>6207</v>
      </c>
      <c r="B6268" s="138">
        <f>'Acct Summary 7-8'!D82</f>
        <v>117903</v>
      </c>
      <c r="D6268" s="2" t="str">
        <f t="shared" si="96"/>
        <v>Error?</v>
      </c>
      <c r="E6268" s="2" t="s">
        <v>199</v>
      </c>
    </row>
    <row r="6269" spans="1:5" x14ac:dyDescent="0.2">
      <c r="A6269">
        <v>6208</v>
      </c>
      <c r="B6269" s="138">
        <f>'Acct Summary 7-8'!E82</f>
        <v>-193138</v>
      </c>
      <c r="D6269" s="2" t="str">
        <f t="shared" si="96"/>
        <v>Error?</v>
      </c>
      <c r="E6269" s="2" t="s">
        <v>199</v>
      </c>
    </row>
    <row r="6270" spans="1:5" x14ac:dyDescent="0.2">
      <c r="A6270">
        <v>6209</v>
      </c>
      <c r="B6270" s="138">
        <f>'Acct Summary 7-8'!F82</f>
        <v>-9522</v>
      </c>
      <c r="D6270" s="2" t="str">
        <f t="shared" si="96"/>
        <v>Error?</v>
      </c>
      <c r="E6270" s="2" t="s">
        <v>199</v>
      </c>
    </row>
    <row r="6271" spans="1:5" x14ac:dyDescent="0.2">
      <c r="A6271">
        <v>6210</v>
      </c>
      <c r="B6271" s="138">
        <f>'Acct Summary 7-8'!G82</f>
        <v>198461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345022</v>
      </c>
      <c r="D6273" s="2" t="str">
        <f t="shared" si="97"/>
        <v>Error?</v>
      </c>
      <c r="E6273" s="2" t="s">
        <v>199</v>
      </c>
    </row>
    <row r="6274" spans="1:5" x14ac:dyDescent="0.2">
      <c r="A6274">
        <v>6213</v>
      </c>
      <c r="B6274" s="138">
        <f>'Acct Summary 7-8'!J82</f>
        <v>345198</v>
      </c>
      <c r="D6274" s="2" t="str">
        <f t="shared" si="97"/>
        <v>Error?</v>
      </c>
      <c r="E6274" s="2" t="s">
        <v>199</v>
      </c>
    </row>
    <row r="6275" spans="1:5" x14ac:dyDescent="0.2">
      <c r="A6275">
        <v>6214</v>
      </c>
      <c r="B6275" s="138">
        <f>'Acct Summary 7-8'!K82</f>
        <v>-106201</v>
      </c>
      <c r="D6275" s="2" t="str">
        <f t="shared" si="97"/>
        <v>Error?</v>
      </c>
      <c r="E6275" s="2" t="s">
        <v>199</v>
      </c>
    </row>
    <row r="6276" spans="1:5" x14ac:dyDescent="0.2">
      <c r="A6276">
        <v>6215</v>
      </c>
      <c r="B6276" s="138">
        <f>'Acct Summary 7-8'!C83</f>
        <v>0.55720776727432297</v>
      </c>
      <c r="D6276" s="2" t="str">
        <f t="shared" si="97"/>
        <v>Error?</v>
      </c>
      <c r="E6276" s="2" t="s">
        <v>199</v>
      </c>
    </row>
    <row r="6277" spans="1:5" x14ac:dyDescent="0.2">
      <c r="A6277">
        <v>6216</v>
      </c>
      <c r="B6277" s="138">
        <f>'Acct Summary 7-8'!D83</f>
        <v>0.13470210342436253</v>
      </c>
      <c r="D6277" s="2" t="str">
        <f t="shared" si="97"/>
        <v>Error?</v>
      </c>
      <c r="E6277" s="2" t="s">
        <v>199</v>
      </c>
    </row>
    <row r="6278" spans="1:5" x14ac:dyDescent="0.2">
      <c r="A6278">
        <v>6217</v>
      </c>
      <c r="B6278" s="138">
        <f>'Acct Summary 7-8'!E83</f>
        <v>-8.1623700447975658</v>
      </c>
      <c r="D6278" s="2" t="str">
        <f t="shared" si="97"/>
        <v>Error?</v>
      </c>
      <c r="E6278" s="2" t="s">
        <v>199</v>
      </c>
    </row>
    <row r="6279" spans="1:5" x14ac:dyDescent="0.2">
      <c r="A6279">
        <v>6218</v>
      </c>
      <c r="B6279" s="138">
        <f>'Acct Summary 7-8'!F83</f>
        <v>-1.9789921729841172E-2</v>
      </c>
      <c r="D6279" s="2" t="str">
        <f t="shared" si="97"/>
        <v>Error?</v>
      </c>
      <c r="E6279" s="2" t="s">
        <v>199</v>
      </c>
    </row>
    <row r="6280" spans="1:5" x14ac:dyDescent="0.2">
      <c r="A6280">
        <v>6219</v>
      </c>
      <c r="B6280" s="138">
        <f>'Acct Summary 7-8'!G83</f>
        <v>0.43056272698477438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v>
      </c>
      <c r="D6282" s="2" t="str">
        <f t="shared" si="97"/>
        <v>Error?</v>
      </c>
      <c r="E6282" s="2" t="s">
        <v>199</v>
      </c>
    </row>
    <row r="6283" spans="1:5" x14ac:dyDescent="0.2">
      <c r="A6283">
        <v>6222</v>
      </c>
      <c r="B6283" s="138">
        <f>'Acct Summary 7-8'!J83</f>
        <v>0.92037092336241277</v>
      </c>
      <c r="D6283" s="2" t="str">
        <f t="shared" si="97"/>
        <v>Error?</v>
      </c>
      <c r="E6283" s="2" t="s">
        <v>199</v>
      </c>
    </row>
    <row r="6284" spans="1:5" x14ac:dyDescent="0.2">
      <c r="A6284">
        <v>6223</v>
      </c>
      <c r="B6284" s="138">
        <f>'Acct Summary 7-8'!K83</f>
        <v>-0.15172568483071744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1357708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1357708</v>
      </c>
      <c r="D6301" s="2" t="str">
        <f t="shared" si="97"/>
        <v>Error?</v>
      </c>
      <c r="E6301" s="2" t="s">
        <v>199</v>
      </c>
    </row>
    <row r="6302" spans="1:5" x14ac:dyDescent="0.2">
      <c r="A6302">
        <v>6241</v>
      </c>
      <c r="B6302" s="138">
        <f>'Revenues 9-14'!J14</f>
        <v>1561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1561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3895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3895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29790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537</v>
      </c>
      <c r="D6350" s="2" t="str">
        <f t="shared" si="98"/>
        <v>Error?</v>
      </c>
      <c r="E6350" s="2" t="s">
        <v>199</v>
      </c>
    </row>
    <row r="6351" spans="1:5" x14ac:dyDescent="0.2">
      <c r="A6351">
        <v>6290</v>
      </c>
      <c r="B6351" s="138">
        <f>'Revenues 9-14'!J108</f>
        <v>537</v>
      </c>
      <c r="D6351" s="2" t="str">
        <f t="shared" si="98"/>
        <v>Error?</v>
      </c>
      <c r="E6351" s="2" t="s">
        <v>199</v>
      </c>
    </row>
    <row r="6352" spans="1:5" x14ac:dyDescent="0.2">
      <c r="A6352">
        <v>6291</v>
      </c>
      <c r="B6352" s="138">
        <f>'Revenues 9-14'!J109</f>
        <v>1363701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4232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3500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84497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1018503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1363701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1217</v>
      </c>
      <c r="D7079" s="2" t="str">
        <f t="shared" si="109"/>
        <v>Error?</v>
      </c>
    </row>
    <row r="7080" spans="1:4" x14ac:dyDescent="0.2">
      <c r="A7080">
        <v>7019</v>
      </c>
      <c r="B7080" s="138">
        <f>'Expenditures 15-22'!K226</f>
        <v>1217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6916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6916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101681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101681</v>
      </c>
      <c r="D7153" s="2" t="str">
        <f t="shared" si="110"/>
        <v>Error?</v>
      </c>
    </row>
    <row r="7154" spans="1:4" x14ac:dyDescent="0.2">
      <c r="A7154">
        <v>7093</v>
      </c>
      <c r="B7154" s="138">
        <f>'Expenditures 15-22'!C323</f>
        <v>801860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801860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108046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108046</v>
      </c>
      <c r="D7198" s="2" t="str">
        <f t="shared" si="111"/>
        <v>Error?</v>
      </c>
    </row>
    <row r="7199" spans="1:4" x14ac:dyDescent="0.2">
      <c r="A7199">
        <v>7138</v>
      </c>
      <c r="B7199" s="138">
        <f>'Expenditures 15-22'!C330</f>
        <v>801860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216643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1018503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801860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216643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1018503</v>
      </c>
      <c r="D7224" s="2" t="str">
        <f t="shared" si="111"/>
        <v>Error?</v>
      </c>
    </row>
    <row r="7225" spans="1:4" x14ac:dyDescent="0.2">
      <c r="A7225">
        <v>7164</v>
      </c>
      <c r="B7225" s="138">
        <f>'Expenditures 15-22'!K343</f>
        <v>345198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55909</v>
      </c>
      <c r="D7263" s="2" t="str">
        <f t="shared" si="112"/>
        <v>Error?</v>
      </c>
    </row>
    <row r="7264" spans="1:4" x14ac:dyDescent="0.2">
      <c r="A7264">
        <f t="shared" si="113"/>
        <v>7203</v>
      </c>
      <c r="B7264" s="138">
        <f>'Expenditures 15-22'!D17</f>
        <v>21626</v>
      </c>
      <c r="D7264" s="2" t="str">
        <f t="shared" si="112"/>
        <v>Error?</v>
      </c>
    </row>
    <row r="7265" spans="1:5" x14ac:dyDescent="0.2">
      <c r="A7265">
        <f t="shared" si="113"/>
        <v>7204</v>
      </c>
      <c r="B7265" s="138">
        <f>'Expenditures 15-22'!E17</f>
        <v>4586</v>
      </c>
      <c r="D7265" s="2" t="str">
        <f t="shared" si="112"/>
        <v>Error?</v>
      </c>
    </row>
    <row r="7266" spans="1:5" x14ac:dyDescent="0.2">
      <c r="A7266">
        <f t="shared" si="113"/>
        <v>7205</v>
      </c>
      <c r="B7266" s="138">
        <f>'Expenditures 15-22'!F17</f>
        <v>2166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625949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29790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26132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55922</v>
      </c>
      <c r="D7719" s="2" t="str">
        <f t="shared" si="126"/>
        <v>Error?</v>
      </c>
      <c r="E7719" s="2" t="s">
        <v>881</v>
      </c>
    </row>
    <row r="7720" spans="1:6" x14ac:dyDescent="0.2">
      <c r="A7720">
        <v>7659</v>
      </c>
      <c r="B7720" s="138">
        <f>'Rest Tax Levies-Tort Im 25'!H14</f>
        <v>52861</v>
      </c>
      <c r="D7720" s="2" t="str">
        <f t="shared" si="126"/>
        <v>Error?</v>
      </c>
      <c r="E7720" s="2" t="s">
        <v>881</v>
      </c>
    </row>
    <row r="7721" spans="1:6" x14ac:dyDescent="0.2">
      <c r="A7721">
        <v>7660</v>
      </c>
      <c r="B7721" s="138">
        <f>'Rest Tax Levies-Tort Im 25'!K14</f>
        <v>55922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237768</v>
      </c>
      <c r="D7797" s="2" t="str">
        <f t="shared" si="127"/>
        <v>Error?</v>
      </c>
      <c r="E7797" s="4" t="s">
        <v>2020</v>
      </c>
    </row>
    <row r="7798" spans="1:5" x14ac:dyDescent="0.2">
      <c r="A7798">
        <v>7737</v>
      </c>
      <c r="B7798" s="138">
        <f>'Contracts Paid in CY 29'!F141</f>
        <v>45204</v>
      </c>
      <c r="D7798" s="2" t="str">
        <f t="shared" si="127"/>
        <v>Error?</v>
      </c>
      <c r="E7798" s="4" t="s">
        <v>2020</v>
      </c>
    </row>
    <row r="7799" spans="1:5" x14ac:dyDescent="0.2">
      <c r="A7799">
        <v>7738</v>
      </c>
      <c r="B7799" s="138">
        <f>'Contracts Paid in CY 29'!G141</f>
        <v>192564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7" t="s">
        <v>1253</v>
      </c>
      <c r="B2" s="2437"/>
      <c r="C2" s="2437"/>
      <c r="D2" s="2437"/>
      <c r="E2" s="2437"/>
      <c r="F2" s="2437"/>
      <c r="G2" s="2437"/>
      <c r="H2" s="2437"/>
      <c r="I2" s="2437"/>
      <c r="J2" s="2437"/>
      <c r="K2" s="2437"/>
      <c r="L2" s="2437"/>
    </row>
    <row r="3" spans="1:29" ht="13.5" customHeight="1" x14ac:dyDescent="0.2">
      <c r="A3" s="2423" t="s">
        <v>1252</v>
      </c>
      <c r="B3" s="2423"/>
      <c r="C3" s="2423"/>
      <c r="D3" s="2423"/>
      <c r="E3" s="2423"/>
      <c r="F3" s="2423"/>
      <c r="G3" s="2423"/>
      <c r="H3" s="2423"/>
      <c r="I3" s="2423"/>
      <c r="J3" s="2423"/>
      <c r="K3" s="2423"/>
      <c r="L3" s="2423"/>
    </row>
    <row r="4" spans="1:29" ht="13.5" customHeight="1" x14ac:dyDescent="0.2">
      <c r="A4" s="2437" t="s">
        <v>1799</v>
      </c>
      <c r="B4" s="2454"/>
      <c r="C4" s="2454"/>
      <c r="D4" s="2454"/>
      <c r="E4" s="2454"/>
      <c r="F4" s="2454"/>
      <c r="G4" s="2454"/>
      <c r="H4" s="2454"/>
      <c r="I4" s="2454"/>
      <c r="J4" s="2454"/>
      <c r="K4" s="2454"/>
      <c r="L4" s="245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7" t="str">
        <f>COVER!A17</f>
        <v>Freeburg CHSD 77</v>
      </c>
      <c r="B7" s="2418"/>
      <c r="C7" s="2418"/>
      <c r="D7" s="2455"/>
      <c r="E7" s="2456">
        <f>COVER!A13</f>
        <v>50082077016</v>
      </c>
      <c r="F7" s="2457"/>
      <c r="G7" s="2424" t="str">
        <f>COVER!T23</f>
        <v>065-023476</v>
      </c>
      <c r="H7" s="2425"/>
      <c r="I7" s="2425"/>
      <c r="J7" s="2425"/>
      <c r="K7" s="2425"/>
      <c r="L7" s="242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7"/>
      <c r="B9" s="2428"/>
      <c r="C9" s="2428"/>
      <c r="D9" s="2428"/>
      <c r="E9" s="2428"/>
      <c r="F9" s="2429"/>
      <c r="G9" s="2430" t="str">
        <f>COVER!T13</f>
        <v>SCHEFFEL BOYLE</v>
      </c>
      <c r="H9" s="2431"/>
      <c r="I9" s="2431"/>
      <c r="J9" s="2431"/>
      <c r="K9" s="2431"/>
      <c r="L9" s="2432"/>
    </row>
    <row r="10" spans="1:29" ht="13.5" customHeight="1" x14ac:dyDescent="0.2">
      <c r="A10" s="2414" t="str">
        <f>COVER!A38</f>
        <v>GREGORY A. FRERKING</v>
      </c>
      <c r="B10" s="2415"/>
      <c r="C10" s="2415"/>
      <c r="D10" s="2415"/>
      <c r="E10" s="2415"/>
      <c r="F10" s="2416"/>
      <c r="G10" s="2430" t="str">
        <f>COVER!T17</f>
        <v>222 EAST MAIN STREET</v>
      </c>
      <c r="H10" s="2443"/>
      <c r="I10" s="2443"/>
      <c r="J10" s="2443"/>
      <c r="K10" s="2443"/>
      <c r="L10" s="2444"/>
    </row>
    <row r="11" spans="1:29" ht="13.5" customHeight="1" x14ac:dyDescent="0.2">
      <c r="A11" s="1185" t="s">
        <v>1599</v>
      </c>
      <c r="B11" s="1186"/>
      <c r="C11" s="1187"/>
      <c r="D11" s="1192"/>
      <c r="E11" s="1187"/>
      <c r="F11" s="1191"/>
      <c r="G11" s="2430" t="str">
        <f>COVER!T19</f>
        <v>BELLEVILLE</v>
      </c>
      <c r="H11" s="2443"/>
      <c r="I11" s="2443"/>
      <c r="J11" s="2443"/>
      <c r="K11" s="2443"/>
      <c r="L11" s="2444"/>
    </row>
    <row r="12" spans="1:29" ht="13.5" customHeight="1" x14ac:dyDescent="0.2">
      <c r="A12" s="2448" t="s">
        <v>1598</v>
      </c>
      <c r="B12" s="2449"/>
      <c r="C12" s="2449"/>
      <c r="D12" s="2449"/>
      <c r="E12" s="2449"/>
      <c r="F12" s="2450"/>
      <c r="G12" s="2445"/>
      <c r="H12" s="2446"/>
      <c r="I12" s="2446"/>
      <c r="J12" s="2446"/>
      <c r="K12" s="2446"/>
      <c r="L12" s="2447"/>
    </row>
    <row r="13" spans="1:29" ht="13.5" customHeight="1" x14ac:dyDescent="0.2">
      <c r="A13" s="2430"/>
      <c r="B13" s="2443"/>
      <c r="C13" s="2443"/>
      <c r="D13" s="2443"/>
      <c r="E13" s="2443"/>
      <c r="F13" s="2444"/>
      <c r="G13" s="2438" t="s">
        <v>1600</v>
      </c>
      <c r="H13" s="2439"/>
      <c r="I13" s="2451" t="str">
        <f>COVER!T25</f>
        <v>brian.otten@scheffelboyle.com</v>
      </c>
      <c r="J13" s="2452"/>
      <c r="K13" s="2452"/>
      <c r="L13" s="2453"/>
    </row>
    <row r="14" spans="1:29" ht="13.5" customHeight="1" x14ac:dyDescent="0.2">
      <c r="A14" s="2430" t="str">
        <f>COVER!A19</f>
        <v>401 SOUTH MONROE STREET</v>
      </c>
      <c r="B14" s="2443"/>
      <c r="C14" s="2443"/>
      <c r="D14" s="2443"/>
      <c r="E14" s="2443"/>
      <c r="F14" s="2444"/>
      <c r="G14" s="1196" t="s">
        <v>1247</v>
      </c>
      <c r="H14" s="1194"/>
      <c r="I14" s="1194"/>
      <c r="J14" s="1194"/>
      <c r="K14" s="1194"/>
      <c r="L14" s="1195"/>
    </row>
    <row r="15" spans="1:29" ht="13.5" customHeight="1" x14ac:dyDescent="0.2">
      <c r="A15" s="2430" t="str">
        <f>COVER!A21</f>
        <v xml:space="preserve">FREEBURG </v>
      </c>
      <c r="B15" s="2443"/>
      <c r="C15" s="2443"/>
      <c r="D15" s="2443"/>
      <c r="E15" s="2443"/>
      <c r="F15" s="2444"/>
      <c r="G15" s="2440" t="str">
        <f>COVER!T15</f>
        <v>BRIAN A. OTTEN</v>
      </c>
      <c r="H15" s="2441"/>
      <c r="I15" s="2441"/>
      <c r="J15" s="2441"/>
      <c r="K15" s="2441"/>
      <c r="L15" s="2442"/>
    </row>
    <row r="16" spans="1:29" ht="12.2" customHeight="1" x14ac:dyDescent="0.2">
      <c r="A16" s="2420">
        <f>COVER!A25</f>
        <v>62243</v>
      </c>
      <c r="B16" s="2421"/>
      <c r="C16" s="2421"/>
      <c r="D16" s="2421"/>
      <c r="E16" s="2421"/>
      <c r="F16" s="2422"/>
      <c r="G16" s="2433"/>
      <c r="H16" s="2434"/>
      <c r="I16" s="2434"/>
      <c r="J16" s="2434"/>
      <c r="K16" s="2434"/>
      <c r="L16" s="2435"/>
    </row>
    <row r="17" spans="1:13" ht="12.2" customHeight="1" x14ac:dyDescent="0.2">
      <c r="A17" s="2436"/>
      <c r="B17" s="2421"/>
      <c r="C17" s="2421"/>
      <c r="D17" s="2421"/>
      <c r="E17" s="2421"/>
      <c r="F17" s="2422"/>
      <c r="G17" s="1196" t="s">
        <v>1246</v>
      </c>
      <c r="H17" s="1194"/>
      <c r="I17" s="1194"/>
      <c r="J17" s="1194"/>
      <c r="K17" s="1198" t="s">
        <v>1245</v>
      </c>
      <c r="L17" s="1191"/>
      <c r="M17" s="1184"/>
    </row>
    <row r="18" spans="1:13" ht="12.2" customHeight="1" x14ac:dyDescent="0.2">
      <c r="A18" s="2414"/>
      <c r="B18" s="2415"/>
      <c r="C18" s="2415"/>
      <c r="D18" s="2415"/>
      <c r="E18" s="2415"/>
      <c r="F18" s="2416"/>
      <c r="G18" s="2417" t="str">
        <f>COVER!T21</f>
        <v>618-277-8100</v>
      </c>
      <c r="H18" s="2418"/>
      <c r="I18" s="2418"/>
      <c r="J18" s="2418"/>
      <c r="K18" s="2417" t="str">
        <f>COVER!X21</f>
        <v>618-277-9307</v>
      </c>
      <c r="L18" s="241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8" t="str">
        <f>'Single Audit Cover'!A7</f>
        <v>Freeburg CHSD 77</v>
      </c>
      <c r="B1" s="2454"/>
      <c r="C1" s="2454"/>
      <c r="D1" s="2454"/>
    </row>
    <row r="2" spans="1:11" s="1215" customFormat="1" ht="12.75" x14ac:dyDescent="0.2">
      <c r="A2" s="2459">
        <f>'Single Audit Cover'!E7</f>
        <v>50082077016</v>
      </c>
      <c r="B2" s="2460"/>
      <c r="C2" s="2460"/>
      <c r="D2" s="2460"/>
    </row>
    <row r="3" spans="1:11" s="1215" customFormat="1" ht="12.75" x14ac:dyDescent="0.2">
      <c r="A3" s="2458" t="s">
        <v>1593</v>
      </c>
      <c r="B3" s="2454"/>
      <c r="C3" s="2454"/>
      <c r="D3" s="245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2" t="str">
        <f>'Single Audit Cover'!A7</f>
        <v>Freeburg CHSD 77</v>
      </c>
      <c r="B1" s="2462"/>
      <c r="C1" s="2462"/>
      <c r="D1" s="2462"/>
      <c r="E1" s="2462"/>
    </row>
    <row r="2" spans="1:5" x14ac:dyDescent="0.2">
      <c r="A2" s="2463">
        <f>'Single Audit Cover'!E7</f>
        <v>50082077016</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60" t="s">
        <v>1305</v>
      </c>
    </row>
    <row r="10" spans="1:5" x14ac:dyDescent="0.2">
      <c r="A10" s="1261" t="s">
        <v>1304</v>
      </c>
      <c r="B10" s="1262" t="s">
        <v>1303</v>
      </c>
      <c r="C10" s="1262"/>
      <c r="D10" s="1263">
        <f>SUM('Acct Summary 7-8'!C7:K7)</f>
        <v>217632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10842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-6386</v>
      </c>
    </row>
    <row r="19" spans="1:4" ht="13.5" thickBot="1" x14ac:dyDescent="0.25">
      <c r="A19" s="1265" t="s">
        <v>1297</v>
      </c>
      <c r="D19" s="1266">
        <f>SUM(D10:D17)</f>
        <v>222088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4"/>
      <c r="B24" s="2464"/>
      <c r="D24" s="1268"/>
    </row>
    <row r="25" spans="1:4" x14ac:dyDescent="0.2">
      <c r="A25" s="2461"/>
      <c r="B25" s="2461"/>
      <c r="D25" s="1268"/>
    </row>
    <row r="26" spans="1:4" x14ac:dyDescent="0.2">
      <c r="A26" s="2461"/>
      <c r="B26" s="2461"/>
      <c r="D26" s="1268"/>
    </row>
    <row r="27" spans="1:4" x14ac:dyDescent="0.2">
      <c r="A27" s="2461"/>
      <c r="B27" s="2461"/>
      <c r="D27" s="1268"/>
    </row>
    <row r="28" spans="1:4" x14ac:dyDescent="0.2">
      <c r="A28" s="2461"/>
      <c r="B28" s="2461"/>
      <c r="D28" s="1268"/>
    </row>
    <row r="29" spans="1:4" x14ac:dyDescent="0.2">
      <c r="A29" s="2461"/>
      <c r="B29" s="2461"/>
      <c r="D29" s="1268"/>
    </row>
    <row r="30" spans="1:4" x14ac:dyDescent="0.2">
      <c r="A30" s="2461"/>
      <c r="B30" s="2461"/>
      <c r="D30" s="1268"/>
    </row>
    <row r="32" spans="1:4" x14ac:dyDescent="0.2">
      <c r="A32" s="1260" t="s">
        <v>1295</v>
      </c>
      <c r="D32" s="1263">
        <f>SUM(D19:D30)</f>
        <v>222088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61"/>
      <c r="B40" s="2461"/>
      <c r="D40" s="1268"/>
    </row>
    <row r="41" spans="1:4" x14ac:dyDescent="0.2">
      <c r="A41" s="2461"/>
      <c r="B41" s="2461"/>
      <c r="D41" s="1271"/>
    </row>
    <row r="42" spans="1:4" x14ac:dyDescent="0.2">
      <c r="A42" s="2461"/>
      <c r="B42" s="2461"/>
      <c r="D42" s="1271"/>
    </row>
    <row r="43" spans="1:4" x14ac:dyDescent="0.2">
      <c r="A43" s="2461"/>
      <c r="B43" s="2461"/>
      <c r="D43" s="1271"/>
    </row>
    <row r="44" spans="1:4" x14ac:dyDescent="0.2">
      <c r="A44" s="2461"/>
      <c r="B44" s="2461"/>
      <c r="D44" s="1271"/>
    </row>
    <row r="45" spans="1:4" x14ac:dyDescent="0.2">
      <c r="A45" s="2461"/>
      <c r="B45" s="2461"/>
      <c r="D45" s="1271"/>
    </row>
    <row r="47" spans="1:4" x14ac:dyDescent="0.2">
      <c r="B47" s="1272" t="s">
        <v>1289</v>
      </c>
      <c r="C47" s="1272"/>
      <c r="D47" s="1273">
        <f>SUM(D35:D45)</f>
        <v>0</v>
      </c>
    </row>
    <row r="49" spans="2:4" x14ac:dyDescent="0.2">
      <c r="B49" s="1272" t="s">
        <v>1288</v>
      </c>
      <c r="C49" s="1272"/>
      <c r="D49" s="1273">
        <f>D32-D47</f>
        <v>222088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Freeburg CHSD 77</v>
      </c>
      <c r="B1" s="2467"/>
      <c r="C1" s="2467"/>
      <c r="D1" s="2467"/>
      <c r="E1" s="2467"/>
      <c r="F1" s="2467"/>
    </row>
    <row r="2" spans="1:7" ht="13.5" customHeight="1" x14ac:dyDescent="0.2">
      <c r="A2" s="2468">
        <f>'Single Audit Cover'!E7</f>
        <v>50082077016</v>
      </c>
      <c r="B2" s="2468"/>
      <c r="C2" s="2468"/>
      <c r="D2" s="2468"/>
      <c r="E2" s="2468"/>
      <c r="F2" s="2468"/>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6" t="s">
        <v>1832</v>
      </c>
      <c r="B7" s="2466"/>
      <c r="C7" s="2466"/>
      <c r="D7" s="2466"/>
      <c r="E7" s="2466"/>
      <c r="F7" s="246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6" t="s">
        <v>1834</v>
      </c>
      <c r="B13" s="2466"/>
      <c r="C13" s="2466"/>
      <c r="D13" s="2466"/>
      <c r="E13" s="2466"/>
      <c r="F13" s="2466"/>
    </row>
    <row r="14" spans="1:7" ht="9.75" customHeight="1" x14ac:dyDescent="0.2">
      <c r="C14" s="1260"/>
      <c r="D14" s="1260"/>
    </row>
    <row r="15" spans="1:7" ht="13.5" customHeight="1" x14ac:dyDescent="0.2">
      <c r="C15" s="1871" t="s">
        <v>1332</v>
      </c>
      <c r="D15" s="2472" t="s">
        <v>1331</v>
      </c>
      <c r="E15" s="2472"/>
      <c r="F15" s="2472"/>
    </row>
    <row r="16" spans="1:7" ht="13.5" customHeight="1" x14ac:dyDescent="0.2">
      <c r="A16" s="1282"/>
      <c r="B16" s="1276" t="s">
        <v>1330</v>
      </c>
      <c r="C16" s="1871" t="s">
        <v>1329</v>
      </c>
      <c r="D16" s="2473" t="s">
        <v>1670</v>
      </c>
      <c r="E16" s="2473"/>
      <c r="F16" s="2473"/>
    </row>
    <row r="17" spans="1:6" ht="20.45" customHeight="1" x14ac:dyDescent="0.2">
      <c r="A17" s="1283"/>
      <c r="B17" s="1284"/>
      <c r="C17" s="1285"/>
      <c r="D17" s="2471"/>
      <c r="E17" s="2471"/>
      <c r="F17" s="2471"/>
    </row>
    <row r="18" spans="1:6" ht="20.65" customHeight="1" x14ac:dyDescent="0.2">
      <c r="A18" s="1283"/>
      <c r="B18" s="1284"/>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5" t="s">
        <v>1835</v>
      </c>
      <c r="B32" s="2475"/>
      <c r="C32" s="2475"/>
      <c r="D32" s="2475"/>
      <c r="E32" s="2475"/>
      <c r="F32" s="2475"/>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6">
        <f>+C33+C34</f>
        <v>0</v>
      </c>
      <c r="F34" s="247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9"/>
    </row>
    <row r="50" spans="1:5" s="1300" customFormat="1" ht="3.75" customHeight="1" x14ac:dyDescent="0.2">
      <c r="A50" s="1299"/>
      <c r="B50" s="1870"/>
      <c r="C50" s="1870"/>
      <c r="D50" s="1870"/>
      <c r="E50" s="1399"/>
    </row>
    <row r="51" spans="1:5" s="1300" customFormat="1" ht="20.25" customHeight="1" x14ac:dyDescent="0.2">
      <c r="A51" s="1301">
        <v>6</v>
      </c>
      <c r="B51" s="2474" t="s">
        <v>1632</v>
      </c>
      <c r="C51" s="2474"/>
      <c r="D51" s="2474"/>
    </row>
    <row r="52" spans="1:5" ht="14.25" customHeight="1" x14ac:dyDescent="0.2">
      <c r="A52" s="1301"/>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Freeburg CHSD 77</v>
      </c>
      <c r="C1" s="2479"/>
      <c r="D1" s="2479"/>
      <c r="E1" s="2479"/>
      <c r="F1" s="2479"/>
      <c r="G1" s="2479"/>
      <c r="H1" s="2479"/>
      <c r="I1" s="2479"/>
      <c r="J1" s="2479"/>
      <c r="K1" s="2479"/>
      <c r="L1" s="2479"/>
      <c r="M1" s="2479"/>
    </row>
    <row r="2" spans="2:14" ht="15" x14ac:dyDescent="0.2">
      <c r="B2" s="2468">
        <f>'Single Audit Cover'!E7</f>
        <v>50082077016</v>
      </c>
      <c r="C2" s="2468"/>
      <c r="D2" s="2468"/>
      <c r="E2" s="2468"/>
      <c r="F2" s="2468"/>
      <c r="G2" s="2468"/>
      <c r="H2" s="2468"/>
      <c r="I2" s="2468"/>
      <c r="J2" s="2468"/>
      <c r="K2" s="2468"/>
      <c r="L2" s="2468"/>
      <c r="M2" s="2468"/>
      <c r="N2" s="1302"/>
    </row>
    <row r="3" spans="2:14" ht="15" x14ac:dyDescent="0.2">
      <c r="B3" s="2480" t="s">
        <v>1281</v>
      </c>
      <c r="C3" s="2480"/>
      <c r="D3" s="2480"/>
      <c r="E3" s="2480"/>
      <c r="F3" s="2480"/>
      <c r="G3" s="2480"/>
      <c r="H3" s="2480"/>
      <c r="I3" s="2480"/>
      <c r="J3" s="2480"/>
      <c r="K3" s="2480"/>
      <c r="L3" s="2480"/>
      <c r="M3" s="2480"/>
      <c r="N3" s="1302"/>
    </row>
    <row r="4" spans="2:14" ht="15" x14ac:dyDescent="0.2">
      <c r="B4" s="2481" t="str">
        <f>'Single Audit Cover'!A4</f>
        <v>Year Ending June 30, 2018</v>
      </c>
      <c r="C4" s="2481"/>
      <c r="D4" s="2481"/>
      <c r="E4" s="2481"/>
      <c r="F4" s="2481"/>
      <c r="G4" s="2481"/>
      <c r="H4" s="2481"/>
      <c r="I4" s="2481"/>
      <c r="J4" s="2481"/>
      <c r="K4" s="2481"/>
      <c r="L4" s="2481"/>
      <c r="M4" s="248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1230</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1" t="s">
        <v>1731</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1" t="s">
        <v>331</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1390</v>
      </c>
      <c r="B70" s="2104"/>
      <c r="C70" s="2104"/>
      <c r="D70" s="2104"/>
      <c r="E70" s="2105"/>
      <c r="F70" s="2105"/>
      <c r="G70" s="2105"/>
      <c r="H70" s="2105"/>
      <c r="I70" s="21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1387</v>
      </c>
      <c r="B83" s="2106"/>
      <c r="C83" s="2106"/>
      <c r="D83" s="21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2090</v>
      </c>
      <c r="D114" s="20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1397</v>
      </c>
      <c r="D117" s="2099"/>
      <c r="E117" s="2100"/>
      <c r="F117" s="2100"/>
      <c r="G117" s="2100"/>
      <c r="H117" s="210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Freeburg CHSD 77</v>
      </c>
      <c r="C1" s="2487"/>
      <c r="D1" s="2487"/>
      <c r="E1" s="2487"/>
      <c r="F1" s="2487"/>
      <c r="G1" s="2487"/>
      <c r="H1" s="2487"/>
      <c r="I1" s="2487"/>
      <c r="J1" s="1422"/>
    </row>
    <row r="2" spans="2:10" s="317" customFormat="1" ht="12.75" customHeight="1" x14ac:dyDescent="0.2">
      <c r="B2" s="2488">
        <f>'Single Audit Cover'!E7</f>
        <v>50082077016</v>
      </c>
      <c r="C2" s="2489"/>
      <c r="D2" s="2489"/>
      <c r="E2" s="2489"/>
      <c r="F2" s="2489"/>
      <c r="G2" s="2489"/>
      <c r="H2" s="2489"/>
      <c r="I2" s="2489"/>
      <c r="J2" s="1422"/>
    </row>
    <row r="3" spans="2:10" s="317" customFormat="1" ht="12.75" customHeight="1" x14ac:dyDescent="0.2">
      <c r="B3" s="2490" t="s">
        <v>1347</v>
      </c>
      <c r="C3" s="2491"/>
      <c r="D3" s="2491"/>
      <c r="E3" s="2491"/>
      <c r="F3" s="2491"/>
      <c r="G3" s="2491"/>
      <c r="H3" s="2491"/>
      <c r="I3" s="2491"/>
      <c r="J3" s="1423"/>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0" t="s">
        <v>1346</v>
      </c>
      <c r="C7" s="2491"/>
      <c r="D7" s="2491"/>
      <c r="E7" s="2491"/>
      <c r="F7" s="2491"/>
      <c r="G7" s="2491"/>
      <c r="H7" s="2491"/>
      <c r="I7" s="249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2"/>
      <c r="D11" s="249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3"/>
      <c r="E29" s="2493"/>
      <c r="F29" s="2493"/>
      <c r="G29" s="2493"/>
      <c r="H29" s="2493"/>
      <c r="I29" s="249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4" t="s">
        <v>1854</v>
      </c>
      <c r="D37" s="2495"/>
      <c r="E37" s="2495"/>
      <c r="F37" s="2496"/>
      <c r="G37" s="2494" t="s">
        <v>1674</v>
      </c>
      <c r="H37" s="2495"/>
      <c r="I37" s="2496"/>
    </row>
    <row r="38" spans="2:9" ht="16.5" customHeight="1" x14ac:dyDescent="0.2">
      <c r="B38" s="1444"/>
      <c r="C38" s="2482"/>
      <c r="D38" s="2483"/>
      <c r="E38" s="2483"/>
      <c r="F38" s="2484"/>
      <c r="G38" s="2497"/>
      <c r="H38" s="2498"/>
      <c r="I38" s="2499"/>
    </row>
    <row r="39" spans="2:9" ht="16.5" customHeight="1" x14ac:dyDescent="0.2">
      <c r="B39" s="1444"/>
      <c r="C39" s="2482"/>
      <c r="D39" s="2483"/>
      <c r="E39" s="2483"/>
      <c r="F39" s="2484"/>
      <c r="G39" s="2485"/>
      <c r="H39" s="2485"/>
      <c r="I39" s="2485"/>
    </row>
    <row r="40" spans="2:9" ht="16.5" customHeight="1" x14ac:dyDescent="0.2">
      <c r="B40" s="1444"/>
      <c r="C40" s="2482"/>
      <c r="D40" s="2483"/>
      <c r="E40" s="2483"/>
      <c r="F40" s="2484"/>
      <c r="G40" s="2485"/>
      <c r="H40" s="2485"/>
      <c r="I40" s="2485"/>
    </row>
    <row r="41" spans="2:9" ht="16.5" customHeight="1" x14ac:dyDescent="0.2">
      <c r="B41" s="1444"/>
      <c r="C41" s="2482"/>
      <c r="D41" s="2483"/>
      <c r="E41" s="2483"/>
      <c r="F41" s="2484"/>
      <c r="G41" s="2485"/>
      <c r="H41" s="2485"/>
      <c r="I41" s="2485"/>
    </row>
    <row r="42" spans="2:9" ht="16.5" customHeight="1" x14ac:dyDescent="0.2">
      <c r="B42" s="1444"/>
      <c r="C42" s="2482"/>
      <c r="D42" s="2483"/>
      <c r="E42" s="2483"/>
      <c r="F42" s="2484"/>
      <c r="G42" s="2485"/>
      <c r="H42" s="2485"/>
      <c r="I42" s="2485"/>
    </row>
    <row r="43" spans="2:9" ht="16.5" customHeight="1" x14ac:dyDescent="0.2">
      <c r="B43" s="1444"/>
      <c r="C43" s="2500" t="s">
        <v>1675</v>
      </c>
      <c r="D43" s="2501"/>
      <c r="E43" s="2501"/>
      <c r="F43" s="2502"/>
      <c r="G43" s="2503">
        <f>SUM(G38:I42)</f>
        <v>0</v>
      </c>
      <c r="H43" s="2503"/>
      <c r="I43" s="2503"/>
    </row>
    <row r="44" spans="2:9" ht="12.75" customHeight="1" x14ac:dyDescent="0.2"/>
    <row r="45" spans="2:9" ht="12.75" customHeight="1" x14ac:dyDescent="0.2">
      <c r="B45" s="1435" t="s">
        <v>1952</v>
      </c>
      <c r="D45" s="2504">
        <v>0</v>
      </c>
      <c r="E45" s="250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6"/>
      <c r="F49" s="2506"/>
      <c r="G49" s="250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Freeburg CHSD 77</v>
      </c>
      <c r="C1" s="2486"/>
      <c r="D1" s="2486"/>
      <c r="E1" s="2486"/>
      <c r="F1" s="2486"/>
      <c r="G1" s="2486"/>
      <c r="H1" s="2486"/>
      <c r="I1" s="2486"/>
      <c r="J1" s="2486"/>
      <c r="K1" s="2486"/>
      <c r="L1" s="1374"/>
      <c r="M1" s="1374"/>
    </row>
    <row r="2" spans="1:13" ht="12" customHeight="1" x14ac:dyDescent="0.2">
      <c r="B2" s="2488">
        <f>'Single Audit Cover'!E7</f>
        <v>50082077016</v>
      </c>
      <c r="C2" s="2488"/>
      <c r="D2" s="2488"/>
      <c r="E2" s="2488"/>
      <c r="F2" s="2488"/>
      <c r="G2" s="2488"/>
      <c r="H2" s="2488"/>
      <c r="I2" s="2488"/>
      <c r="J2" s="2488"/>
      <c r="K2" s="2488"/>
      <c r="L2" s="1375"/>
      <c r="M2" s="1376"/>
    </row>
    <row r="3" spans="1:13" ht="10.35" customHeight="1" x14ac:dyDescent="0.2">
      <c r="B3" s="2509" t="s">
        <v>1347</v>
      </c>
      <c r="C3" s="2509"/>
      <c r="D3" s="2509"/>
      <c r="E3" s="2509"/>
      <c r="F3" s="2509"/>
      <c r="G3" s="2509"/>
      <c r="H3" s="2509"/>
      <c r="I3" s="2509"/>
      <c r="J3" s="2509"/>
      <c r="K3" s="2509"/>
      <c r="L3" s="1377"/>
      <c r="M3" s="1377"/>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0" t="s">
        <v>1363</v>
      </c>
      <c r="C7" s="2510"/>
      <c r="D7" s="2511"/>
      <c r="E7" s="2511"/>
      <c r="F7" s="2511"/>
      <c r="G7" s="2511"/>
      <c r="H7" s="2511"/>
      <c r="I7" s="2511"/>
      <c r="J7" s="2511"/>
      <c r="K7" s="251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8"/>
      <c r="C14" s="2508"/>
      <c r="D14" s="2508"/>
      <c r="E14" s="2508"/>
      <c r="F14" s="2508"/>
      <c r="G14" s="2508"/>
      <c r="H14" s="2508"/>
      <c r="I14" s="2508"/>
      <c r="J14" s="2508"/>
      <c r="K14" s="250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8"/>
      <c r="C17" s="2508"/>
      <c r="D17" s="2508"/>
      <c r="E17" s="2508"/>
      <c r="F17" s="2508"/>
      <c r="G17" s="2508"/>
      <c r="H17" s="2508"/>
      <c r="I17" s="2508"/>
      <c r="J17" s="2508"/>
      <c r="K17" s="250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12"/>
      <c r="C20" s="2512"/>
      <c r="D20" s="2508"/>
      <c r="E20" s="2508"/>
      <c r="F20" s="2508"/>
      <c r="G20" s="2508"/>
      <c r="H20" s="2508"/>
      <c r="I20" s="2508"/>
      <c r="J20" s="2508"/>
      <c r="K20" s="250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8"/>
      <c r="C23" s="2508"/>
      <c r="D23" s="2508"/>
      <c r="E23" s="2508"/>
      <c r="F23" s="2508"/>
      <c r="G23" s="2508"/>
      <c r="H23" s="2508"/>
      <c r="I23" s="2508"/>
      <c r="J23" s="2508"/>
      <c r="K23" s="250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8"/>
      <c r="C26" s="2508"/>
      <c r="D26" s="2508"/>
      <c r="E26" s="2508"/>
      <c r="F26" s="2508"/>
      <c r="G26" s="2508"/>
      <c r="H26" s="2508"/>
      <c r="I26" s="2508"/>
      <c r="J26" s="2508"/>
      <c r="K26" s="250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7"/>
      <c r="C29" s="2507"/>
      <c r="D29" s="2508"/>
      <c r="E29" s="2508"/>
      <c r="F29" s="2508"/>
      <c r="G29" s="2508"/>
      <c r="H29" s="2508"/>
      <c r="I29" s="2508"/>
      <c r="J29" s="2508"/>
      <c r="K29" s="250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7"/>
      <c r="C32" s="2507"/>
      <c r="D32" s="2508"/>
      <c r="E32" s="2508"/>
      <c r="F32" s="2508"/>
      <c r="G32" s="2508"/>
      <c r="H32" s="2508"/>
      <c r="I32" s="2508"/>
      <c r="J32" s="2508"/>
      <c r="K32" s="250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Freeburg CHSD 77</v>
      </c>
      <c r="C1" s="2513"/>
      <c r="D1" s="2513"/>
      <c r="E1" s="2513"/>
      <c r="F1" s="2513"/>
      <c r="G1" s="2513"/>
      <c r="H1" s="2513"/>
      <c r="I1" s="2513"/>
      <c r="J1" s="2513"/>
      <c r="K1" s="2513"/>
      <c r="L1" s="1465"/>
    </row>
    <row r="2" spans="1:12" ht="12.75" customHeight="1" x14ac:dyDescent="0.2">
      <c r="B2" s="2514">
        <f>'Single Audit Cover'!E7</f>
        <v>50082077016</v>
      </c>
      <c r="C2" s="2514"/>
      <c r="D2" s="2514"/>
      <c r="E2" s="2514"/>
      <c r="F2" s="2514"/>
      <c r="G2" s="2514"/>
      <c r="H2" s="2514"/>
      <c r="I2" s="2514"/>
      <c r="J2" s="2514"/>
      <c r="K2" s="2514"/>
      <c r="L2" s="1466"/>
    </row>
    <row r="3" spans="1:12" ht="12.75" customHeight="1" x14ac:dyDescent="0.2">
      <c r="B3" s="2509" t="s">
        <v>1347</v>
      </c>
      <c r="C3" s="2509"/>
      <c r="D3" s="2509"/>
      <c r="E3" s="2509"/>
      <c r="F3" s="2509"/>
      <c r="G3" s="2509"/>
      <c r="H3" s="2509"/>
      <c r="I3" s="2509"/>
      <c r="J3" s="2509"/>
      <c r="K3" s="2509"/>
      <c r="L3" s="1377"/>
    </row>
    <row r="4" spans="1:12" ht="12.75" customHeight="1" x14ac:dyDescent="0.2">
      <c r="B4" s="2509" t="str">
        <f>'Single Audit Cover'!A4</f>
        <v>Year Ending June 30, 2018</v>
      </c>
      <c r="C4" s="2509"/>
      <c r="D4" s="2509"/>
      <c r="E4" s="2509"/>
      <c r="F4" s="2509"/>
      <c r="G4" s="2509"/>
      <c r="H4" s="2509"/>
      <c r="I4" s="2509"/>
      <c r="J4" s="2509"/>
      <c r="K4" s="2509"/>
      <c r="L4" s="1377"/>
    </row>
    <row r="5" spans="1:12" ht="5.25" customHeight="1" x14ac:dyDescent="0.2">
      <c r="B5" s="1260" t="s">
        <v>1231</v>
      </c>
      <c r="C5" s="1260"/>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3"/>
      <c r="G12" s="2493"/>
      <c r="H12" s="2493"/>
      <c r="I12" s="2493"/>
      <c r="J12" s="2493"/>
      <c r="K12" s="249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6"/>
      <c r="E14" s="2516"/>
      <c r="F14" s="2516"/>
      <c r="H14" s="1475" t="s">
        <v>1370</v>
      </c>
      <c r="I14" s="2517"/>
      <c r="J14" s="2517"/>
      <c r="K14" s="251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7"/>
      <c r="E16" s="2517"/>
      <c r="F16" s="2517"/>
      <c r="G16" s="2517"/>
      <c r="H16" s="2517"/>
      <c r="I16" s="2517"/>
      <c r="J16" s="2517"/>
      <c r="K16" s="2517"/>
      <c r="L16" s="322"/>
    </row>
    <row r="17" spans="2:12" ht="13.5" customHeight="1" x14ac:dyDescent="0.2">
      <c r="B17" s="1387" t="s">
        <v>1368</v>
      </c>
      <c r="C17" s="1387"/>
      <c r="D17" s="2518"/>
      <c r="E17" s="2518"/>
      <c r="F17" s="2518"/>
      <c r="G17" s="2518"/>
      <c r="H17" s="2518"/>
      <c r="I17" s="2518"/>
      <c r="J17" s="2518"/>
      <c r="K17" s="251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8"/>
      <c r="C20" s="2508"/>
      <c r="D20" s="2508"/>
      <c r="E20" s="2508"/>
      <c r="F20" s="2508"/>
      <c r="G20" s="2508"/>
      <c r="H20" s="2508"/>
      <c r="I20" s="2508"/>
      <c r="J20" s="2508"/>
      <c r="K20" s="250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8"/>
      <c r="C26" s="2508"/>
      <c r="D26" s="2508"/>
      <c r="E26" s="2508"/>
      <c r="F26" s="2508"/>
      <c r="G26" s="2508"/>
      <c r="H26" s="2508"/>
      <c r="I26" s="2508"/>
      <c r="J26" s="2508"/>
      <c r="K26" s="250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8"/>
      <c r="C32" s="2508"/>
      <c r="D32" s="2508"/>
      <c r="E32" s="2508"/>
      <c r="F32" s="2508"/>
      <c r="G32" s="2508"/>
      <c r="H32" s="2508"/>
      <c r="I32" s="2508"/>
      <c r="J32" s="2508"/>
      <c r="K32" s="250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8"/>
      <c r="C35" s="2508"/>
      <c r="D35" s="2508"/>
      <c r="E35" s="2508"/>
      <c r="F35" s="2508"/>
      <c r="G35" s="2508"/>
      <c r="H35" s="2508"/>
      <c r="I35" s="2508"/>
      <c r="J35" s="2508"/>
      <c r="K35" s="250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8"/>
      <c r="C38" s="2508"/>
      <c r="D38" s="2508"/>
      <c r="E38" s="2508"/>
      <c r="F38" s="2508"/>
      <c r="G38" s="2508"/>
      <c r="H38" s="2508"/>
      <c r="I38" s="2508"/>
      <c r="J38" s="2508"/>
      <c r="K38" s="250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Freeburg CHSD 77</v>
      </c>
      <c r="C1" s="2486"/>
      <c r="D1" s="2486"/>
      <c r="E1" s="1491"/>
    </row>
    <row r="2" spans="2:5" s="1282" customFormat="1" ht="12.75" customHeight="1" x14ac:dyDescent="0.2">
      <c r="B2" s="2488">
        <f>'Single Audit Cover'!E7</f>
        <v>50082077016</v>
      </c>
      <c r="C2" s="2488"/>
      <c r="D2" s="2488"/>
      <c r="E2" s="1492"/>
    </row>
    <row r="3" spans="2:5" ht="12.75" customHeight="1" x14ac:dyDescent="0.2">
      <c r="B3" s="2509" t="s">
        <v>1869</v>
      </c>
      <c r="C3" s="2509"/>
      <c r="D3" s="2509"/>
      <c r="E3" s="1274"/>
    </row>
    <row r="4" spans="2:5" s="1282" customFormat="1" ht="12.75" customHeight="1" x14ac:dyDescent="0.2">
      <c r="B4" s="2519" t="str">
        <f>'Single Audit Cover'!A4</f>
        <v>Year Ending June 30, 2018</v>
      </c>
      <c r="C4" s="2519"/>
      <c r="D4" s="251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404</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269490794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1.0200000000000001E-2</v>
      </c>
      <c r="E10" s="356" t="s">
        <v>1062</v>
      </c>
      <c r="F10" s="355">
        <v>2.5000000000000001E-3</v>
      </c>
      <c r="G10" s="356" t="s">
        <v>1062</v>
      </c>
      <c r="H10" s="355">
        <v>1.1999999999999999E-3</v>
      </c>
      <c r="I10" s="356" t="s">
        <v>1063</v>
      </c>
      <c r="J10" s="1754">
        <f>ROUND(D10+F10+H10,5)</f>
        <v>1.3899999999999999E-2</v>
      </c>
      <c r="K10" s="222"/>
      <c r="L10" s="355">
        <v>5.0000000000000001E-4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6414877</v>
      </c>
      <c r="E16" s="356"/>
      <c r="F16" s="1755">
        <f>SUM('Acct Summary 7-8'!C17,'Acct Summary 7-8'!D17,'Acct Summary 7-8'!F17)</f>
        <v>5808603</v>
      </c>
      <c r="G16" s="356"/>
      <c r="H16" s="1755">
        <f>SUM(D16-F16)</f>
        <v>606274</v>
      </c>
      <c r="I16" s="222"/>
      <c r="J16" s="1755">
        <f>SUM('Acct Summary 7-8'!C81,'Acct Summary 7-8'!D81,'Acct Summary 7-8'!F81,'Acct Summary 7-8'!I81)</f>
        <v>2357755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18594864.786000002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6282461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577</v>
      </c>
      <c r="B2" s="2136"/>
      <c r="C2" s="2136"/>
      <c r="D2" s="2136"/>
      <c r="E2" s="2136"/>
      <c r="F2" s="2136"/>
      <c r="G2" s="2136"/>
      <c r="H2" s="2136"/>
      <c r="I2" s="2136"/>
      <c r="J2" s="2136"/>
      <c r="K2" s="2136"/>
      <c r="L2" s="2136"/>
      <c r="M2" s="2136"/>
      <c r="N2" s="2136"/>
      <c r="O2" s="2136"/>
      <c r="P2" s="2136"/>
      <c r="Q2" s="2136"/>
      <c r="R2" s="2136"/>
    </row>
    <row r="3" spans="1:18" ht="12.75" x14ac:dyDescent="0.2">
      <c r="A3" s="2137" t="s">
        <v>1480</v>
      </c>
      <c r="B3" s="2137"/>
      <c r="C3" s="2137"/>
      <c r="D3" s="2137"/>
      <c r="E3" s="2137"/>
      <c r="F3" s="2137"/>
      <c r="G3" s="2137"/>
      <c r="H3" s="2137"/>
      <c r="I3" s="2137"/>
      <c r="J3" s="2137"/>
      <c r="K3" s="2137"/>
      <c r="L3" s="2137"/>
      <c r="M3" s="2137"/>
      <c r="N3" s="2137"/>
      <c r="O3" s="2137"/>
      <c r="P3" s="2137"/>
      <c r="Q3" s="2137"/>
      <c r="R3" s="2137"/>
    </row>
    <row r="4" spans="1:18" x14ac:dyDescent="0.2">
      <c r="A4" s="2138" t="s">
        <v>1635</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Freeburg CHSD 77</v>
      </c>
      <c r="E7" s="391"/>
      <c r="G7" s="252"/>
      <c r="H7" s="387"/>
      <c r="I7" s="387"/>
      <c r="J7" s="387"/>
      <c r="K7" s="387"/>
      <c r="L7" s="329"/>
      <c r="M7" s="329"/>
      <c r="N7" s="329"/>
      <c r="O7" s="329"/>
      <c r="P7" s="329"/>
    </row>
    <row r="8" spans="1:18" ht="12.75" x14ac:dyDescent="0.2">
      <c r="A8" s="329"/>
      <c r="B8" s="329"/>
      <c r="C8" s="389" t="s">
        <v>1187</v>
      </c>
      <c r="D8" s="392">
        <f>COVER!A13</f>
        <v>50082077016</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2357755</v>
      </c>
      <c r="I12" s="404"/>
      <c r="J12" s="404"/>
      <c r="K12" s="405">
        <f>TRUNC((H12/H13*100000),5)/100000</f>
        <v>0.36754484920000002</v>
      </c>
      <c r="L12" s="406"/>
      <c r="M12" s="360" t="s">
        <v>1206</v>
      </c>
      <c r="N12" s="360"/>
      <c r="O12" s="407">
        <v>0.35</v>
      </c>
      <c r="P12" s="218"/>
      <c r="Q12" s="218"/>
    </row>
    <row r="13" spans="1:18" s="408" customFormat="1" ht="12.75" x14ac:dyDescent="0.2">
      <c r="A13" s="218"/>
      <c r="B13" s="401"/>
      <c r="C13" s="2134" t="s">
        <v>1391</v>
      </c>
      <c r="D13" s="2135"/>
      <c r="E13" s="218"/>
      <c r="F13" s="409" t="s">
        <v>826</v>
      </c>
      <c r="G13" s="402"/>
      <c r="H13" s="403">
        <f>SUM('Acct Summary 7-8'!C8+'Acct Summary 7-8'!D8+'Acct Summary 7-8'!F8+'Acct Summary 7-8'!I8)+H14</f>
        <v>6414877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5808603</v>
      </c>
      <c r="I17" s="404"/>
      <c r="J17" s="416"/>
      <c r="K17" s="405">
        <f>TRUNC((H17/H18*100000),5)/100000</f>
        <v>0.90548938030000004</v>
      </c>
      <c r="L17" s="406"/>
      <c r="M17" s="417" t="s">
        <v>1233</v>
      </c>
      <c r="O17" s="418" t="str">
        <f>IF(AND(O16="2", J20 &gt; 2),"1",IF(AND(O16 = "1", J20 &gt; 2),"2",IF(AND(O16="1", J20 &gt;1),"1","0")))</f>
        <v>0</v>
      </c>
      <c r="P17" s="218"/>
    </row>
    <row r="18" spans="1:18" s="408" customFormat="1" ht="11.25" x14ac:dyDescent="0.2">
      <c r="A18" s="218"/>
      <c r="B18" s="401"/>
      <c r="C18" s="2134" t="s">
        <v>1384</v>
      </c>
      <c r="D18" s="2135"/>
      <c r="E18" s="218"/>
      <c r="F18" s="419" t="s">
        <v>827</v>
      </c>
      <c r="G18" s="402"/>
      <c r="H18" s="403">
        <f>SUM('Acct Summary 7-8'!C8+'Acct Summary 7-8'!D8+'Acct Summary 7-8'!F8+'Acct Summary 7-8'!I8)+H19</f>
        <v>6414877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1" t="s">
        <v>1479</v>
      </c>
      <c r="D24" s="2131"/>
      <c r="E24" s="218"/>
      <c r="F24" s="218" t="s">
        <v>465</v>
      </c>
      <c r="G24" s="402"/>
      <c r="H24" s="403">
        <f>SUM('Assets-Liab 5-6'!C4+'Assets-Liab 5-6'!D4+'Assets-Liab 5-6'!F4+'Assets-Liab 5-6'!I4+'Assets-Liab 5-6'!C5+'Assets-Liab 5-6'!D5+'Assets-Liab 5-6'!F5+'Assets-Liab 5-6'!I5)</f>
        <v>2357755</v>
      </c>
      <c r="I24" s="422"/>
      <c r="J24" s="422"/>
      <c r="K24" s="423">
        <f>TRUNC(((H24/H25*100000)/100000),2)</f>
        <v>146.12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16135.008330000001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3184033.7311100001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6282461</v>
      </c>
      <c r="I32" s="420"/>
      <c r="J32" s="420"/>
      <c r="K32" s="423">
        <f>TRUNC(100-((((H32/H33*100))*100)/100),2)</f>
        <v>66.209999999999994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18594864.786000002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7" sqref="A7:D7"/>
      <selection pane="bottomLeft" activeCell="L6" sqref="L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1" t="s">
        <v>1030</v>
      </c>
      <c r="B3" s="2142"/>
      <c r="C3" s="1581"/>
      <c r="D3" s="1582"/>
      <c r="E3" s="1582"/>
      <c r="F3" s="1582"/>
      <c r="G3" s="1582"/>
      <c r="H3" s="1582"/>
      <c r="I3" s="1582"/>
      <c r="J3" s="1582"/>
      <c r="K3" s="1582"/>
      <c r="L3" s="1582"/>
      <c r="M3" s="1583"/>
      <c r="N3" s="1584"/>
    </row>
    <row r="4" spans="1:14" ht="13.5" customHeight="1" x14ac:dyDescent="0.2">
      <c r="A4" s="463" t="s">
        <v>1750</v>
      </c>
      <c r="B4" s="464"/>
      <c r="C4" s="465">
        <v>656292</v>
      </c>
      <c r="D4" s="466">
        <v>875287</v>
      </c>
      <c r="E4" s="466">
        <v>23662</v>
      </c>
      <c r="F4" s="466">
        <v>481154</v>
      </c>
      <c r="G4" s="466">
        <v>460934</v>
      </c>
      <c r="H4" s="466"/>
      <c r="I4" s="466">
        <v>345022</v>
      </c>
      <c r="J4" s="467">
        <v>375064</v>
      </c>
      <c r="K4" s="466">
        <v>699954</v>
      </c>
      <c r="L4" s="466">
        <v>188914</v>
      </c>
      <c r="M4" s="468"/>
      <c r="N4" s="469"/>
    </row>
    <row r="5" spans="1:14" x14ac:dyDescent="0.2">
      <c r="A5" s="463" t="s">
        <v>1049</v>
      </c>
      <c r="B5" s="470">
        <v>120</v>
      </c>
      <c r="C5" s="465"/>
      <c r="D5" s="466"/>
      <c r="E5" s="466"/>
      <c r="F5" s="466"/>
      <c r="G5" s="466"/>
      <c r="H5" s="466"/>
      <c r="I5" s="466"/>
      <c r="J5" s="467"/>
      <c r="K5" s="471"/>
      <c r="L5" s="472">
        <v>57244</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656292</v>
      </c>
      <c r="D13" s="1759">
        <f t="shared" ref="D13:L13" si="0">SUM(D4:D12)</f>
        <v>875287</v>
      </c>
      <c r="E13" s="1759">
        <f t="shared" si="0"/>
        <v>23662</v>
      </c>
      <c r="F13" s="1759">
        <f t="shared" si="0"/>
        <v>481154</v>
      </c>
      <c r="G13" s="1759">
        <f t="shared" si="0"/>
        <v>460934</v>
      </c>
      <c r="H13" s="1759">
        <f t="shared" si="0"/>
        <v>0</v>
      </c>
      <c r="I13" s="1759">
        <f t="shared" si="0"/>
        <v>345022</v>
      </c>
      <c r="J13" s="1759">
        <f t="shared" si="0"/>
        <v>375064</v>
      </c>
      <c r="K13" s="1759">
        <f t="shared" si="0"/>
        <v>699954</v>
      </c>
      <c r="L13" s="1759">
        <f t="shared" si="0"/>
        <v>246158</v>
      </c>
      <c r="M13" s="468"/>
      <c r="N13" s="469"/>
    </row>
    <row r="14" spans="1:14" ht="18" customHeight="1" thickTop="1" x14ac:dyDescent="0.2">
      <c r="A14" s="2143" t="s">
        <v>149</v>
      </c>
      <c r="B14" s="214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932025</v>
      </c>
      <c r="N16" s="484"/>
    </row>
    <row r="17" spans="1:14" s="485" customFormat="1" ht="12.75" customHeight="1" x14ac:dyDescent="0.2">
      <c r="A17" s="482" t="s">
        <v>1470</v>
      </c>
      <c r="B17" s="483">
        <v>230</v>
      </c>
      <c r="C17" s="477"/>
      <c r="D17" s="477"/>
      <c r="E17" s="477"/>
      <c r="F17" s="477"/>
      <c r="G17" s="477"/>
      <c r="H17" s="477"/>
      <c r="I17" s="477"/>
      <c r="J17" s="477"/>
      <c r="K17" s="477"/>
      <c r="L17" s="477"/>
      <c r="M17" s="467">
        <v>10275242</v>
      </c>
      <c r="N17" s="484"/>
    </row>
    <row r="18" spans="1:14" s="485" customFormat="1" ht="12.75" customHeight="1" x14ac:dyDescent="0.2">
      <c r="A18" s="482" t="s">
        <v>1471</v>
      </c>
      <c r="B18" s="483">
        <v>240</v>
      </c>
      <c r="C18" s="477"/>
      <c r="D18" s="477"/>
      <c r="E18" s="477"/>
      <c r="F18" s="477"/>
      <c r="G18" s="477"/>
      <c r="H18" s="477"/>
      <c r="I18" s="477"/>
      <c r="J18" s="477"/>
      <c r="K18" s="477"/>
      <c r="L18" s="477"/>
      <c r="M18" s="467">
        <v>5517079</v>
      </c>
      <c r="N18" s="484"/>
    </row>
    <row r="19" spans="1:14" s="485" customFormat="1" ht="12.75" customHeight="1" x14ac:dyDescent="0.2">
      <c r="A19" s="482" t="s">
        <v>1472</v>
      </c>
      <c r="B19" s="483">
        <v>250</v>
      </c>
      <c r="C19" s="477"/>
      <c r="D19" s="477"/>
      <c r="E19" s="477"/>
      <c r="F19" s="477"/>
      <c r="G19" s="477"/>
      <c r="H19" s="477"/>
      <c r="I19" s="477"/>
      <c r="J19" s="477"/>
      <c r="K19" s="477"/>
      <c r="L19" s="477"/>
      <c r="M19" s="467">
        <v>5333035</v>
      </c>
      <c r="N19" s="484"/>
    </row>
    <row r="20" spans="1:14" s="485" customFormat="1" ht="12.75" customHeight="1" x14ac:dyDescent="0.2">
      <c r="A20" s="482" t="s">
        <v>1473</v>
      </c>
      <c r="B20" s="483">
        <v>260</v>
      </c>
      <c r="C20" s="477"/>
      <c r="D20" s="477"/>
      <c r="E20" s="477"/>
      <c r="F20" s="477"/>
      <c r="G20" s="477"/>
      <c r="H20" s="477"/>
      <c r="I20" s="477"/>
      <c r="J20" s="477"/>
      <c r="K20" s="477"/>
      <c r="L20" s="477"/>
      <c r="M20" s="467">
        <v>212785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23662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6258799</v>
      </c>
    </row>
    <row r="23" spans="1:14" ht="13.5" customHeight="1" thickBot="1" x14ac:dyDescent="0.25">
      <c r="A23" s="1758" t="s">
        <v>664</v>
      </c>
      <c r="B23" s="1763"/>
      <c r="C23" s="468"/>
      <c r="D23" s="468"/>
      <c r="E23" s="468"/>
      <c r="F23" s="468"/>
      <c r="G23" s="468"/>
      <c r="H23" s="468"/>
      <c r="I23" s="468"/>
      <c r="J23" s="468"/>
      <c r="K23" s="468"/>
      <c r="L23" s="468"/>
      <c r="M23" s="1710">
        <f>SUM(M15:M22)</f>
        <v>22270166</v>
      </c>
      <c r="N23" s="1710">
        <f>SUM(N21:N22)</f>
        <v>6282461</v>
      </c>
    </row>
    <row r="24" spans="1:14" ht="18" customHeight="1" thickTop="1" x14ac:dyDescent="0.2">
      <c r="A24" s="2145" t="s">
        <v>619</v>
      </c>
      <c r="B24" s="214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246158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246158</v>
      </c>
      <c r="M34" s="468"/>
      <c r="N34" s="480"/>
    </row>
    <row r="35" spans="1:14" ht="18" customHeight="1" thickTop="1" x14ac:dyDescent="0.2">
      <c r="A35" s="2147" t="s">
        <v>550</v>
      </c>
      <c r="B35" s="214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6282461</v>
      </c>
    </row>
    <row r="37" spans="1:14" ht="13.5" thickBot="1" x14ac:dyDescent="0.25">
      <c r="A37" s="1758" t="s">
        <v>674</v>
      </c>
      <c r="B37" s="1763"/>
      <c r="C37" s="477"/>
      <c r="D37" s="477"/>
      <c r="E37" s="477"/>
      <c r="F37" s="477"/>
      <c r="G37" s="477"/>
      <c r="H37" s="477"/>
      <c r="I37" s="477"/>
      <c r="J37" s="477"/>
      <c r="K37" s="477"/>
      <c r="L37" s="480"/>
      <c r="M37" s="468"/>
      <c r="N37" s="1710">
        <f>SUM(N36:N36)</f>
        <v>6282461</v>
      </c>
    </row>
    <row r="38" spans="1:14" s="329" customFormat="1" ht="13.5" customHeight="1" thickTop="1" x14ac:dyDescent="0.2">
      <c r="A38" s="496" t="s">
        <v>440</v>
      </c>
      <c r="B38" s="483">
        <v>714</v>
      </c>
      <c r="C38" s="466"/>
      <c r="D38" s="466">
        <v>19615</v>
      </c>
      <c r="E38" s="466"/>
      <c r="F38" s="466"/>
      <c r="G38" s="466">
        <v>189283</v>
      </c>
      <c r="H38" s="466"/>
      <c r="I38" s="466"/>
      <c r="J38" s="467"/>
      <c r="K38" s="466"/>
      <c r="L38" s="481"/>
      <c r="M38" s="497"/>
      <c r="N38" s="497"/>
    </row>
    <row r="39" spans="1:14" s="329" customFormat="1" ht="13.5" customHeight="1" x14ac:dyDescent="0.2">
      <c r="A39" s="496" t="s">
        <v>360</v>
      </c>
      <c r="B39" s="483">
        <v>730</v>
      </c>
      <c r="C39" s="466">
        <v>656292</v>
      </c>
      <c r="D39" s="466">
        <f>875287-19615</f>
        <v>855672</v>
      </c>
      <c r="E39" s="466">
        <v>23662</v>
      </c>
      <c r="F39" s="466">
        <v>481154</v>
      </c>
      <c r="G39" s="466">
        <f>460934-G38</f>
        <v>271651</v>
      </c>
      <c r="H39" s="466"/>
      <c r="I39" s="466">
        <v>345022</v>
      </c>
      <c r="J39" s="467">
        <v>375064</v>
      </c>
      <c r="K39" s="466">
        <v>699954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22270166</v>
      </c>
      <c r="N40" s="497"/>
    </row>
    <row r="41" spans="1:14" ht="13.5" customHeight="1" thickBot="1" x14ac:dyDescent="0.25">
      <c r="A41" s="1758" t="s">
        <v>676</v>
      </c>
      <c r="B41" s="1728"/>
      <c r="C41" s="1710">
        <f>(SUM(C34,C37,C38,C39))</f>
        <v>656292</v>
      </c>
      <c r="D41" s="1710">
        <f t="shared" ref="D41:L41" si="2">SUM(D34,D37,D38:D39)</f>
        <v>875287</v>
      </c>
      <c r="E41" s="1710">
        <f t="shared" si="2"/>
        <v>23662</v>
      </c>
      <c r="F41" s="1710">
        <f t="shared" si="2"/>
        <v>481154</v>
      </c>
      <c r="G41" s="1710">
        <f t="shared" si="2"/>
        <v>460934</v>
      </c>
      <c r="H41" s="1710">
        <f t="shared" si="2"/>
        <v>0</v>
      </c>
      <c r="I41" s="1710">
        <f t="shared" si="2"/>
        <v>345022</v>
      </c>
      <c r="J41" s="1710">
        <f t="shared" si="2"/>
        <v>375064</v>
      </c>
      <c r="K41" s="1710">
        <f t="shared" si="2"/>
        <v>699954</v>
      </c>
      <c r="L41" s="1710">
        <f t="shared" si="2"/>
        <v>246158</v>
      </c>
      <c r="M41" s="1710">
        <f>SUM(M40)</f>
        <v>22270166</v>
      </c>
      <c r="N41" s="1710">
        <f>SUM(N37)</f>
        <v>6282461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3" activePane="bottomLeft" state="frozenSplit"/>
      <selection activeCell="A7" sqref="A7:D7"/>
      <selection pane="bottomLeft" activeCell="D44" sqref="D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9" t="s">
        <v>1237</v>
      </c>
      <c r="B3" s="2170"/>
      <c r="C3" s="1595"/>
      <c r="D3" s="1596"/>
      <c r="E3" s="1596"/>
      <c r="F3" s="1596"/>
      <c r="G3" s="1596"/>
      <c r="H3" s="1596"/>
      <c r="I3" s="1596"/>
      <c r="J3" s="1596"/>
      <c r="K3" s="1597"/>
      <c r="L3" s="506"/>
    </row>
    <row r="4" spans="1:13" ht="15.75" customHeight="1" x14ac:dyDescent="0.2">
      <c r="A4" s="1954" t="s">
        <v>1579</v>
      </c>
      <c r="B4" s="1955">
        <v>1000</v>
      </c>
      <c r="C4" s="1764">
        <f>'Revenues 9-14'!C109</f>
        <v>3376207</v>
      </c>
      <c r="D4" s="1764">
        <f>'Revenues 9-14'!D109</f>
        <v>855903</v>
      </c>
      <c r="E4" s="1764">
        <f>'Revenues 9-14'!E109</f>
        <v>556565</v>
      </c>
      <c r="F4" s="1764">
        <f>'Revenues 9-14'!F109</f>
        <v>330235</v>
      </c>
      <c r="G4" s="1764">
        <f>'Revenues 9-14'!G109</f>
        <v>368232</v>
      </c>
      <c r="H4" s="1764">
        <f>'Revenues 9-14'!H109</f>
        <v>0</v>
      </c>
      <c r="I4" s="1764">
        <f>'Revenues 9-14'!I109</f>
        <v>132202</v>
      </c>
      <c r="J4" s="1764">
        <f>'Revenues 9-14'!J109</f>
        <v>1363701</v>
      </c>
      <c r="K4" s="1764">
        <f>'Revenues 9-14'!K109</f>
        <v>139656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1400903</v>
      </c>
      <c r="D6" s="1765">
        <f>'Revenues 9-14'!D173</f>
        <v>0</v>
      </c>
      <c r="E6" s="1765">
        <f>'Revenues 9-14'!E173</f>
        <v>0</v>
      </c>
      <c r="F6" s="1765">
        <f>'Revenues 9-14'!F173</f>
        <v>101795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217632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4994742</v>
      </c>
      <c r="D8" s="1710">
        <f t="shared" ref="D8:K8" si="0">SUM(D4:D7)</f>
        <v>855903</v>
      </c>
      <c r="E8" s="1710">
        <f t="shared" si="0"/>
        <v>556565</v>
      </c>
      <c r="F8" s="1710">
        <f t="shared" si="0"/>
        <v>432030</v>
      </c>
      <c r="G8" s="1710">
        <f t="shared" si="0"/>
        <v>368232</v>
      </c>
      <c r="H8" s="1710">
        <f t="shared" si="0"/>
        <v>0</v>
      </c>
      <c r="I8" s="1710">
        <f t="shared" si="0"/>
        <v>132202</v>
      </c>
      <c r="J8" s="1710">
        <f t="shared" si="0"/>
        <v>1363701</v>
      </c>
      <c r="K8" s="1710">
        <f t="shared" si="0"/>
        <v>139656</v>
      </c>
      <c r="L8" s="347"/>
    </row>
    <row r="9" spans="1:13" ht="15.75" thickTop="1" x14ac:dyDescent="0.2">
      <c r="A9" s="514" t="s">
        <v>1752</v>
      </c>
      <c r="B9" s="515">
        <v>3998</v>
      </c>
      <c r="C9" s="481">
        <v>2470808</v>
      </c>
      <c r="D9" s="516"/>
      <c r="E9" s="481"/>
      <c r="F9" s="481"/>
      <c r="G9" s="517"/>
      <c r="H9" s="481"/>
      <c r="I9" s="509" t="s">
        <v>1231</v>
      </c>
      <c r="J9" s="478"/>
      <c r="K9" s="481"/>
      <c r="L9" s="347"/>
    </row>
    <row r="10" spans="1:13" s="519" customFormat="1" ht="13.5" thickBot="1" x14ac:dyDescent="0.25">
      <c r="A10" s="1758" t="s">
        <v>1235</v>
      </c>
      <c r="B10" s="1731"/>
      <c r="C10" s="1710">
        <f>SUM(C8:C9)</f>
        <v>7465550</v>
      </c>
      <c r="D10" s="1710">
        <f t="shared" ref="D10:K10" si="1">SUM(D8:D9)</f>
        <v>855903</v>
      </c>
      <c r="E10" s="1710">
        <f t="shared" si="1"/>
        <v>556565</v>
      </c>
      <c r="F10" s="1710">
        <f t="shared" si="1"/>
        <v>432030</v>
      </c>
      <c r="G10" s="1710">
        <f t="shared" si="1"/>
        <v>368232</v>
      </c>
      <c r="H10" s="1710">
        <f t="shared" si="1"/>
        <v>0</v>
      </c>
      <c r="I10" s="1710">
        <f t="shared" si="1"/>
        <v>132202</v>
      </c>
      <c r="J10" s="1710">
        <f t="shared" si="1"/>
        <v>1363701</v>
      </c>
      <c r="K10" s="1710">
        <f t="shared" si="1"/>
        <v>139656</v>
      </c>
      <c r="L10" s="518"/>
    </row>
    <row r="11" spans="1:13" s="519" customFormat="1" ht="16.7" customHeight="1" thickTop="1" x14ac:dyDescent="0.2">
      <c r="A11" s="2143" t="s">
        <v>1238</v>
      </c>
      <c r="B11" s="2144"/>
      <c r="C11" s="1592"/>
      <c r="D11" s="1593"/>
      <c r="E11" s="1593"/>
      <c r="F11" s="1593"/>
      <c r="G11" s="1593"/>
      <c r="H11" s="1593"/>
      <c r="I11" s="1593"/>
      <c r="J11" s="1593"/>
      <c r="K11" s="1594"/>
      <c r="L11" s="518"/>
    </row>
    <row r="12" spans="1:13" ht="15.75" customHeight="1" x14ac:dyDescent="0.2">
      <c r="A12" s="1598" t="s">
        <v>476</v>
      </c>
      <c r="B12" s="1600">
        <v>1000</v>
      </c>
      <c r="C12" s="1764">
        <f>'Expenditures 15-22'!K33</f>
        <v>3164068</v>
      </c>
      <c r="D12" s="520" t="s">
        <v>1231</v>
      </c>
      <c r="E12" s="468" t="s">
        <v>1231</v>
      </c>
      <c r="F12" s="468" t="s">
        <v>1231</v>
      </c>
      <c r="G12" s="1764">
        <f>'Expenditures 15-22'!K229</f>
        <v>64056</v>
      </c>
      <c r="H12" s="521"/>
      <c r="I12" s="468" t="s">
        <v>1231</v>
      </c>
      <c r="J12" s="468" t="s">
        <v>1231</v>
      </c>
      <c r="K12" s="521" t="s">
        <v>1231</v>
      </c>
      <c r="L12" s="347"/>
    </row>
    <row r="13" spans="1:13" ht="15.75" customHeight="1" x14ac:dyDescent="0.2">
      <c r="A13" s="1598" t="s">
        <v>477</v>
      </c>
      <c r="B13" s="1600">
        <v>2000</v>
      </c>
      <c r="C13" s="1765">
        <f>'Expenditures 15-22'!K74</f>
        <v>1216758</v>
      </c>
      <c r="D13" s="1765">
        <f>'Expenditures 15-22'!K129</f>
        <v>738000</v>
      </c>
      <c r="E13" s="469" t="s">
        <v>1231</v>
      </c>
      <c r="F13" s="1765">
        <f>'Expenditures 15-22'!K184</f>
        <v>441552</v>
      </c>
      <c r="G13" s="1765">
        <f>'Expenditures 15-22'!K279</f>
        <v>104555</v>
      </c>
      <c r="H13" s="1765">
        <f>'Expenditures 15-22'!K303</f>
        <v>0</v>
      </c>
      <c r="I13" s="468" t="s">
        <v>1231</v>
      </c>
      <c r="J13" s="1765">
        <f>'Expenditures 15-22'!K330</f>
        <v>1018503</v>
      </c>
      <c r="K13" s="1769">
        <f>'Expenditures 15-22'!K352</f>
        <v>245857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248225</v>
      </c>
      <c r="D15" s="1765">
        <f>'Expenditures 15-22'!K139</f>
        <v>0</v>
      </c>
      <c r="E15" s="1765">
        <f>'Expenditures 15-22'!K160</f>
        <v>0</v>
      </c>
      <c r="F15" s="1765">
        <f>'Expenditures 15-22'!K196</f>
        <v>0</v>
      </c>
      <c r="G15" s="1765">
        <f>'Expenditures 15-22'!K285</f>
        <v>1160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749703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4629051</v>
      </c>
      <c r="D17" s="1710">
        <f t="shared" si="2"/>
        <v>738000</v>
      </c>
      <c r="E17" s="1710">
        <f t="shared" si="2"/>
        <v>749703</v>
      </c>
      <c r="F17" s="1710">
        <f t="shared" si="2"/>
        <v>441552</v>
      </c>
      <c r="G17" s="1710">
        <f t="shared" si="2"/>
        <v>169771</v>
      </c>
      <c r="H17" s="1710">
        <f t="shared" si="2"/>
        <v>0</v>
      </c>
      <c r="I17" s="468"/>
      <c r="J17" s="1710">
        <f>SUM(J12:J16)</f>
        <v>1018503</v>
      </c>
      <c r="K17" s="1710">
        <f>SUM(K12:K16)</f>
        <v>245857</v>
      </c>
      <c r="L17" s="347"/>
    </row>
    <row r="18" spans="1:12" ht="15" customHeight="1" thickTop="1" x14ac:dyDescent="0.2">
      <c r="A18" s="1766" t="s">
        <v>1753</v>
      </c>
      <c r="B18" s="1767">
        <v>4180</v>
      </c>
      <c r="C18" s="1764">
        <f t="shared" ref="C18:H18" si="3">C9</f>
        <v>2470808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7099859</v>
      </c>
      <c r="D19" s="1710">
        <f t="shared" si="4"/>
        <v>738000</v>
      </c>
      <c r="E19" s="1710">
        <f t="shared" si="4"/>
        <v>749703</v>
      </c>
      <c r="F19" s="1710">
        <f t="shared" si="4"/>
        <v>441552</v>
      </c>
      <c r="G19" s="1710">
        <f t="shared" si="4"/>
        <v>169771</v>
      </c>
      <c r="H19" s="1710">
        <f t="shared" si="4"/>
        <v>0</v>
      </c>
      <c r="I19" s="468"/>
      <c r="J19" s="1710">
        <f>SUM(J17:J18)</f>
        <v>1018503</v>
      </c>
      <c r="K19" s="1710">
        <f>SUM(K17:K18)</f>
        <v>245857</v>
      </c>
      <c r="L19" s="347"/>
    </row>
    <row r="20" spans="1:12" ht="16.5" thickTop="1" thickBot="1" x14ac:dyDescent="0.25">
      <c r="A20" s="2159" t="s">
        <v>1754</v>
      </c>
      <c r="B20" s="2160"/>
      <c r="C20" s="1768">
        <f>C8-C17</f>
        <v>365691</v>
      </c>
      <c r="D20" s="1768">
        <f t="shared" ref="D20:K20" si="5">D8-D17</f>
        <v>117903</v>
      </c>
      <c r="E20" s="1768">
        <f t="shared" si="5"/>
        <v>-193138</v>
      </c>
      <c r="F20" s="1768">
        <f t="shared" si="5"/>
        <v>-9522</v>
      </c>
      <c r="G20" s="1768">
        <f t="shared" si="5"/>
        <v>198461</v>
      </c>
      <c r="H20" s="1768">
        <f t="shared" si="5"/>
        <v>0</v>
      </c>
      <c r="I20" s="1768">
        <f t="shared" si="5"/>
        <v>132202</v>
      </c>
      <c r="J20" s="1768">
        <f t="shared" si="5"/>
        <v>345198</v>
      </c>
      <c r="K20" s="1768">
        <f t="shared" si="5"/>
        <v>-106201</v>
      </c>
      <c r="L20" s="347"/>
    </row>
    <row r="21" spans="1:12" ht="16.7" customHeight="1" thickTop="1" x14ac:dyDescent="0.2">
      <c r="A21" s="2171" t="s">
        <v>616</v>
      </c>
      <c r="B21" s="2172"/>
      <c r="C21" s="1592"/>
      <c r="D21" s="1593"/>
      <c r="E21" s="1593"/>
      <c r="F21" s="1593"/>
      <c r="G21" s="1593"/>
      <c r="H21" s="1593"/>
      <c r="I21" s="1593"/>
      <c r="J21" s="1593"/>
      <c r="K21" s="1594"/>
      <c r="L21" s="524"/>
    </row>
    <row r="22" spans="1:12" ht="15.75" customHeight="1" collapsed="1" x14ac:dyDescent="0.2">
      <c r="A22" s="2167" t="s">
        <v>617</v>
      </c>
      <c r="B22" s="2168"/>
      <c r="C22" s="477"/>
      <c r="D22" s="477"/>
      <c r="E22" s="477"/>
      <c r="F22" s="477"/>
      <c r="G22" s="477"/>
      <c r="H22" s="477"/>
      <c r="I22" s="477"/>
      <c r="J22" s="477"/>
      <c r="K22" s="477"/>
      <c r="L22" s="347"/>
    </row>
    <row r="23" spans="1:12" s="485" customFormat="1" ht="15.75" customHeight="1" x14ac:dyDescent="0.2">
      <c r="A23" s="2163" t="s">
        <v>311</v>
      </c>
      <c r="B23" s="216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5" t="s">
        <v>1038</v>
      </c>
      <c r="B32" s="216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212820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3" t="s">
        <v>392</v>
      </c>
      <c r="B44" s="2174"/>
      <c r="C44" s="1725">
        <f>SUM(C24:C43)</f>
        <v>0</v>
      </c>
      <c r="D44" s="1725">
        <f t="shared" ref="D44:K44" si="6">SUM(D24:D43)</f>
        <v>0</v>
      </c>
      <c r="E44" s="1725">
        <f t="shared" si="6"/>
        <v>0</v>
      </c>
      <c r="F44" s="1725">
        <f t="shared" si="6"/>
        <v>0</v>
      </c>
      <c r="G44" s="1725">
        <f t="shared" si="6"/>
        <v>0</v>
      </c>
      <c r="H44" s="1725">
        <f t="shared" si="6"/>
        <v>0</v>
      </c>
      <c r="I44" s="1725">
        <f t="shared" si="6"/>
        <v>212820</v>
      </c>
      <c r="J44" s="1725">
        <f t="shared" si="6"/>
        <v>0</v>
      </c>
      <c r="K44" s="1725">
        <f t="shared" si="6"/>
        <v>0</v>
      </c>
      <c r="L44" s="524"/>
    </row>
    <row r="45" spans="1:12" ht="15.75" customHeight="1" thickTop="1" x14ac:dyDescent="0.2">
      <c r="A45" s="2167" t="s">
        <v>110</v>
      </c>
      <c r="B45" s="2168"/>
      <c r="C45" s="528"/>
      <c r="D45" s="528"/>
      <c r="E45" s="528"/>
      <c r="F45" s="528"/>
      <c r="G45" s="528"/>
      <c r="H45" s="528"/>
      <c r="I45" s="528"/>
      <c r="J45" s="528"/>
      <c r="K45" s="528"/>
      <c r="L45" s="347"/>
    </row>
    <row r="46" spans="1:12" s="485" customFormat="1" ht="15.75" customHeight="1" x14ac:dyDescent="0.2">
      <c r="A46" s="2175" t="s">
        <v>111</v>
      </c>
      <c r="B46" s="217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9" t="s">
        <v>460</v>
      </c>
      <c r="B76" s="2150"/>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51" t="s">
        <v>1239</v>
      </c>
      <c r="B77" s="2152"/>
      <c r="C77" s="1725">
        <f t="shared" ref="C77:K77" si="8">C44-C76</f>
        <v>0</v>
      </c>
      <c r="D77" s="1725">
        <f t="shared" si="8"/>
        <v>0</v>
      </c>
      <c r="E77" s="1725">
        <f t="shared" si="8"/>
        <v>0</v>
      </c>
      <c r="F77" s="1725">
        <f t="shared" si="8"/>
        <v>0</v>
      </c>
      <c r="G77" s="1725">
        <f t="shared" si="8"/>
        <v>0</v>
      </c>
      <c r="H77" s="1725">
        <f t="shared" si="8"/>
        <v>0</v>
      </c>
      <c r="I77" s="1725">
        <f t="shared" si="8"/>
        <v>212820</v>
      </c>
      <c r="J77" s="1725">
        <f t="shared" si="8"/>
        <v>0</v>
      </c>
      <c r="K77" s="1725">
        <f t="shared" si="8"/>
        <v>0</v>
      </c>
      <c r="L77" s="347"/>
    </row>
    <row r="78" spans="1:12" ht="21.75" customHeight="1" thickTop="1" thickBot="1" x14ac:dyDescent="0.25">
      <c r="A78" s="2155" t="s">
        <v>618</v>
      </c>
      <c r="B78" s="2156"/>
      <c r="C78" s="1724">
        <f t="shared" ref="C78:K78" si="9">C20+C77</f>
        <v>365691</v>
      </c>
      <c r="D78" s="1724">
        <f t="shared" si="9"/>
        <v>117903</v>
      </c>
      <c r="E78" s="1724">
        <f t="shared" si="9"/>
        <v>-193138</v>
      </c>
      <c r="F78" s="1724">
        <f t="shared" si="9"/>
        <v>-9522</v>
      </c>
      <c r="G78" s="1724">
        <f t="shared" si="9"/>
        <v>198461</v>
      </c>
      <c r="H78" s="1724">
        <f t="shared" si="9"/>
        <v>0</v>
      </c>
      <c r="I78" s="1724">
        <f t="shared" si="9"/>
        <v>345022</v>
      </c>
      <c r="J78" s="1724">
        <f t="shared" si="9"/>
        <v>345198</v>
      </c>
      <c r="K78" s="1724">
        <f t="shared" si="9"/>
        <v>-106201</v>
      </c>
      <c r="L78" s="533"/>
    </row>
    <row r="79" spans="1:12" ht="13.5" thickTop="1" x14ac:dyDescent="0.2">
      <c r="A79" s="1516" t="s">
        <v>2073</v>
      </c>
      <c r="B79" s="534"/>
      <c r="C79" s="478">
        <v>290601</v>
      </c>
      <c r="D79" s="535">
        <v>757384</v>
      </c>
      <c r="E79" s="535">
        <v>216800</v>
      </c>
      <c r="F79" s="535">
        <v>490676</v>
      </c>
      <c r="G79" s="535">
        <v>262473</v>
      </c>
      <c r="H79" s="535">
        <v>0</v>
      </c>
      <c r="I79" s="535">
        <v>0</v>
      </c>
      <c r="J79" s="535">
        <v>29866</v>
      </c>
      <c r="K79" s="535">
        <v>806155</v>
      </c>
      <c r="L79" s="347"/>
    </row>
    <row r="80" spans="1:12" x14ac:dyDescent="0.2">
      <c r="A80" s="2161" t="s">
        <v>1898</v>
      </c>
      <c r="B80" s="2162"/>
      <c r="C80" s="467"/>
      <c r="D80" s="467"/>
      <c r="E80" s="467"/>
      <c r="F80" s="467"/>
      <c r="G80" s="467"/>
      <c r="H80" s="467"/>
      <c r="I80" s="467"/>
      <c r="J80" s="467"/>
      <c r="K80" s="467"/>
      <c r="L80" s="347"/>
    </row>
    <row r="81" spans="1:12" ht="13.5" thickBot="1" x14ac:dyDescent="0.25">
      <c r="A81" s="2153" t="s">
        <v>2074</v>
      </c>
      <c r="B81" s="2154"/>
      <c r="C81" s="1710">
        <f>(SUM(C78:C80))</f>
        <v>656292</v>
      </c>
      <c r="D81" s="1710">
        <f>SUM(D78:D80)</f>
        <v>875287</v>
      </c>
      <c r="E81" s="1710">
        <f t="shared" ref="E81:K81" si="10">SUM(E78:E80)</f>
        <v>23662</v>
      </c>
      <c r="F81" s="1710">
        <f t="shared" si="10"/>
        <v>481154</v>
      </c>
      <c r="G81" s="1710">
        <f t="shared" si="10"/>
        <v>460934</v>
      </c>
      <c r="H81" s="1710">
        <f t="shared" si="10"/>
        <v>0</v>
      </c>
      <c r="I81" s="1710">
        <f t="shared" si="10"/>
        <v>345022</v>
      </c>
      <c r="J81" s="1710">
        <f t="shared" si="10"/>
        <v>375064</v>
      </c>
      <c r="K81" s="1710">
        <f t="shared" si="10"/>
        <v>699954</v>
      </c>
      <c r="L81" s="347"/>
    </row>
    <row r="82" spans="1:12" ht="0.75" customHeight="1" thickTop="1" thickBot="1" x14ac:dyDescent="0.25">
      <c r="A82" s="536" t="s">
        <v>361</v>
      </c>
      <c r="B82" s="537"/>
      <c r="C82" s="538">
        <f>(C81-C79)</f>
        <v>365691</v>
      </c>
      <c r="D82" s="538">
        <f t="shared" ref="D82:K82" si="11">(D81-D79)</f>
        <v>117903</v>
      </c>
      <c r="E82" s="538">
        <f t="shared" si="11"/>
        <v>-193138</v>
      </c>
      <c r="F82" s="538">
        <f t="shared" si="11"/>
        <v>-9522</v>
      </c>
      <c r="G82" s="538">
        <f t="shared" si="11"/>
        <v>198461</v>
      </c>
      <c r="H82" s="538">
        <f t="shared" si="11"/>
        <v>0</v>
      </c>
      <c r="I82" s="538">
        <f t="shared" si="11"/>
        <v>345022</v>
      </c>
      <c r="J82" s="538">
        <f t="shared" si="11"/>
        <v>345198</v>
      </c>
      <c r="K82" s="538">
        <f t="shared" si="11"/>
        <v>-106201</v>
      </c>
    </row>
    <row r="83" spans="1:12" ht="14.25" hidden="1" thickTop="1" thickBot="1" x14ac:dyDescent="0.25">
      <c r="A83" s="539" t="s">
        <v>362</v>
      </c>
      <c r="B83" s="464"/>
      <c r="C83" s="540">
        <f>C82/C81</f>
        <v>0.55720776727432297</v>
      </c>
      <c r="D83" s="540">
        <f t="shared" ref="D83:K83" si="12">D82/D81</f>
        <v>0.13470210342436253</v>
      </c>
      <c r="E83" s="540">
        <f t="shared" si="12"/>
        <v>-8.1623700447975658</v>
      </c>
      <c r="F83" s="540">
        <f t="shared" si="12"/>
        <v>-1.9789921729841172E-2</v>
      </c>
      <c r="G83" s="540">
        <f t="shared" si="12"/>
        <v>0.43056272698477438</v>
      </c>
      <c r="H83" s="540" t="e">
        <f t="shared" si="12"/>
        <v>#DIV/0!</v>
      </c>
      <c r="I83" s="540">
        <f t="shared" si="12"/>
        <v>1</v>
      </c>
      <c r="J83" s="540">
        <f t="shared" si="12"/>
        <v>0.92037092336241277</v>
      </c>
      <c r="K83" s="540">
        <f t="shared" si="12"/>
        <v>-0.15172568483071744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7" t="s">
        <v>1905</v>
      </c>
      <c r="B1" s="452"/>
      <c r="C1" s="453" t="s">
        <v>445</v>
      </c>
      <c r="D1" s="453" t="s">
        <v>446</v>
      </c>
      <c r="E1" s="453" t="s">
        <v>447</v>
      </c>
      <c r="F1" s="453" t="s">
        <v>448</v>
      </c>
      <c r="G1" s="453" t="s">
        <v>449</v>
      </c>
      <c r="H1" s="453" t="s">
        <v>450</v>
      </c>
      <c r="I1" s="453" t="s">
        <v>451</v>
      </c>
      <c r="J1" s="453" t="s">
        <v>452</v>
      </c>
      <c r="K1" s="453" t="s">
        <v>780</v>
      </c>
    </row>
    <row r="2" spans="1:12" ht="36" x14ac:dyDescent="0.2">
      <c r="A2" s="215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2692764</v>
      </c>
      <c r="D5" s="481">
        <v>659988</v>
      </c>
      <c r="E5" s="466">
        <v>551476</v>
      </c>
      <c r="F5" s="548">
        <v>316795</v>
      </c>
      <c r="G5" s="466">
        <v>186644</v>
      </c>
      <c r="H5" s="466"/>
      <c r="I5" s="466">
        <v>131998</v>
      </c>
      <c r="J5" s="467">
        <v>1357708</v>
      </c>
      <c r="K5" s="466">
        <v>131998</v>
      </c>
    </row>
    <row r="6" spans="1:12" ht="15" x14ac:dyDescent="0.2">
      <c r="A6" s="463" t="s">
        <v>1761</v>
      </c>
      <c r="B6" s="470">
        <v>1130</v>
      </c>
      <c r="C6" s="466"/>
      <c r="D6" s="466">
        <v>131997</v>
      </c>
      <c r="E6" s="475"/>
      <c r="F6" s="475"/>
      <c r="G6" s="468"/>
      <c r="H6" s="468"/>
      <c r="I6" s="468"/>
      <c r="J6" s="468"/>
      <c r="K6" s="468"/>
    </row>
    <row r="7" spans="1:12" x14ac:dyDescent="0.2">
      <c r="A7" s="463" t="s">
        <v>112</v>
      </c>
      <c r="B7" s="549">
        <v>1140</v>
      </c>
      <c r="C7" s="466">
        <v>52800</v>
      </c>
      <c r="D7" s="466"/>
      <c r="E7" s="468"/>
      <c r="F7" s="467"/>
      <c r="G7" s="467"/>
      <c r="H7" s="467"/>
      <c r="I7" s="468"/>
      <c r="J7" s="468"/>
      <c r="K7" s="468"/>
    </row>
    <row r="8" spans="1:12" x14ac:dyDescent="0.2">
      <c r="A8" s="463" t="s">
        <v>433</v>
      </c>
      <c r="B8" s="470">
        <v>1150</v>
      </c>
      <c r="C8" s="475"/>
      <c r="D8" s="475"/>
      <c r="E8" s="477"/>
      <c r="F8" s="477"/>
      <c r="G8" s="481">
        <v>163411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2745564</v>
      </c>
      <c r="D12" s="1729">
        <f t="shared" si="0"/>
        <v>791985</v>
      </c>
      <c r="E12" s="1729">
        <f t="shared" si="0"/>
        <v>551476</v>
      </c>
      <c r="F12" s="1729">
        <f t="shared" si="0"/>
        <v>316795</v>
      </c>
      <c r="G12" s="1729">
        <f t="shared" si="0"/>
        <v>350055</v>
      </c>
      <c r="H12" s="1729">
        <f t="shared" si="0"/>
        <v>0</v>
      </c>
      <c r="I12" s="1729">
        <f t="shared" si="0"/>
        <v>131998</v>
      </c>
      <c r="J12" s="1729">
        <f t="shared" si="0"/>
        <v>1357708</v>
      </c>
      <c r="K12" s="1710">
        <f t="shared" si="0"/>
        <v>131998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3158</v>
      </c>
      <c r="D14" s="466">
        <v>911</v>
      </c>
      <c r="E14" s="466">
        <v>634</v>
      </c>
      <c r="F14" s="466">
        <v>364</v>
      </c>
      <c r="G14" s="466">
        <v>403</v>
      </c>
      <c r="H14" s="466"/>
      <c r="I14" s="466">
        <v>152</v>
      </c>
      <c r="J14" s="467">
        <v>1561</v>
      </c>
      <c r="K14" s="466">
        <v>152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191131</v>
      </c>
      <c r="D16" s="466"/>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194289</v>
      </c>
      <c r="D18" s="1732">
        <f t="shared" ref="D18:K18" si="1">SUM(D14:D17)</f>
        <v>911</v>
      </c>
      <c r="E18" s="1732">
        <f t="shared" si="1"/>
        <v>634</v>
      </c>
      <c r="F18" s="1732">
        <f t="shared" si="1"/>
        <v>364</v>
      </c>
      <c r="G18" s="1732">
        <f t="shared" si="1"/>
        <v>15403</v>
      </c>
      <c r="H18" s="1732">
        <f t="shared" si="1"/>
        <v>0</v>
      </c>
      <c r="I18" s="1732">
        <f t="shared" si="1"/>
        <v>152</v>
      </c>
      <c r="J18" s="1732">
        <f t="shared" si="1"/>
        <v>1561</v>
      </c>
      <c r="K18" s="1733">
        <f t="shared" si="1"/>
        <v>152</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5679</v>
      </c>
      <c r="D65" s="466">
        <v>9299</v>
      </c>
      <c r="E65" s="466">
        <v>2664</v>
      </c>
      <c r="F65" s="467">
        <v>5521</v>
      </c>
      <c r="G65" s="466">
        <v>2774</v>
      </c>
      <c r="H65" s="466"/>
      <c r="I65" s="466">
        <v>52</v>
      </c>
      <c r="J65" s="467">
        <v>3895</v>
      </c>
      <c r="K65" s="466">
        <v>7506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5679</v>
      </c>
      <c r="D67" s="1710">
        <f t="shared" ref="D67:K67" si="2">SUM(D65:D66)</f>
        <v>9299</v>
      </c>
      <c r="E67" s="1710">
        <f t="shared" si="2"/>
        <v>2664</v>
      </c>
      <c r="F67" s="1710">
        <f t="shared" si="2"/>
        <v>5521</v>
      </c>
      <c r="G67" s="1710">
        <f t="shared" si="2"/>
        <v>2774</v>
      </c>
      <c r="H67" s="1710">
        <f t="shared" si="2"/>
        <v>0</v>
      </c>
      <c r="I67" s="1710">
        <f t="shared" si="2"/>
        <v>52</v>
      </c>
      <c r="J67" s="1710">
        <f t="shared" si="2"/>
        <v>3895</v>
      </c>
      <c r="K67" s="1710">
        <f t="shared" si="2"/>
        <v>7506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208599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208599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38109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29189</v>
      </c>
      <c r="D81" s="466"/>
      <c r="E81" s="468"/>
      <c r="F81" s="468"/>
      <c r="G81" s="468"/>
      <c r="H81" s="468"/>
      <c r="I81" s="468"/>
      <c r="J81" s="468"/>
      <c r="K81" s="468"/>
    </row>
    <row r="82" spans="1:11" ht="12.75" customHeight="1" thickBot="1" x14ac:dyDescent="0.25">
      <c r="A82" s="1730" t="s">
        <v>259</v>
      </c>
      <c r="B82" s="1731"/>
      <c r="C82" s="1729">
        <f>SUM(C77:C81)</f>
        <v>67298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74448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44378</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118826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30459</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29790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30</v>
      </c>
      <c r="D106" s="489"/>
      <c r="E106" s="467"/>
      <c r="F106" s="467"/>
      <c r="G106" s="467"/>
      <c r="H106" s="467"/>
      <c r="I106" s="521"/>
      <c r="J106" s="467"/>
      <c r="K106" s="467"/>
    </row>
    <row r="107" spans="1:12" ht="12.75" customHeight="1" x14ac:dyDescent="0.2">
      <c r="A107" s="463" t="s">
        <v>80</v>
      </c>
      <c r="B107" s="470">
        <v>1999</v>
      </c>
      <c r="C107" s="551">
        <v>6132</v>
      </c>
      <c r="D107" s="466">
        <v>23249</v>
      </c>
      <c r="E107" s="466">
        <v>1791</v>
      </c>
      <c r="F107" s="466">
        <v>7555</v>
      </c>
      <c r="G107" s="466"/>
      <c r="H107" s="466"/>
      <c r="I107" s="466"/>
      <c r="J107" s="467">
        <v>537</v>
      </c>
      <c r="K107" s="466"/>
    </row>
    <row r="108" spans="1:12" ht="12.75" customHeight="1" thickBot="1" x14ac:dyDescent="0.25">
      <c r="A108" s="1730" t="s">
        <v>508</v>
      </c>
      <c r="B108" s="1734"/>
      <c r="C108" s="1729">
        <f>SUM(C95:C107)</f>
        <v>35952</v>
      </c>
      <c r="D108" s="1729">
        <f t="shared" ref="D108:K108" si="3">SUM(D95:D107)</f>
        <v>53708</v>
      </c>
      <c r="E108" s="1729">
        <f t="shared" si="3"/>
        <v>1791</v>
      </c>
      <c r="F108" s="1729">
        <f t="shared" si="3"/>
        <v>7555</v>
      </c>
      <c r="G108" s="1729">
        <f t="shared" si="3"/>
        <v>0</v>
      </c>
      <c r="H108" s="1729">
        <f t="shared" si="3"/>
        <v>0</v>
      </c>
      <c r="I108" s="1729">
        <f t="shared" si="3"/>
        <v>0</v>
      </c>
      <c r="J108" s="1729">
        <f t="shared" si="3"/>
        <v>537</v>
      </c>
      <c r="K108" s="1710">
        <f t="shared" si="3"/>
        <v>0</v>
      </c>
    </row>
    <row r="109" spans="1:12" ht="14.25" thickTop="1" thickBot="1" x14ac:dyDescent="0.25">
      <c r="A109" s="1735" t="s">
        <v>266</v>
      </c>
      <c r="B109" s="1736" t="s">
        <v>591</v>
      </c>
      <c r="C109" s="1737">
        <f t="shared" ref="C109:K109" si="4">SUM(C12,C18,C40,C63,C67,C75,C82,C93,C108,)</f>
        <v>3376207</v>
      </c>
      <c r="D109" s="1737">
        <f t="shared" si="4"/>
        <v>855903</v>
      </c>
      <c r="E109" s="1737">
        <f t="shared" si="4"/>
        <v>556565</v>
      </c>
      <c r="F109" s="1737">
        <f t="shared" si="4"/>
        <v>330235</v>
      </c>
      <c r="G109" s="1737">
        <f t="shared" si="4"/>
        <v>368232</v>
      </c>
      <c r="H109" s="1737">
        <f t="shared" si="4"/>
        <v>0</v>
      </c>
      <c r="I109" s="1737">
        <f t="shared" si="4"/>
        <v>132202</v>
      </c>
      <c r="J109" s="1737">
        <f t="shared" si="4"/>
        <v>1363701</v>
      </c>
      <c r="K109" s="1724">
        <f t="shared" si="4"/>
        <v>139656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1217083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1217083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40081</v>
      </c>
      <c r="D125" s="561"/>
      <c r="E125" s="468"/>
      <c r="F125" s="466"/>
      <c r="G125" s="468"/>
      <c r="H125" s="468"/>
      <c r="I125" s="468"/>
      <c r="J125" s="468"/>
      <c r="K125" s="468"/>
    </row>
    <row r="126" spans="1:11" ht="12.75" customHeight="1" x14ac:dyDescent="0.2">
      <c r="A126" s="463" t="s">
        <v>922</v>
      </c>
      <c r="B126" s="562">
        <v>3110</v>
      </c>
      <c r="C126" s="551">
        <v>42740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500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83321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66158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4232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70390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477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26132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7201</v>
      </c>
      <c r="G151" s="467"/>
      <c r="H151" s="468"/>
      <c r="I151" s="468"/>
      <c r="J151" s="468"/>
      <c r="K151" s="468"/>
    </row>
    <row r="152" spans="1:11" ht="12.75" customHeight="1" x14ac:dyDescent="0.2">
      <c r="A152" s="463" t="s">
        <v>1117</v>
      </c>
      <c r="B152" s="562">
        <v>3510</v>
      </c>
      <c r="C152" s="551"/>
      <c r="D152" s="466"/>
      <c r="E152" s="561"/>
      <c r="F152" s="466">
        <v>94594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101795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v>3500</v>
      </c>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7" t="s">
        <v>418</v>
      </c>
      <c r="B172" s="2178"/>
      <c r="C172" s="1744">
        <f t="shared" ref="C172:K172" si="6">SUM(C131,C140,C144,C145:C149,C154,C155:C170,C171)</f>
        <v>183820</v>
      </c>
      <c r="D172" s="1744">
        <f t="shared" si="6"/>
        <v>0</v>
      </c>
      <c r="E172" s="1744">
        <f t="shared" si="6"/>
        <v>0</v>
      </c>
      <c r="F172" s="1744">
        <f t="shared" si="6"/>
        <v>101795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1400903</v>
      </c>
      <c r="D173" s="1737">
        <f>SUM(D121,D172)</f>
        <v>0</v>
      </c>
      <c r="E173" s="1737">
        <f>SUM(E121,E172)</f>
        <v>0</v>
      </c>
      <c r="F173" s="1737">
        <f t="shared" ref="F173:K173" si="7">SUM(F121,F172)</f>
        <v>101795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9" t="s">
        <v>1572</v>
      </c>
      <c r="B175" s="218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3" t="s">
        <v>1764</v>
      </c>
      <c r="B178" s="218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7" t="s">
        <v>1763</v>
      </c>
      <c r="B179" s="218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5" t="s">
        <v>818</v>
      </c>
      <c r="B184" s="218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1" t="s">
        <v>1906</v>
      </c>
      <c r="B185" s="218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45556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1630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47186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48601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48601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4550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4550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81973</v>
      </c>
      <c r="D220" s="466"/>
      <c r="E220" s="468"/>
      <c r="F220" s="466"/>
      <c r="G220" s="466"/>
      <c r="H220" s="468"/>
      <c r="I220" s="468"/>
      <c r="J220" s="468"/>
      <c r="K220" s="468"/>
    </row>
    <row r="221" spans="1:11" ht="12.75" customHeight="1" x14ac:dyDescent="0.2">
      <c r="A221" s="463" t="s">
        <v>1114</v>
      </c>
      <c r="B221" s="470">
        <v>4625</v>
      </c>
      <c r="C221" s="551">
        <v>1185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83158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15128</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15128</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6922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5701</v>
      </c>
      <c r="D270" s="576"/>
      <c r="E270" s="468"/>
      <c r="F270" s="576"/>
      <c r="G270" s="576"/>
      <c r="H270" s="468"/>
      <c r="I270" s="468"/>
      <c r="J270" s="468"/>
      <c r="K270" s="468"/>
    </row>
    <row r="271" spans="1:11" ht="12.75" customHeight="1" thickTop="1" thickBot="1" x14ac:dyDescent="0.25">
      <c r="A271" s="463" t="s">
        <v>395</v>
      </c>
      <c r="B271" s="470">
        <v>4992</v>
      </c>
      <c r="C271" s="575">
        <v>6386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217632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217632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4994742</v>
      </c>
      <c r="D275" s="1737">
        <f t="shared" si="12"/>
        <v>855903</v>
      </c>
      <c r="E275" s="1737">
        <f t="shared" si="12"/>
        <v>556565</v>
      </c>
      <c r="F275" s="1737">
        <f t="shared" si="12"/>
        <v>432030</v>
      </c>
      <c r="G275" s="1737">
        <f t="shared" si="12"/>
        <v>368232</v>
      </c>
      <c r="H275" s="1737">
        <f t="shared" si="12"/>
        <v>0</v>
      </c>
      <c r="I275" s="1737">
        <f t="shared" si="12"/>
        <v>132202</v>
      </c>
      <c r="J275" s="1737">
        <f t="shared" si="12"/>
        <v>1363701</v>
      </c>
      <c r="K275" s="1724">
        <f t="shared" si="12"/>
        <v>139656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50" activePane="bottomLeft" state="frozen"/>
      <selection activeCell="A7" sqref="A7:D7"/>
      <selection pane="bottomLeft" activeCell="E63" sqref="E63: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7" t="s">
        <v>315</v>
      </c>
      <c r="B3" s="219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1412993</v>
      </c>
      <c r="D5" s="466">
        <v>333390</v>
      </c>
      <c r="E5" s="466">
        <v>16453</v>
      </c>
      <c r="F5" s="466">
        <v>47235</v>
      </c>
      <c r="G5" s="466"/>
      <c r="H5" s="466">
        <v>7205</v>
      </c>
      <c r="I5" s="467"/>
      <c r="J5" s="467"/>
      <c r="K5" s="1693">
        <f>SUM(C5:J5)</f>
        <v>1817276</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v>1787396</v>
      </c>
    </row>
    <row r="8" spans="1:14" x14ac:dyDescent="0.2">
      <c r="A8" s="1526" t="s">
        <v>166</v>
      </c>
      <c r="B8" s="615">
        <v>1200</v>
      </c>
      <c r="C8" s="466">
        <v>385224</v>
      </c>
      <c r="D8" s="466">
        <v>115141</v>
      </c>
      <c r="E8" s="466">
        <v>3221</v>
      </c>
      <c r="F8" s="466">
        <v>1344</v>
      </c>
      <c r="G8" s="466"/>
      <c r="H8" s="466">
        <v>363</v>
      </c>
      <c r="I8" s="467"/>
      <c r="J8" s="467"/>
      <c r="K8" s="1693">
        <f t="shared" si="0"/>
        <v>505293</v>
      </c>
      <c r="L8" s="466">
        <v>551050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14919</v>
      </c>
      <c r="D10" s="466">
        <v>2821</v>
      </c>
      <c r="E10" s="466"/>
      <c r="F10" s="466"/>
      <c r="G10" s="466"/>
      <c r="H10" s="466"/>
      <c r="I10" s="467"/>
      <c r="J10" s="467"/>
      <c r="K10" s="1693">
        <f t="shared" si="0"/>
        <v>17740</v>
      </c>
      <c r="L10" s="466">
        <v>59650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274265</v>
      </c>
      <c r="D13" s="466">
        <v>57390</v>
      </c>
      <c r="E13" s="466">
        <v>275</v>
      </c>
      <c r="F13" s="466">
        <v>42129</v>
      </c>
      <c r="G13" s="466">
        <v>10764</v>
      </c>
      <c r="H13" s="466">
        <v>67</v>
      </c>
      <c r="I13" s="467"/>
      <c r="J13" s="467"/>
      <c r="K13" s="1693">
        <f t="shared" si="0"/>
        <v>384890</v>
      </c>
      <c r="L13" s="466">
        <v>419415</v>
      </c>
    </row>
    <row r="14" spans="1:14" x14ac:dyDescent="0.2">
      <c r="A14" s="1526" t="s">
        <v>1020</v>
      </c>
      <c r="B14" s="615">
        <v>1500</v>
      </c>
      <c r="C14" s="466">
        <v>259554</v>
      </c>
      <c r="D14" s="466">
        <v>12396</v>
      </c>
      <c r="E14" s="466">
        <v>45983</v>
      </c>
      <c r="F14" s="466">
        <v>19617</v>
      </c>
      <c r="G14" s="466"/>
      <c r="H14" s="466">
        <v>15093</v>
      </c>
      <c r="I14" s="467"/>
      <c r="J14" s="467"/>
      <c r="K14" s="1693">
        <f t="shared" si="0"/>
        <v>352643</v>
      </c>
      <c r="L14" s="466">
        <v>388145</v>
      </c>
    </row>
    <row r="15" spans="1:14" x14ac:dyDescent="0.2">
      <c r="A15" s="1526" t="s">
        <v>1021</v>
      </c>
      <c r="B15" s="615">
        <v>1600</v>
      </c>
      <c r="C15" s="466">
        <v>1704</v>
      </c>
      <c r="D15" s="466">
        <v>25</v>
      </c>
      <c r="E15" s="466"/>
      <c r="F15" s="466"/>
      <c r="G15" s="466"/>
      <c r="H15" s="466"/>
      <c r="I15" s="467"/>
      <c r="J15" s="467"/>
      <c r="K15" s="1693">
        <f t="shared" si="0"/>
        <v>1729</v>
      </c>
      <c r="L15" s="466">
        <v>4552</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55909</v>
      </c>
      <c r="D17" s="467">
        <v>21626</v>
      </c>
      <c r="E17" s="467">
        <v>4586</v>
      </c>
      <c r="F17" s="467">
        <v>2166</v>
      </c>
      <c r="G17" s="467"/>
      <c r="H17" s="467">
        <v>210</v>
      </c>
      <c r="I17" s="467"/>
      <c r="J17" s="467"/>
      <c r="K17" s="1693">
        <f t="shared" si="0"/>
        <v>84497</v>
      </c>
      <c r="L17" s="466">
        <v>117011</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2404568</v>
      </c>
      <c r="D33" s="1692">
        <f t="shared" ref="D33:L33" si="1">SUM(D5:D32)</f>
        <v>542789</v>
      </c>
      <c r="E33" s="1692">
        <f t="shared" si="1"/>
        <v>70518</v>
      </c>
      <c r="F33" s="1692">
        <f t="shared" si="1"/>
        <v>112491</v>
      </c>
      <c r="G33" s="1692">
        <f t="shared" si="1"/>
        <v>10764</v>
      </c>
      <c r="H33" s="1692">
        <f t="shared" si="1"/>
        <v>22938</v>
      </c>
      <c r="I33" s="1692">
        <f t="shared" si="1"/>
        <v>0</v>
      </c>
      <c r="J33" s="1692">
        <f t="shared" si="1"/>
        <v>0</v>
      </c>
      <c r="K33" s="1692">
        <f t="shared" si="1"/>
        <v>3164068</v>
      </c>
      <c r="L33" s="1692">
        <f t="shared" si="1"/>
        <v>3327219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97671</v>
      </c>
      <c r="D36" s="481">
        <v>26621</v>
      </c>
      <c r="E36" s="481"/>
      <c r="F36" s="481">
        <v>25</v>
      </c>
      <c r="G36" s="481"/>
      <c r="H36" s="481"/>
      <c r="I36" s="467"/>
      <c r="J36" s="467"/>
      <c r="K36" s="1693">
        <f t="shared" ref="K36:K41" si="2">SUM(C36:J36)</f>
        <v>124317</v>
      </c>
      <c r="L36" s="466">
        <v>134220</v>
      </c>
    </row>
    <row r="37" spans="1:14" x14ac:dyDescent="0.2">
      <c r="A37" s="1526" t="s">
        <v>1151</v>
      </c>
      <c r="B37" s="615">
        <v>2120</v>
      </c>
      <c r="C37" s="466">
        <v>96463</v>
      </c>
      <c r="D37" s="466">
        <v>27999</v>
      </c>
      <c r="E37" s="466">
        <v>25</v>
      </c>
      <c r="F37" s="466">
        <v>1686</v>
      </c>
      <c r="G37" s="466"/>
      <c r="H37" s="466">
        <v>30</v>
      </c>
      <c r="I37" s="467"/>
      <c r="J37" s="467"/>
      <c r="K37" s="1693">
        <f t="shared" si="2"/>
        <v>126203</v>
      </c>
      <c r="L37" s="466">
        <v>163250</v>
      </c>
    </row>
    <row r="38" spans="1:14" x14ac:dyDescent="0.2">
      <c r="A38" s="1526" t="s">
        <v>207</v>
      </c>
      <c r="B38" s="615">
        <v>2130</v>
      </c>
      <c r="C38" s="466">
        <v>34884</v>
      </c>
      <c r="D38" s="466">
        <v>8694</v>
      </c>
      <c r="E38" s="466">
        <v>114</v>
      </c>
      <c r="F38" s="466">
        <v>699</v>
      </c>
      <c r="G38" s="466"/>
      <c r="H38" s="466">
        <v>140</v>
      </c>
      <c r="I38" s="467"/>
      <c r="J38" s="467"/>
      <c r="K38" s="1693">
        <f t="shared" si="2"/>
        <v>44531</v>
      </c>
      <c r="L38" s="466">
        <v>47600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v>2013</v>
      </c>
      <c r="G41" s="466"/>
      <c r="H41" s="466"/>
      <c r="I41" s="467"/>
      <c r="J41" s="467"/>
      <c r="K41" s="1693">
        <f t="shared" si="2"/>
        <v>2013</v>
      </c>
      <c r="L41" s="466">
        <v>1750</v>
      </c>
    </row>
    <row r="42" spans="1:14" ht="12.75" customHeight="1" thickBot="1" x14ac:dyDescent="0.25">
      <c r="A42" s="1690" t="s">
        <v>581</v>
      </c>
      <c r="B42" s="1691" t="s">
        <v>740</v>
      </c>
      <c r="C42" s="1692">
        <f>SUM(C36:C41)</f>
        <v>229018</v>
      </c>
      <c r="D42" s="1692">
        <f t="shared" ref="D42:L42" si="3">SUM(D36:D41)</f>
        <v>63314</v>
      </c>
      <c r="E42" s="1692">
        <f t="shared" si="3"/>
        <v>139</v>
      </c>
      <c r="F42" s="1692">
        <f t="shared" si="3"/>
        <v>4423</v>
      </c>
      <c r="G42" s="1692">
        <f t="shared" si="3"/>
        <v>0</v>
      </c>
      <c r="H42" s="1692">
        <f t="shared" si="3"/>
        <v>170</v>
      </c>
      <c r="I42" s="1692">
        <f t="shared" si="3"/>
        <v>0</v>
      </c>
      <c r="J42" s="1692">
        <f t="shared" si="3"/>
        <v>0</v>
      </c>
      <c r="K42" s="1692">
        <f t="shared" si="3"/>
        <v>297064</v>
      </c>
      <c r="L42" s="1692">
        <f t="shared" si="3"/>
        <v>346820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v>3409</v>
      </c>
      <c r="G44" s="481"/>
      <c r="H44" s="481"/>
      <c r="I44" s="467"/>
      <c r="J44" s="467"/>
      <c r="K44" s="1694">
        <f>SUM(C44:J44)</f>
        <v>3409</v>
      </c>
      <c r="L44" s="481"/>
    </row>
    <row r="45" spans="1:14" x14ac:dyDescent="0.2">
      <c r="A45" s="1526" t="s">
        <v>869</v>
      </c>
      <c r="B45" s="615">
        <v>2220</v>
      </c>
      <c r="C45" s="466"/>
      <c r="D45" s="466"/>
      <c r="E45" s="466"/>
      <c r="F45" s="466">
        <v>1299</v>
      </c>
      <c r="G45" s="466"/>
      <c r="H45" s="466"/>
      <c r="I45" s="467"/>
      <c r="J45" s="467"/>
      <c r="K45" s="1694">
        <f>SUM(C45:J45)</f>
        <v>1299</v>
      </c>
      <c r="L45" s="466">
        <v>750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4708</v>
      </c>
      <c r="G47" s="1692">
        <f t="shared" si="4"/>
        <v>0</v>
      </c>
      <c r="H47" s="1692">
        <f t="shared" si="4"/>
        <v>0</v>
      </c>
      <c r="I47" s="1692">
        <f t="shared" si="4"/>
        <v>0</v>
      </c>
      <c r="J47" s="1692">
        <f t="shared" si="4"/>
        <v>0</v>
      </c>
      <c r="K47" s="1692">
        <f t="shared" si="4"/>
        <v>4708</v>
      </c>
      <c r="L47" s="1692">
        <f>SUM(L44:L46)</f>
        <v>750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1900</v>
      </c>
      <c r="D49" s="481"/>
      <c r="E49" s="481">
        <v>20047</v>
      </c>
      <c r="F49" s="481">
        <v>1519</v>
      </c>
      <c r="G49" s="481"/>
      <c r="H49" s="481">
        <v>5800</v>
      </c>
      <c r="I49" s="467"/>
      <c r="J49" s="467"/>
      <c r="K49" s="1694">
        <f>SUM(C49:J49)</f>
        <v>29266</v>
      </c>
      <c r="L49" s="481">
        <v>30250</v>
      </c>
    </row>
    <row r="50" spans="1:14" x14ac:dyDescent="0.2">
      <c r="A50" s="1526" t="s">
        <v>872</v>
      </c>
      <c r="B50" s="615">
        <v>2320</v>
      </c>
      <c r="C50" s="466">
        <v>152850</v>
      </c>
      <c r="D50" s="466">
        <v>32915</v>
      </c>
      <c r="E50" s="466">
        <v>2016</v>
      </c>
      <c r="F50" s="466">
        <v>554</v>
      </c>
      <c r="G50" s="466">
        <v>1111</v>
      </c>
      <c r="H50" s="466">
        <v>1342</v>
      </c>
      <c r="I50" s="467"/>
      <c r="J50" s="467"/>
      <c r="K50" s="1694">
        <f>SUM(C50:J50)</f>
        <v>190788</v>
      </c>
      <c r="L50" s="466">
        <v>183350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154750</v>
      </c>
      <c r="D53" s="1692">
        <f t="shared" ref="D53:L53" si="5">SUM(D49:D52)</f>
        <v>32915</v>
      </c>
      <c r="E53" s="1692">
        <f t="shared" si="5"/>
        <v>22063</v>
      </c>
      <c r="F53" s="1692">
        <f t="shared" si="5"/>
        <v>2073</v>
      </c>
      <c r="G53" s="1692">
        <f t="shared" si="5"/>
        <v>1111</v>
      </c>
      <c r="H53" s="1692">
        <f t="shared" si="5"/>
        <v>7142</v>
      </c>
      <c r="I53" s="1692">
        <f t="shared" si="5"/>
        <v>0</v>
      </c>
      <c r="J53" s="1692">
        <f t="shared" si="5"/>
        <v>0</v>
      </c>
      <c r="K53" s="1692">
        <f t="shared" si="5"/>
        <v>220054</v>
      </c>
      <c r="L53" s="1692">
        <f t="shared" si="5"/>
        <v>213600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134508</v>
      </c>
      <c r="D55" s="481">
        <v>35086</v>
      </c>
      <c r="E55" s="481">
        <v>1294</v>
      </c>
      <c r="F55" s="481">
        <v>8092</v>
      </c>
      <c r="G55" s="481"/>
      <c r="H55" s="481">
        <v>2104</v>
      </c>
      <c r="I55" s="467"/>
      <c r="J55" s="467"/>
      <c r="K55" s="1694">
        <f>SUM(C55:J55)</f>
        <v>181084</v>
      </c>
      <c r="L55" s="481">
        <v>279200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134508</v>
      </c>
      <c r="D57" s="1696">
        <f t="shared" ref="D57:K57" si="6">SUM(D55:D56)</f>
        <v>35086</v>
      </c>
      <c r="E57" s="1696">
        <f t="shared" si="6"/>
        <v>1294</v>
      </c>
      <c r="F57" s="1696">
        <f t="shared" si="6"/>
        <v>8092</v>
      </c>
      <c r="G57" s="1696">
        <f t="shared" si="6"/>
        <v>0</v>
      </c>
      <c r="H57" s="1696">
        <f t="shared" si="6"/>
        <v>2104</v>
      </c>
      <c r="I57" s="1696">
        <f t="shared" si="6"/>
        <v>0</v>
      </c>
      <c r="J57" s="1696">
        <f t="shared" si="6"/>
        <v>0</v>
      </c>
      <c r="K57" s="1696">
        <f t="shared" si="6"/>
        <v>181084</v>
      </c>
      <c r="L57" s="1692">
        <f>SUM(L55:L56)</f>
        <v>279200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91469</v>
      </c>
      <c r="D60" s="466">
        <v>23033</v>
      </c>
      <c r="E60" s="466">
        <v>300</v>
      </c>
      <c r="F60" s="466">
        <v>1882</v>
      </c>
      <c r="G60" s="466"/>
      <c r="H60" s="466">
        <v>235</v>
      </c>
      <c r="I60" s="467"/>
      <c r="J60" s="467"/>
      <c r="K60" s="1694">
        <f t="shared" si="7"/>
        <v>116919</v>
      </c>
      <c r="L60" s="466">
        <v>117315</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23505</v>
      </c>
      <c r="D63" s="466">
        <v>11606</v>
      </c>
      <c r="E63" s="466">
        <v>221615</v>
      </c>
      <c r="F63" s="466">
        <v>27</v>
      </c>
      <c r="G63" s="466"/>
      <c r="H63" s="466">
        <v>135</v>
      </c>
      <c r="I63" s="467"/>
      <c r="J63" s="467"/>
      <c r="K63" s="1694">
        <f t="shared" si="7"/>
        <v>256888</v>
      </c>
      <c r="L63" s="466">
        <v>275075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114974</v>
      </c>
      <c r="D65" s="1692">
        <f t="shared" ref="D65:L65" si="8">SUM(D59:D64)</f>
        <v>34639</v>
      </c>
      <c r="E65" s="1692">
        <f t="shared" si="8"/>
        <v>221915</v>
      </c>
      <c r="F65" s="1692">
        <f t="shared" si="8"/>
        <v>1909</v>
      </c>
      <c r="G65" s="1692">
        <f t="shared" si="8"/>
        <v>0</v>
      </c>
      <c r="H65" s="1692">
        <f t="shared" si="8"/>
        <v>370</v>
      </c>
      <c r="I65" s="1692">
        <f t="shared" si="8"/>
        <v>0</v>
      </c>
      <c r="J65" s="1692">
        <f t="shared" si="8"/>
        <v>0</v>
      </c>
      <c r="K65" s="1692">
        <f t="shared" si="8"/>
        <v>373807</v>
      </c>
      <c r="L65" s="1692">
        <f t="shared" si="8"/>
        <v>392390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99140</v>
      </c>
      <c r="D71" s="466">
        <v>10937</v>
      </c>
      <c r="E71" s="466">
        <v>698</v>
      </c>
      <c r="F71" s="466">
        <v>24564</v>
      </c>
      <c r="G71" s="466">
        <v>4426</v>
      </c>
      <c r="H71" s="466">
        <v>276</v>
      </c>
      <c r="I71" s="467"/>
      <c r="J71" s="467"/>
      <c r="K71" s="1694">
        <f>SUM(C71:J71)</f>
        <v>140041</v>
      </c>
      <c r="L71" s="466">
        <v>138850</v>
      </c>
      <c r="M71" s="610"/>
      <c r="N71" s="610"/>
    </row>
    <row r="72" spans="1:14" s="343" customFormat="1" ht="12.75" customHeight="1" thickBot="1" x14ac:dyDescent="0.25">
      <c r="A72" s="1690" t="s">
        <v>37</v>
      </c>
      <c r="B72" s="1697" t="s">
        <v>36</v>
      </c>
      <c r="C72" s="1692">
        <f>SUM(C67:C71)</f>
        <v>99140</v>
      </c>
      <c r="D72" s="1692">
        <f t="shared" ref="D72:K72" si="9">SUM(D67:D71)</f>
        <v>10937</v>
      </c>
      <c r="E72" s="1692">
        <f t="shared" si="9"/>
        <v>698</v>
      </c>
      <c r="F72" s="1692">
        <f t="shared" si="9"/>
        <v>24564</v>
      </c>
      <c r="G72" s="1692">
        <f t="shared" si="9"/>
        <v>4426</v>
      </c>
      <c r="H72" s="1692">
        <f t="shared" si="9"/>
        <v>276</v>
      </c>
      <c r="I72" s="1692">
        <f t="shared" si="9"/>
        <v>0</v>
      </c>
      <c r="J72" s="1692">
        <f t="shared" si="9"/>
        <v>0</v>
      </c>
      <c r="K72" s="1692">
        <f t="shared" si="9"/>
        <v>140041</v>
      </c>
      <c r="L72" s="1692">
        <f>SUM(L67:L71)</f>
        <v>138850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732390</v>
      </c>
      <c r="D74" s="1699">
        <f t="shared" ref="D74:K74" si="10">SUM(D42,D47,D53,D57,D65,D72,D73)</f>
        <v>176891</v>
      </c>
      <c r="E74" s="1699">
        <f t="shared" si="10"/>
        <v>246109</v>
      </c>
      <c r="F74" s="1699">
        <f t="shared" si="10"/>
        <v>45769</v>
      </c>
      <c r="G74" s="1699">
        <f t="shared" si="10"/>
        <v>5537</v>
      </c>
      <c r="H74" s="1699">
        <f t="shared" si="10"/>
        <v>10062</v>
      </c>
      <c r="I74" s="1699">
        <f t="shared" si="10"/>
        <v>0</v>
      </c>
      <c r="J74" s="1699">
        <f t="shared" si="10"/>
        <v>0</v>
      </c>
      <c r="K74" s="1699">
        <f t="shared" si="10"/>
        <v>1216758</v>
      </c>
      <c r="L74" s="1699">
        <f>SUM(L42,L47,L53,L57,L65,L72,L73)</f>
        <v>1371610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23206</v>
      </c>
      <c r="I78" s="477"/>
      <c r="J78" s="477"/>
      <c r="K78" s="1693">
        <f t="shared" ref="K78:K83" si="11">SUM(C78:J78)</f>
        <v>23206</v>
      </c>
      <c r="L78" s="481">
        <v>225500</v>
      </c>
    </row>
    <row r="79" spans="1:14" x14ac:dyDescent="0.2">
      <c r="A79" s="1526" t="s">
        <v>322</v>
      </c>
      <c r="B79" s="615">
        <v>4120</v>
      </c>
      <c r="C79" s="617"/>
      <c r="D79" s="617"/>
      <c r="E79" s="466"/>
      <c r="F79" s="617"/>
      <c r="G79" s="617"/>
      <c r="H79" s="466">
        <v>225019</v>
      </c>
      <c r="I79" s="477"/>
      <c r="J79" s="477"/>
      <c r="K79" s="1693">
        <f t="shared" si="11"/>
        <v>225019</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248225</v>
      </c>
      <c r="I84" s="477"/>
      <c r="J84" s="477"/>
      <c r="K84" s="1692">
        <f>SUM(K78:K83)</f>
        <v>248225</v>
      </c>
      <c r="L84" s="1692">
        <f>SUM(L78:L83)</f>
        <v>225500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248225</v>
      </c>
      <c r="I102" s="477"/>
      <c r="J102" s="477"/>
      <c r="K102" s="1699">
        <f>SUM(K84,K92,K100,K101)</f>
        <v>248225</v>
      </c>
      <c r="L102" s="1699">
        <f>SUM(L84,L92,L100,L101)</f>
        <v>225500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3136958</v>
      </c>
      <c r="D114" s="1692">
        <f t="shared" ref="D114:K114" si="13">SUM(D33,D74,D75,D102,D112,D113)</f>
        <v>719680</v>
      </c>
      <c r="E114" s="1692">
        <f t="shared" si="13"/>
        <v>316627</v>
      </c>
      <c r="F114" s="1692">
        <f t="shared" si="13"/>
        <v>158260</v>
      </c>
      <c r="G114" s="1692">
        <f t="shared" si="13"/>
        <v>16301</v>
      </c>
      <c r="H114" s="1692">
        <f>SUM(H33,H74,H75,H102,H112,H113)</f>
        <v>281225</v>
      </c>
      <c r="I114" s="1692">
        <f t="shared" si="13"/>
        <v>0</v>
      </c>
      <c r="J114" s="1692">
        <f t="shared" si="13"/>
        <v>0</v>
      </c>
      <c r="K114" s="1692">
        <f t="shared" si="13"/>
        <v>4629051</v>
      </c>
      <c r="L114" s="1692">
        <f>SUM(L33,L74,L75,L102,L112,L113)</f>
        <v>4924329</v>
      </c>
    </row>
    <row r="115" spans="1:14" ht="13.5" thickTop="1" x14ac:dyDescent="0.2">
      <c r="A115" s="2189" t="s">
        <v>1053</v>
      </c>
      <c r="B115" s="2190"/>
      <c r="C115" s="619"/>
      <c r="D115" s="619"/>
      <c r="E115" s="619"/>
      <c r="F115" s="619"/>
      <c r="G115" s="619"/>
      <c r="H115" s="619"/>
      <c r="I115" s="619"/>
      <c r="J115" s="619"/>
      <c r="K115" s="1706">
        <f>'Revenues 9-14'!C275-'Expenditures 15-22'!K114</f>
        <v>365691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314</v>
      </c>
      <c r="B117" s="219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180105</v>
      </c>
      <c r="D124" s="466">
        <v>40709</v>
      </c>
      <c r="E124" s="466">
        <v>128925</v>
      </c>
      <c r="F124" s="466">
        <v>181712</v>
      </c>
      <c r="G124" s="466">
        <v>203646</v>
      </c>
      <c r="H124" s="466">
        <v>2903</v>
      </c>
      <c r="I124" s="467"/>
      <c r="J124" s="467"/>
      <c r="K124" s="1692">
        <f>SUM(C124:J124)</f>
        <v>738000</v>
      </c>
      <c r="L124" s="466">
        <v>760730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180105</v>
      </c>
      <c r="D127" s="1692">
        <f t="shared" ref="D127:L127" si="14">SUM(D122:D126)</f>
        <v>40709</v>
      </c>
      <c r="E127" s="1692">
        <f t="shared" si="14"/>
        <v>128925</v>
      </c>
      <c r="F127" s="1692">
        <f t="shared" si="14"/>
        <v>181712</v>
      </c>
      <c r="G127" s="1692">
        <f t="shared" si="14"/>
        <v>203646</v>
      </c>
      <c r="H127" s="1692">
        <f t="shared" si="14"/>
        <v>2903</v>
      </c>
      <c r="I127" s="1692">
        <f t="shared" si="14"/>
        <v>0</v>
      </c>
      <c r="J127" s="1692">
        <f t="shared" si="14"/>
        <v>0</v>
      </c>
      <c r="K127" s="1692">
        <f t="shared" si="14"/>
        <v>738000</v>
      </c>
      <c r="L127" s="1692">
        <f t="shared" si="14"/>
        <v>760730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180105</v>
      </c>
      <c r="D129" s="1699">
        <f t="shared" ref="D129:L129" si="15">SUM(D120,D127,D128)</f>
        <v>40709</v>
      </c>
      <c r="E129" s="1699">
        <f t="shared" si="15"/>
        <v>128925</v>
      </c>
      <c r="F129" s="1699">
        <f t="shared" si="15"/>
        <v>181712</v>
      </c>
      <c r="G129" s="1699">
        <f t="shared" si="15"/>
        <v>203646</v>
      </c>
      <c r="H129" s="1699">
        <f t="shared" si="15"/>
        <v>2903</v>
      </c>
      <c r="I129" s="1699">
        <f t="shared" si="15"/>
        <v>0</v>
      </c>
      <c r="J129" s="1699">
        <f t="shared" si="15"/>
        <v>0</v>
      </c>
      <c r="K129" s="1699">
        <f t="shared" si="15"/>
        <v>738000</v>
      </c>
      <c r="L129" s="1699">
        <f t="shared" si="15"/>
        <v>760730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6" t="s">
        <v>641</v>
      </c>
      <c r="B151" s="2186"/>
      <c r="C151" s="1692">
        <f>SUM(C129,C130,C139,C149,C150)</f>
        <v>180105</v>
      </c>
      <c r="D151" s="1692">
        <f t="shared" ref="D151:K151" si="16">SUM(D129,D130,D139,D149,D150)</f>
        <v>40709</v>
      </c>
      <c r="E151" s="1692">
        <f t="shared" si="16"/>
        <v>128925</v>
      </c>
      <c r="F151" s="1692">
        <f t="shared" si="16"/>
        <v>181712</v>
      </c>
      <c r="G151" s="1692">
        <f t="shared" si="16"/>
        <v>203646</v>
      </c>
      <c r="H151" s="1692">
        <f t="shared" si="16"/>
        <v>2903</v>
      </c>
      <c r="I151" s="1692">
        <f t="shared" si="16"/>
        <v>0</v>
      </c>
      <c r="J151" s="1692">
        <f t="shared" si="16"/>
        <v>0</v>
      </c>
      <c r="K151" s="1692">
        <f t="shared" si="16"/>
        <v>738000</v>
      </c>
      <c r="L151" s="1692">
        <f>SUM(L129,L130,L139,L149,L150)</f>
        <v>760730</v>
      </c>
    </row>
    <row r="152" spans="1:14" ht="12.75" customHeight="1" thickTop="1" x14ac:dyDescent="0.2">
      <c r="A152" s="2209" t="s">
        <v>1240</v>
      </c>
      <c r="B152" s="2210"/>
      <c r="C152" s="619"/>
      <c r="D152" s="619"/>
      <c r="E152" s="619"/>
      <c r="F152" s="619"/>
      <c r="G152" s="619"/>
      <c r="H152" s="619"/>
      <c r="I152" s="619"/>
      <c r="J152" s="617"/>
      <c r="K152" s="1706">
        <f>'Revenues 9-14'!D275-'Expenditures 15-22'!K151</f>
        <v>117903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642</v>
      </c>
      <c r="B154" s="219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275252</v>
      </c>
      <c r="I169" s="617"/>
      <c r="J169" s="617"/>
      <c r="K169" s="1693">
        <f>SUM(C169:H169)</f>
        <v>275252</v>
      </c>
      <c r="L169" s="657">
        <v>297700</v>
      </c>
    </row>
    <row r="170" spans="1:14" ht="33.75" customHeight="1" x14ac:dyDescent="0.2">
      <c r="A170" s="670" t="s">
        <v>1769</v>
      </c>
      <c r="B170" s="672" t="s">
        <v>31</v>
      </c>
      <c r="C170" s="617"/>
      <c r="D170" s="617"/>
      <c r="E170" s="617"/>
      <c r="F170" s="617"/>
      <c r="G170" s="617"/>
      <c r="H170" s="569">
        <v>453000</v>
      </c>
      <c r="I170" s="617"/>
      <c r="J170" s="617"/>
      <c r="K170" s="1693">
        <f>SUM(C170:J170)</f>
        <v>453000</v>
      </c>
      <c r="L170" s="569">
        <v>455524</v>
      </c>
    </row>
    <row r="171" spans="1:14" ht="15.75" customHeight="1" x14ac:dyDescent="0.2">
      <c r="A171" s="622" t="s">
        <v>790</v>
      </c>
      <c r="B171" s="673" t="s">
        <v>86</v>
      </c>
      <c r="C171" s="617"/>
      <c r="D171" s="617"/>
      <c r="E171" s="466"/>
      <c r="F171" s="617"/>
      <c r="G171" s="617"/>
      <c r="H171" s="569">
        <v>21451</v>
      </c>
      <c r="I171" s="477"/>
      <c r="J171" s="617"/>
      <c r="K171" s="1693">
        <f>SUM(C171:J171)</f>
        <v>21451</v>
      </c>
      <c r="L171" s="569"/>
    </row>
    <row r="172" spans="1:14" ht="12.75" customHeight="1" thickBot="1" x14ac:dyDescent="0.25">
      <c r="A172" s="1690" t="s">
        <v>659</v>
      </c>
      <c r="B172" s="1691" t="s">
        <v>513</v>
      </c>
      <c r="C172" s="617"/>
      <c r="D172" s="617"/>
      <c r="E172" s="1699">
        <f>SUM(E168,E169,E170,E171)</f>
        <v>0</v>
      </c>
      <c r="F172" s="617"/>
      <c r="G172" s="617"/>
      <c r="H172" s="1699">
        <f>SUM(H168,H169,H170,H171)</f>
        <v>749703</v>
      </c>
      <c r="I172" s="639"/>
      <c r="J172" s="617"/>
      <c r="K172" s="1699">
        <f>SUM(K168,K169,K170,K171)</f>
        <v>749703</v>
      </c>
      <c r="L172" s="1699">
        <f>SUM(L168,L169,L170,L171)</f>
        <v>753224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749703</v>
      </c>
      <c r="I174" s="639"/>
      <c r="J174" s="617"/>
      <c r="K174" s="1699">
        <f>SUM(K160,K172,K173)</f>
        <v>749703</v>
      </c>
      <c r="L174" s="1699">
        <f>SUM(L160,L172,L173)</f>
        <v>753224</v>
      </c>
    </row>
    <row r="175" spans="1:14" ht="13.5" thickTop="1" x14ac:dyDescent="0.2">
      <c r="A175" s="2189" t="s">
        <v>1053</v>
      </c>
      <c r="B175" s="2190"/>
      <c r="C175" s="617"/>
      <c r="D175" s="617"/>
      <c r="E175" s="617"/>
      <c r="F175" s="617"/>
      <c r="G175" s="617"/>
      <c r="H175" s="619"/>
      <c r="I175" s="617"/>
      <c r="J175" s="617"/>
      <c r="K175" s="1706">
        <f>'Revenues 9-14'!E275-'Expenditures 15-22'!K174</f>
        <v>-193138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147880</v>
      </c>
      <c r="D182" s="466"/>
      <c r="E182" s="466">
        <v>141948</v>
      </c>
      <c r="F182" s="466">
        <v>56484</v>
      </c>
      <c r="G182" s="466">
        <v>94940</v>
      </c>
      <c r="H182" s="466">
        <v>300</v>
      </c>
      <c r="I182" s="467"/>
      <c r="J182" s="467"/>
      <c r="K182" s="1693">
        <f>SUM(C182:J182)</f>
        <v>441552</v>
      </c>
      <c r="L182" s="466">
        <v>516554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147880</v>
      </c>
      <c r="D184" s="1699">
        <f t="shared" ref="D184:J184" si="17">SUM(D180,D182,D183)</f>
        <v>0</v>
      </c>
      <c r="E184" s="1699">
        <f t="shared" si="17"/>
        <v>141948</v>
      </c>
      <c r="F184" s="1699">
        <f t="shared" si="17"/>
        <v>56484</v>
      </c>
      <c r="G184" s="1699">
        <f t="shared" si="17"/>
        <v>94940</v>
      </c>
      <c r="H184" s="1699">
        <f t="shared" si="17"/>
        <v>300</v>
      </c>
      <c r="I184" s="1699">
        <f t="shared" si="17"/>
        <v>0</v>
      </c>
      <c r="J184" s="1699">
        <f t="shared" si="17"/>
        <v>0</v>
      </c>
      <c r="K184" s="1699">
        <f>SUM(K180,K182,K183)</f>
        <v>441552</v>
      </c>
      <c r="L184" s="1699">
        <f>SUM(L180, L182:L183)</f>
        <v>516554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147880</v>
      </c>
      <c r="D210" s="1692">
        <f>SUM(D184,D185)</f>
        <v>0</v>
      </c>
      <c r="E210" s="1692">
        <f>SUM(E184,E185,E196)</f>
        <v>141948</v>
      </c>
      <c r="F210" s="1692">
        <f>SUM(F184,F185)</f>
        <v>56484</v>
      </c>
      <c r="G210" s="1692">
        <f>SUM(G184,G185)</f>
        <v>94940</v>
      </c>
      <c r="H210" s="1692">
        <f>SUM(H184,H185,H196,H208,H209)</f>
        <v>300</v>
      </c>
      <c r="I210" s="1692">
        <f>SUM(I184,I185)</f>
        <v>0</v>
      </c>
      <c r="J210" s="1692">
        <f>SUM(J184,J185)</f>
        <v>0</v>
      </c>
      <c r="K210" s="1693">
        <f>SUM(K184,K185,K196,K208,K209)</f>
        <v>441552</v>
      </c>
      <c r="L210" s="1692">
        <f>SUM(L184,L185,L196,L208,L209)</f>
        <v>516554</v>
      </c>
    </row>
    <row r="211" spans="1:14" ht="13.5" thickTop="1" x14ac:dyDescent="0.2">
      <c r="A211" s="2189" t="s">
        <v>1053</v>
      </c>
      <c r="B211" s="2190"/>
      <c r="C211" s="619"/>
      <c r="D211" s="619"/>
      <c r="E211" s="619"/>
      <c r="F211" s="619"/>
      <c r="G211" s="619"/>
      <c r="H211" s="619"/>
      <c r="I211" s="617"/>
      <c r="J211" s="617"/>
      <c r="K211" s="1706">
        <f>'Revenues 9-14'!F275-'Expenditures 15-22'!K210</f>
        <v>-9522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1022</v>
      </c>
      <c r="B213" s="221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28491</v>
      </c>
      <c r="E215" s="617"/>
      <c r="F215" s="617"/>
      <c r="G215" s="617"/>
      <c r="H215" s="617"/>
      <c r="I215" s="617"/>
      <c r="J215" s="617"/>
      <c r="K215" s="1693">
        <f>D215</f>
        <v>28491</v>
      </c>
      <c r="L215" s="466"/>
    </row>
    <row r="216" spans="1:14" x14ac:dyDescent="0.2">
      <c r="A216" s="1526" t="s">
        <v>165</v>
      </c>
      <c r="B216" s="615" t="s">
        <v>1024</v>
      </c>
      <c r="C216" s="617"/>
      <c r="D216" s="467"/>
      <c r="E216" s="617"/>
      <c r="F216" s="617"/>
      <c r="G216" s="617"/>
      <c r="H216" s="617"/>
      <c r="I216" s="617"/>
      <c r="J216" s="617"/>
      <c r="K216" s="1693">
        <f t="shared" ref="K216:K228" si="19">D216</f>
        <v>0</v>
      </c>
      <c r="L216" s="466">
        <v>37600</v>
      </c>
    </row>
    <row r="217" spans="1:14" x14ac:dyDescent="0.2">
      <c r="A217" s="1526" t="s">
        <v>166</v>
      </c>
      <c r="B217" s="615">
        <v>1200</v>
      </c>
      <c r="C217" s="617"/>
      <c r="D217" s="466">
        <v>20380</v>
      </c>
      <c r="E217" s="617"/>
      <c r="F217" s="617"/>
      <c r="G217" s="617"/>
      <c r="H217" s="617"/>
      <c r="I217" s="617"/>
      <c r="J217" s="617"/>
      <c r="K217" s="1693">
        <f t="shared" si="19"/>
        <v>20380</v>
      </c>
      <c r="L217" s="466">
        <v>30400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206</v>
      </c>
      <c r="E219" s="617"/>
      <c r="F219" s="617"/>
      <c r="G219" s="617"/>
      <c r="H219" s="617"/>
      <c r="I219" s="617"/>
      <c r="J219" s="617"/>
      <c r="K219" s="1693">
        <f t="shared" si="19"/>
        <v>206</v>
      </c>
      <c r="L219" s="466">
        <v>725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5137</v>
      </c>
      <c r="E222" s="617"/>
      <c r="F222" s="617"/>
      <c r="G222" s="617"/>
      <c r="H222" s="617"/>
      <c r="I222" s="617"/>
      <c r="J222" s="617"/>
      <c r="K222" s="1693">
        <f t="shared" si="19"/>
        <v>5137</v>
      </c>
      <c r="L222" s="466">
        <v>5700</v>
      </c>
    </row>
    <row r="223" spans="1:14" x14ac:dyDescent="0.2">
      <c r="A223" s="1526" t="s">
        <v>1020</v>
      </c>
      <c r="B223" s="615">
        <v>1500</v>
      </c>
      <c r="C223" s="617"/>
      <c r="D223" s="466">
        <v>8600</v>
      </c>
      <c r="E223" s="617"/>
      <c r="F223" s="617"/>
      <c r="G223" s="617"/>
      <c r="H223" s="617"/>
      <c r="I223" s="617"/>
      <c r="J223" s="617"/>
      <c r="K223" s="1693">
        <f t="shared" si="19"/>
        <v>8600</v>
      </c>
      <c r="L223" s="466">
        <v>12700</v>
      </c>
    </row>
    <row r="224" spans="1:14" x14ac:dyDescent="0.2">
      <c r="A224" s="1526" t="s">
        <v>1021</v>
      </c>
      <c r="B224" s="615">
        <v>1600</v>
      </c>
      <c r="C224" s="617"/>
      <c r="D224" s="466">
        <v>25</v>
      </c>
      <c r="E224" s="617"/>
      <c r="F224" s="617"/>
      <c r="G224" s="617"/>
      <c r="H224" s="617"/>
      <c r="I224" s="617"/>
      <c r="J224" s="617"/>
      <c r="K224" s="1693">
        <f t="shared" si="19"/>
        <v>25</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1217</v>
      </c>
      <c r="E226" s="617"/>
      <c r="F226" s="617"/>
      <c r="G226" s="617"/>
      <c r="H226" s="617"/>
      <c r="I226" s="617"/>
      <c r="J226" s="617"/>
      <c r="K226" s="1693">
        <f t="shared" si="19"/>
        <v>1217</v>
      </c>
      <c r="L226" s="466">
        <v>1700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64056</v>
      </c>
      <c r="E229" s="617"/>
      <c r="F229" s="617"/>
      <c r="G229" s="617"/>
      <c r="H229" s="617"/>
      <c r="I229" s="617"/>
      <c r="J229" s="617"/>
      <c r="K229" s="1692">
        <f>SUM(K215:K228)</f>
        <v>64056</v>
      </c>
      <c r="L229" s="1692">
        <f>SUM(L215:L228)</f>
        <v>88825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6610</v>
      </c>
      <c r="E232" s="617"/>
      <c r="F232" s="617"/>
      <c r="G232" s="617"/>
      <c r="H232" s="617"/>
      <c r="I232" s="617"/>
      <c r="J232" s="617"/>
      <c r="K232" s="1693">
        <f t="shared" ref="K232:K237" si="20">D232</f>
        <v>6610</v>
      </c>
      <c r="L232" s="466">
        <v>9100</v>
      </c>
    </row>
    <row r="233" spans="1:12" x14ac:dyDescent="0.2">
      <c r="A233" s="1526" t="s">
        <v>1151</v>
      </c>
      <c r="B233" s="615">
        <v>2120</v>
      </c>
      <c r="C233" s="617"/>
      <c r="D233" s="466">
        <v>1772</v>
      </c>
      <c r="E233" s="617"/>
      <c r="F233" s="617"/>
      <c r="G233" s="617"/>
      <c r="H233" s="617"/>
      <c r="I233" s="617"/>
      <c r="J233" s="617"/>
      <c r="K233" s="1693">
        <f t="shared" si="20"/>
        <v>1772</v>
      </c>
      <c r="L233" s="466">
        <v>2100</v>
      </c>
    </row>
    <row r="234" spans="1:12" x14ac:dyDescent="0.2">
      <c r="A234" s="1526" t="s">
        <v>207</v>
      </c>
      <c r="B234" s="615">
        <v>2130</v>
      </c>
      <c r="C234" s="617"/>
      <c r="D234" s="466">
        <v>8654</v>
      </c>
      <c r="E234" s="617"/>
      <c r="F234" s="617"/>
      <c r="G234" s="617"/>
      <c r="H234" s="617"/>
      <c r="I234" s="617"/>
      <c r="J234" s="617"/>
      <c r="K234" s="1693">
        <f t="shared" si="20"/>
        <v>8654</v>
      </c>
      <c r="L234" s="466">
        <v>10700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17036</v>
      </c>
      <c r="E238" s="617"/>
      <c r="F238" s="617"/>
      <c r="G238" s="617"/>
      <c r="H238" s="617"/>
      <c r="I238" s="617"/>
      <c r="J238" s="617"/>
      <c r="K238" s="1692">
        <f>SUM(K232:K237)</f>
        <v>17036</v>
      </c>
      <c r="L238" s="1692">
        <f>SUM(L232:L237)</f>
        <v>21900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332</v>
      </c>
      <c r="E245" s="617"/>
      <c r="F245" s="617"/>
      <c r="G245" s="617"/>
      <c r="H245" s="617"/>
      <c r="I245" s="617"/>
      <c r="J245" s="617"/>
      <c r="K245" s="1694">
        <f>D245</f>
        <v>332</v>
      </c>
      <c r="L245" s="481">
        <v>500</v>
      </c>
    </row>
    <row r="246" spans="1:12" x14ac:dyDescent="0.2">
      <c r="A246" s="1526" t="s">
        <v>872</v>
      </c>
      <c r="B246" s="615">
        <v>2320</v>
      </c>
      <c r="C246" s="617"/>
      <c r="D246" s="466">
        <v>8637</v>
      </c>
      <c r="E246" s="617"/>
      <c r="F246" s="617"/>
      <c r="G246" s="617"/>
      <c r="H246" s="617"/>
      <c r="I246" s="617"/>
      <c r="J246" s="617"/>
      <c r="K246" s="1694">
        <f t="shared" ref="K246:K256" si="21">D246</f>
        <v>8637</v>
      </c>
      <c r="L246" s="466">
        <v>12100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8969</v>
      </c>
      <c r="E257" s="617"/>
      <c r="F257" s="617"/>
      <c r="G257" s="617"/>
      <c r="H257" s="617"/>
      <c r="I257" s="617"/>
      <c r="J257" s="617"/>
      <c r="K257" s="1692">
        <f>SUM(K245:K256)</f>
        <v>8969</v>
      </c>
      <c r="L257" s="1692">
        <f>SUM(L245:L256)</f>
        <v>12600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2783</v>
      </c>
      <c r="E259" s="617"/>
      <c r="F259" s="617"/>
      <c r="G259" s="617"/>
      <c r="H259" s="617"/>
      <c r="I259" s="617"/>
      <c r="J259" s="617"/>
      <c r="K259" s="1694">
        <f>D259</f>
        <v>2783</v>
      </c>
      <c r="L259" s="481">
        <v>5600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2783</v>
      </c>
      <c r="E261" s="617"/>
      <c r="F261" s="617"/>
      <c r="G261" s="617"/>
      <c r="H261" s="617"/>
      <c r="I261" s="617"/>
      <c r="J261" s="617"/>
      <c r="K261" s="1692">
        <f>SUM(K259:K260)</f>
        <v>2783</v>
      </c>
      <c r="L261" s="1692">
        <f>SUM(L259:L260)</f>
        <v>5600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15577</v>
      </c>
      <c r="E264" s="617"/>
      <c r="F264" s="617"/>
      <c r="G264" s="617"/>
      <c r="H264" s="617"/>
      <c r="I264" s="617"/>
      <c r="J264" s="617"/>
      <c r="K264" s="1694">
        <f t="shared" ref="K264:K269" si="22">D264</f>
        <v>15577</v>
      </c>
      <c r="L264" s="466">
        <v>19500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33790</v>
      </c>
      <c r="E266" s="617"/>
      <c r="F266" s="617"/>
      <c r="G266" s="617"/>
      <c r="H266" s="617"/>
      <c r="I266" s="617"/>
      <c r="J266" s="617"/>
      <c r="K266" s="1694">
        <f t="shared" si="22"/>
        <v>33790</v>
      </c>
      <c r="L266" s="466">
        <v>41500</v>
      </c>
    </row>
    <row r="267" spans="1:14" x14ac:dyDescent="0.2">
      <c r="A267" s="1526" t="s">
        <v>1010</v>
      </c>
      <c r="B267" s="615">
        <v>2550</v>
      </c>
      <c r="C267" s="617"/>
      <c r="D267" s="466">
        <v>17764</v>
      </c>
      <c r="E267" s="617"/>
      <c r="F267" s="617"/>
      <c r="G267" s="617"/>
      <c r="H267" s="617"/>
      <c r="I267" s="617"/>
      <c r="J267" s="617"/>
      <c r="K267" s="1694">
        <f t="shared" si="22"/>
        <v>17764</v>
      </c>
      <c r="L267" s="466">
        <v>18400</v>
      </c>
    </row>
    <row r="268" spans="1:14" x14ac:dyDescent="0.2">
      <c r="A268" s="1526" t="s">
        <v>102</v>
      </c>
      <c r="B268" s="615">
        <v>2560</v>
      </c>
      <c r="C268" s="617"/>
      <c r="D268" s="466">
        <v>4734</v>
      </c>
      <c r="E268" s="617"/>
      <c r="F268" s="617"/>
      <c r="G268" s="617"/>
      <c r="H268" s="617"/>
      <c r="I268" s="617"/>
      <c r="J268" s="617"/>
      <c r="K268" s="1694">
        <f t="shared" si="22"/>
        <v>4734</v>
      </c>
      <c r="L268" s="466">
        <v>17500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71865</v>
      </c>
      <c r="E270" s="617"/>
      <c r="F270" s="617"/>
      <c r="G270" s="617"/>
      <c r="H270" s="617"/>
      <c r="I270" s="617"/>
      <c r="J270" s="617"/>
      <c r="K270" s="1692">
        <f>SUM(K263:K269)</f>
        <v>71865</v>
      </c>
      <c r="L270" s="1692">
        <f>SUM(L263:L269)</f>
        <v>96900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3902</v>
      </c>
      <c r="E276" s="617"/>
      <c r="F276" s="617"/>
      <c r="G276" s="617"/>
      <c r="H276" s="617"/>
      <c r="I276" s="617"/>
      <c r="J276" s="617"/>
      <c r="K276" s="1694">
        <f>D276</f>
        <v>3902</v>
      </c>
      <c r="L276" s="466">
        <v>1500</v>
      </c>
    </row>
    <row r="277" spans="1:12" ht="12.75" customHeight="1" thickBot="1" x14ac:dyDescent="0.25">
      <c r="A277" s="1713" t="s">
        <v>37</v>
      </c>
      <c r="B277" s="1691" t="s">
        <v>36</v>
      </c>
      <c r="C277" s="617"/>
      <c r="D277" s="1692">
        <f>SUM(D272:D276)</f>
        <v>3902</v>
      </c>
      <c r="E277" s="617"/>
      <c r="F277" s="617"/>
      <c r="G277" s="617"/>
      <c r="H277" s="617"/>
      <c r="I277" s="617"/>
      <c r="J277" s="617"/>
      <c r="K277" s="1692">
        <f>SUM(K272:K276)</f>
        <v>3902</v>
      </c>
      <c r="L277" s="1692">
        <f>SUM(L272:L276)</f>
        <v>1500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104555</v>
      </c>
      <c r="E279" s="617"/>
      <c r="F279" s="617"/>
      <c r="G279" s="617"/>
      <c r="H279" s="617"/>
      <c r="I279" s="617"/>
      <c r="J279" s="617"/>
      <c r="K279" s="1699">
        <f>SUM(K238,K243,K257,K261,K270,K277,K278)</f>
        <v>104555</v>
      </c>
      <c r="L279" s="1699">
        <f>SUM(L238,L243,L257,L261,L270,L277,L278)</f>
        <v>138500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1160</v>
      </c>
      <c r="E283" s="617"/>
      <c r="F283" s="617"/>
      <c r="G283" s="617"/>
      <c r="H283" s="617"/>
      <c r="I283" s="617"/>
      <c r="J283" s="617"/>
      <c r="K283" s="1693">
        <f>D283</f>
        <v>1160</v>
      </c>
      <c r="L283" s="466">
        <v>1750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1160</v>
      </c>
      <c r="E285" s="617"/>
      <c r="F285" s="617"/>
      <c r="G285" s="617"/>
      <c r="H285" s="617"/>
      <c r="I285" s="617"/>
      <c r="J285" s="617"/>
      <c r="K285" s="1692">
        <f>SUM(K282:K284)</f>
        <v>1160</v>
      </c>
      <c r="L285" s="1692">
        <f>SUM(L282:L284)</f>
        <v>1750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7" t="s">
        <v>526</v>
      </c>
      <c r="B295" s="2208"/>
      <c r="C295" s="617"/>
      <c r="D295" s="1692">
        <f>SUM(D229,D279,D280,D285)</f>
        <v>169771</v>
      </c>
      <c r="E295" s="617"/>
      <c r="F295" s="617"/>
      <c r="G295" s="617"/>
      <c r="H295" s="1692">
        <f>H293</f>
        <v>0</v>
      </c>
      <c r="I295" s="617"/>
      <c r="J295" s="617"/>
      <c r="K295" s="1692">
        <f>SUM(K229,K279,K280,K285,K293,K294)</f>
        <v>169771</v>
      </c>
      <c r="L295" s="1692">
        <f>SUM(L229,L279,L280,L285,L293,L294)</f>
        <v>229075</v>
      </c>
    </row>
    <row r="296" spans="1:14" ht="13.5" thickTop="1" x14ac:dyDescent="0.2">
      <c r="A296" s="2189" t="s">
        <v>1053</v>
      </c>
      <c r="B296" s="2190"/>
      <c r="C296" s="617"/>
      <c r="D296" s="619"/>
      <c r="E296" s="617"/>
      <c r="F296" s="617"/>
      <c r="G296" s="617"/>
      <c r="H296" s="688"/>
      <c r="I296" s="617"/>
      <c r="J296" s="617"/>
      <c r="K296" s="1706">
        <f>'Revenues 9-14'!G275-'Expenditures 15-22'!K295</f>
        <v>198461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4" t="s">
        <v>295</v>
      </c>
      <c r="B312" s="220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200" t="s">
        <v>1053</v>
      </c>
      <c r="B313" s="2201"/>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954</v>
      </c>
      <c r="B317" s="221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6916</v>
      </c>
      <c r="F321" s="467"/>
      <c r="G321" s="467"/>
      <c r="H321" s="467"/>
      <c r="I321" s="467"/>
      <c r="J321" s="467"/>
      <c r="K321" s="1693">
        <f t="shared" si="24"/>
        <v>6916</v>
      </c>
      <c r="L321" s="467">
        <v>15000</v>
      </c>
      <c r="M321" s="666"/>
      <c r="N321" s="666"/>
    </row>
    <row r="322" spans="1:14" s="675" customFormat="1" x14ac:dyDescent="0.2">
      <c r="A322" s="1541" t="s">
        <v>256</v>
      </c>
      <c r="B322" s="698" t="s">
        <v>302</v>
      </c>
      <c r="C322" s="467"/>
      <c r="D322" s="467"/>
      <c r="E322" s="467">
        <v>101681</v>
      </c>
      <c r="F322" s="467"/>
      <c r="G322" s="467"/>
      <c r="H322" s="467"/>
      <c r="I322" s="467"/>
      <c r="J322" s="467"/>
      <c r="K322" s="1693">
        <f t="shared" si="24"/>
        <v>101681</v>
      </c>
      <c r="L322" s="467">
        <v>105000</v>
      </c>
      <c r="M322" s="666"/>
      <c r="N322" s="666"/>
    </row>
    <row r="323" spans="1:14" s="675" customFormat="1" x14ac:dyDescent="0.2">
      <c r="A323" s="1541" t="s">
        <v>726</v>
      </c>
      <c r="B323" s="698" t="s">
        <v>303</v>
      </c>
      <c r="C323" s="467">
        <v>801860</v>
      </c>
      <c r="D323" s="467"/>
      <c r="E323" s="467"/>
      <c r="F323" s="467"/>
      <c r="G323" s="467"/>
      <c r="H323" s="467"/>
      <c r="I323" s="467"/>
      <c r="J323" s="467"/>
      <c r="K323" s="1693">
        <f t="shared" si="24"/>
        <v>801860</v>
      </c>
      <c r="L323" s="467">
        <v>801860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108046</v>
      </c>
      <c r="F327" s="467"/>
      <c r="G327" s="467"/>
      <c r="H327" s="467"/>
      <c r="I327" s="467"/>
      <c r="J327" s="467"/>
      <c r="K327" s="1693">
        <f t="shared" si="24"/>
        <v>108046</v>
      </c>
      <c r="L327" s="467">
        <v>159500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801860</v>
      </c>
      <c r="D330" s="1692">
        <f t="shared" ref="D330:J330" si="25">SUM(D319:D329)</f>
        <v>0</v>
      </c>
      <c r="E330" s="1692">
        <f t="shared" si="25"/>
        <v>216643</v>
      </c>
      <c r="F330" s="1692">
        <f t="shared" si="25"/>
        <v>0</v>
      </c>
      <c r="G330" s="1692">
        <f t="shared" si="25"/>
        <v>0</v>
      </c>
      <c r="H330" s="1692">
        <f t="shared" si="25"/>
        <v>0</v>
      </c>
      <c r="I330" s="1692">
        <f t="shared" si="25"/>
        <v>0</v>
      </c>
      <c r="J330" s="1692">
        <f t="shared" si="25"/>
        <v>0</v>
      </c>
      <c r="K330" s="1692">
        <f>SUM(K319:K329)</f>
        <v>1018503</v>
      </c>
      <c r="L330" s="1692">
        <f>SUM(L319:L329)</f>
        <v>1081360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801860</v>
      </c>
      <c r="D342" s="1692">
        <f>SUM(D330)</f>
        <v>0</v>
      </c>
      <c r="E342" s="1692">
        <f>SUM(E330)</f>
        <v>216643</v>
      </c>
      <c r="F342" s="1692">
        <f>SUM(F330)</f>
        <v>0</v>
      </c>
      <c r="G342" s="1692">
        <f>SUM(G330)</f>
        <v>0</v>
      </c>
      <c r="H342" s="1692">
        <f>SUM(H330,H334,H340)</f>
        <v>0</v>
      </c>
      <c r="I342" s="1692">
        <f>SUM(I330)</f>
        <v>0</v>
      </c>
      <c r="J342" s="1692">
        <f>SUM(J330)</f>
        <v>0</v>
      </c>
      <c r="K342" s="1692">
        <f>SUM(K330,K334,K340)</f>
        <v>1018503</v>
      </c>
      <c r="L342" s="1699">
        <f>SUM(L330,L340,L341)</f>
        <v>1081360</v>
      </c>
    </row>
    <row r="343" spans="1:14" ht="12.75" customHeight="1" thickTop="1" x14ac:dyDescent="0.2">
      <c r="A343" s="2202" t="s">
        <v>1053</v>
      </c>
      <c r="B343" s="2203"/>
      <c r="C343" s="617"/>
      <c r="D343" s="617"/>
      <c r="E343" s="617"/>
      <c r="F343" s="617"/>
      <c r="G343" s="617"/>
      <c r="H343" s="617"/>
      <c r="I343" s="617"/>
      <c r="J343" s="617"/>
      <c r="K343" s="1706">
        <f>'Revenues 9-14'!J275-'Expenditures 15-22'!K342</f>
        <v>345198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1023</v>
      </c>
      <c r="B345" s="219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77800</v>
      </c>
      <c r="F349" s="466"/>
      <c r="G349" s="466">
        <v>168057</v>
      </c>
      <c r="H349" s="466"/>
      <c r="I349" s="467"/>
      <c r="J349" s="467"/>
      <c r="K349" s="1693">
        <f>SUM(C349:J349)</f>
        <v>245857</v>
      </c>
      <c r="L349" s="466">
        <v>240000</v>
      </c>
    </row>
    <row r="350" spans="1:14" ht="12.75" customHeight="1" thickBot="1" x14ac:dyDescent="0.25">
      <c r="A350" s="1690" t="s">
        <v>743</v>
      </c>
      <c r="B350" s="1691" t="s">
        <v>35</v>
      </c>
      <c r="C350" s="1692">
        <f>SUM(C348:C349)</f>
        <v>0</v>
      </c>
      <c r="D350" s="1692">
        <f t="shared" ref="D350:L350" si="26">SUM(D348:D349)</f>
        <v>0</v>
      </c>
      <c r="E350" s="1692">
        <f t="shared" si="26"/>
        <v>77800</v>
      </c>
      <c r="F350" s="1692">
        <f t="shared" si="26"/>
        <v>0</v>
      </c>
      <c r="G350" s="1692">
        <f t="shared" si="26"/>
        <v>168057</v>
      </c>
      <c r="H350" s="1692">
        <f t="shared" si="26"/>
        <v>0</v>
      </c>
      <c r="I350" s="1692">
        <f t="shared" si="26"/>
        <v>0</v>
      </c>
      <c r="J350" s="1692">
        <f t="shared" si="26"/>
        <v>0</v>
      </c>
      <c r="K350" s="1692">
        <f t="shared" si="26"/>
        <v>245857</v>
      </c>
      <c r="L350" s="1692">
        <f t="shared" si="26"/>
        <v>240000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77800</v>
      </c>
      <c r="F352" s="1692">
        <f t="shared" si="27"/>
        <v>0</v>
      </c>
      <c r="G352" s="1692">
        <f t="shared" si="27"/>
        <v>168057</v>
      </c>
      <c r="H352" s="1692">
        <f t="shared" si="27"/>
        <v>0</v>
      </c>
      <c r="I352" s="1692">
        <f t="shared" si="27"/>
        <v>0</v>
      </c>
      <c r="J352" s="1692">
        <f t="shared" si="27"/>
        <v>0</v>
      </c>
      <c r="K352" s="1692">
        <f t="shared" si="27"/>
        <v>245857</v>
      </c>
      <c r="L352" s="1692">
        <f t="shared" si="27"/>
        <v>240000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77800</v>
      </c>
      <c r="F367" s="1692">
        <f t="shared" si="28"/>
        <v>0</v>
      </c>
      <c r="G367" s="1692">
        <f t="shared" si="28"/>
        <v>168057</v>
      </c>
      <c r="H367" s="1692">
        <f t="shared" si="28"/>
        <v>0</v>
      </c>
      <c r="I367" s="1692">
        <f t="shared" si="28"/>
        <v>0</v>
      </c>
      <c r="J367" s="1692">
        <f t="shared" si="28"/>
        <v>0</v>
      </c>
      <c r="K367" s="1692">
        <f t="shared" si="28"/>
        <v>245857</v>
      </c>
      <c r="L367" s="1692">
        <f t="shared" si="28"/>
        <v>240000</v>
      </c>
    </row>
    <row r="368" spans="1:14" ht="13.5" thickTop="1" x14ac:dyDescent="0.2">
      <c r="A368" s="2189" t="s">
        <v>1053</v>
      </c>
      <c r="B368" s="2190"/>
      <c r="C368" s="655"/>
      <c r="D368" s="655"/>
      <c r="E368" s="627"/>
      <c r="F368" s="627"/>
      <c r="G368" s="627"/>
      <c r="H368" s="627"/>
      <c r="I368" s="627"/>
      <c r="J368" s="624"/>
      <c r="K368" s="1693">
        <f>'Revenues 9-14'!K275-'Expenditures 15-22'!K367</f>
        <v>-106201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www.w3.org/XML/1998/namespace"/>
    <ds:schemaRef ds:uri="http://purl.org/dc/terms/"/>
    <ds:schemaRef ds:uri="http://schemas.microsoft.com/office/infopath/2007/PartnerControls"/>
    <ds:schemaRef ds:uri="http://schemas.microsoft.com/sharepoint/v3"/>
    <ds:schemaRef ds:uri="http://purl.org/dc/elements/1.1/"/>
    <ds:schemaRef ds:uri="http://schemas.openxmlformats.org/package/2006/metadata/core-properties"/>
    <ds:schemaRef ds:uri="6ce3111e-7420-4802-b50a-75d4e9a0b980"/>
    <ds:schemaRef ds:uri="http://schemas.microsoft.com/office/2006/documentManagement/types"/>
    <ds:schemaRef ds:uri="4d435f69-8686-490b-bd6d-b153bf22ab50"/>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2018-11-13T21:03:47Z</cp:lastPrinted>
  <dcterms:created xsi:type="dcterms:W3CDTF">2003-10-29T19:06:34Z</dcterms:created>
  <dcterms:modified xsi:type="dcterms:W3CDTF">2018-12-10T14:32:46Z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