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2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heet1" sheetId="184"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F136" i="34" s="1"/>
  <c r="C259" i="5"/>
  <c r="B7761" i="106"/>
  <c r="L127" i="29"/>
  <c r="L129" i="29" s="1"/>
  <c r="L139" i="29"/>
  <c r="L149" i="29"/>
  <c r="I7" i="145"/>
  <c r="I6" i="145"/>
  <c r="D78" i="36"/>
  <c r="K75" i="29"/>
  <c r="C14" i="4" s="1"/>
  <c r="B2558" i="106" s="1"/>
  <c r="D2558" i="106" s="1"/>
  <c r="K130" i="29"/>
  <c r="D14" i="4" s="1"/>
  <c r="B2570" i="106" s="1"/>
  <c r="D2570" i="106" s="1"/>
  <c r="K185" i="29"/>
  <c r="K122" i="29"/>
  <c r="F15" i="145" s="1"/>
  <c r="F19" i="145" s="1"/>
  <c r="K67" i="29"/>
  <c r="K64" i="29"/>
  <c r="F31" i="108" s="1"/>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B6997" i="106" s="1"/>
  <c r="D6997" i="106" s="1"/>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c r="B5118" i="106"/>
  <c r="D5118" i="106"/>
  <c r="B5119" i="106"/>
  <c r="D5119" i="106"/>
  <c r="B5122" i="106"/>
  <c r="D5122" i="106"/>
  <c r="B5123" i="106"/>
  <c r="D5123" i="106"/>
  <c r="B5124" i="106"/>
  <c r="D5124" i="106"/>
  <c r="B5126" i="106"/>
  <c r="D5126" i="106" s="1"/>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c r="B6733" i="106"/>
  <c r="D6733" i="106" s="1"/>
  <c r="B6734" i="106"/>
  <c r="D6734" i="106" s="1"/>
  <c r="B6735" i="106"/>
  <c r="D6735" i="106" s="1"/>
  <c r="B6736" i="106"/>
  <c r="D6736" i="106"/>
  <c r="B6737" i="106"/>
  <c r="D6737" i="106" s="1"/>
  <c r="B6738" i="106"/>
  <c r="D6738" i="106"/>
  <c r="B6739" i="106"/>
  <c r="D6739" i="106" s="1"/>
  <c r="B6740" i="106"/>
  <c r="D6740" i="106"/>
  <c r="B6741" i="106"/>
  <c r="D6741" i="106" s="1"/>
  <c r="B6742" i="106"/>
  <c r="D6742" i="106" s="1"/>
  <c r="B6743" i="106"/>
  <c r="D6743" i="106" s="1"/>
  <c r="B6744" i="106"/>
  <c r="D6744" i="106"/>
  <c r="B6745" i="106"/>
  <c r="D6745" i="106" s="1"/>
  <c r="B6746" i="106"/>
  <c r="D6746" i="106"/>
  <c r="B6747" i="106"/>
  <c r="D6747" i="106" s="1"/>
  <c r="B6748" i="106"/>
  <c r="D6748" i="106"/>
  <c r="B6749" i="106"/>
  <c r="D6749" i="106" s="1"/>
  <c r="B6750" i="106"/>
  <c r="D6750" i="106" s="1"/>
  <c r="B6751" i="106"/>
  <c r="D6751" i="106" s="1"/>
  <c r="B6752" i="106"/>
  <c r="D6752" i="106"/>
  <c r="B6753" i="106"/>
  <c r="D6753" i="106" s="1"/>
  <c r="B6754" i="106"/>
  <c r="D6754" i="106"/>
  <c r="B6755" i="106"/>
  <c r="D6755" i="106" s="1"/>
  <c r="B6756" i="106"/>
  <c r="D6756" i="106"/>
  <c r="B6757" i="106"/>
  <c r="D6757" i="106" s="1"/>
  <c r="B6758" i="106"/>
  <c r="D6758" i="106" s="1"/>
  <c r="B6759" i="106"/>
  <c r="D6759" i="106" s="1"/>
  <c r="B6760" i="106"/>
  <c r="D6760" i="106"/>
  <c r="B6761" i="106"/>
  <c r="D6761" i="106" s="1"/>
  <c r="B6762" i="106"/>
  <c r="D6762" i="106"/>
  <c r="B6763" i="106"/>
  <c r="D6763" i="106" s="1"/>
  <c r="B6764" i="106"/>
  <c r="D6764" i="106"/>
  <c r="B6765" i="106"/>
  <c r="D6765" i="106" s="1"/>
  <c r="B6766" i="106"/>
  <c r="D6766" i="106" s="1"/>
  <c r="B6767" i="106"/>
  <c r="D6767" i="106" s="1"/>
  <c r="B6768" i="106"/>
  <c r="D6768" i="106"/>
  <c r="B6769" i="106"/>
  <c r="D6769" i="106" s="1"/>
  <c r="B6770" i="106"/>
  <c r="D6770" i="106"/>
  <c r="B6771" i="106"/>
  <c r="D6771" i="106" s="1"/>
  <c r="B6772" i="106"/>
  <c r="D6772" i="106"/>
  <c r="B6773" i="106"/>
  <c r="D6773" i="106" s="1"/>
  <c r="B6774" i="106"/>
  <c r="D6774" i="106" s="1"/>
  <c r="B6775" i="106"/>
  <c r="D6775" i="106" s="1"/>
  <c r="B6776" i="106"/>
  <c r="D6776" i="106"/>
  <c r="B6777" i="106"/>
  <c r="D6777" i="106" s="1"/>
  <c r="B6778" i="106"/>
  <c r="D6778" i="106"/>
  <c r="B6779" i="106"/>
  <c r="D6779" i="106" s="1"/>
  <c r="B6780" i="106"/>
  <c r="D6780" i="106"/>
  <c r="B6781" i="106"/>
  <c r="D6781" i="106" s="1"/>
  <c r="B6782" i="106"/>
  <c r="D6782" i="106" s="1"/>
  <c r="B6783" i="106"/>
  <c r="D6783" i="106" s="1"/>
  <c r="B6784" i="106"/>
  <c r="D6784" i="106"/>
  <c r="B6785" i="106"/>
  <c r="D6785" i="106" s="1"/>
  <c r="B6786" i="106"/>
  <c r="D6786" i="106"/>
  <c r="B6787" i="106"/>
  <c r="D6787" i="106" s="1"/>
  <c r="B6788" i="106"/>
  <c r="D6788" i="106"/>
  <c r="B6789" i="106"/>
  <c r="D6789" i="106" s="1"/>
  <c r="B6790" i="106"/>
  <c r="D6790" i="106" s="1"/>
  <c r="B6791" i="106"/>
  <c r="D6791" i="106" s="1"/>
  <c r="B6792" i="106"/>
  <c r="D6792" i="106"/>
  <c r="B6793" i="106"/>
  <c r="D6793" i="106" s="1"/>
  <c r="B6794" i="106"/>
  <c r="D6794" i="106"/>
  <c r="B6795" i="106"/>
  <c r="D6795" i="106" s="1"/>
  <c r="B6796" i="106"/>
  <c r="D6796" i="106"/>
  <c r="B6797" i="106"/>
  <c r="D6797" i="106" s="1"/>
  <c r="B6798" i="106"/>
  <c r="D6798" i="106" s="1"/>
  <c r="B6799" i="106"/>
  <c r="D6799" i="106" s="1"/>
  <c r="B6800" i="106"/>
  <c r="D6800" i="106"/>
  <c r="B6801" i="106"/>
  <c r="D6801" i="106" s="1"/>
  <c r="B6802" i="106"/>
  <c r="D6802" i="106"/>
  <c r="B6803" i="106"/>
  <c r="D6803" i="106" s="1"/>
  <c r="B6804" i="106"/>
  <c r="D6804" i="106"/>
  <c r="B6805" i="106"/>
  <c r="D6805" i="106" s="1"/>
  <c r="B6806" i="106"/>
  <c r="D6806" i="106" s="1"/>
  <c r="B6807" i="106"/>
  <c r="D6807" i="106" s="1"/>
  <c r="B6808" i="106"/>
  <c r="D6808" i="106"/>
  <c r="B6809" i="106"/>
  <c r="D6809" i="106" s="1"/>
  <c r="B6810" i="106"/>
  <c r="D6810" i="106"/>
  <c r="B6811" i="106"/>
  <c r="D6811" i="106" s="1"/>
  <c r="B6812" i="106"/>
  <c r="D6812" i="106"/>
  <c r="B6813" i="106"/>
  <c r="D6813" i="106" s="1"/>
  <c r="B6814" i="106"/>
  <c r="D6814" i="106" s="1"/>
  <c r="B6815" i="106"/>
  <c r="D6815" i="106" s="1"/>
  <c r="B6816" i="106"/>
  <c r="D6816" i="106"/>
  <c r="B6817" i="106"/>
  <c r="D6817" i="106" s="1"/>
  <c r="B6818" i="106"/>
  <c r="D6818" i="106"/>
  <c r="B6819" i="106"/>
  <c r="D6819" i="106" s="1"/>
  <c r="B6820" i="106"/>
  <c r="D6820" i="106"/>
  <c r="B6821" i="106"/>
  <c r="D6821" i="106" s="1"/>
  <c r="B6822" i="106"/>
  <c r="D6822" i="106" s="1"/>
  <c r="B6823" i="106"/>
  <c r="D6823" i="106" s="1"/>
  <c r="B6824" i="106"/>
  <c r="D6824" i="106"/>
  <c r="B6825" i="106"/>
  <c r="D6825" i="106" s="1"/>
  <c r="B6826" i="106"/>
  <c r="D6826" i="106"/>
  <c r="B6827" i="106"/>
  <c r="D6827" i="106" s="1"/>
  <c r="B6828" i="106"/>
  <c r="D6828" i="106"/>
  <c r="B6829" i="106"/>
  <c r="D6829" i="106" s="1"/>
  <c r="B6830" i="106"/>
  <c r="D6830" i="106" s="1"/>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2" i="127"/>
  <c r="B63" i="127"/>
  <c r="E26" i="108"/>
  <c r="G26" i="108"/>
  <c r="D27" i="108"/>
  <c r="E27" i="108"/>
  <c r="F27" i="108"/>
  <c r="G27" i="108"/>
  <c r="F36" i="108"/>
  <c r="F37" i="108"/>
  <c r="G28" i="108"/>
  <c r="E30" i="108"/>
  <c r="G30"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C131" i="5"/>
  <c r="D131" i="5"/>
  <c r="B5369" i="106" s="1"/>
  <c r="D5369" i="106" s="1"/>
  <c r="B5614" i="106"/>
  <c r="D5614" i="106" s="1"/>
  <c r="C140" i="5"/>
  <c r="B5161" i="106" s="1"/>
  <c r="D5161" i="106" s="1"/>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B2633" i="106"/>
  <c r="D2633" i="106" s="1"/>
  <c r="D7" i="118"/>
  <c r="D8" i="118"/>
  <c r="D9" i="118"/>
  <c r="H14" i="118"/>
  <c r="H19" i="118"/>
  <c r="H24" i="118"/>
  <c r="H28" i="118"/>
  <c r="H33" i="118"/>
  <c r="D22" i="37"/>
  <c r="J22" i="37"/>
  <c r="L22" i="37"/>
  <c r="D24" i="37"/>
  <c r="B4270" i="106" s="1"/>
  <c r="D4270" i="106" s="1"/>
  <c r="L5" i="11"/>
  <c r="B2056" i="106" s="1"/>
  <c r="D2056" i="106" s="1"/>
  <c r="D4" i="7"/>
  <c r="B1760" i="106" s="1"/>
  <c r="D1760" i="106" s="1"/>
  <c r="F131" i="34"/>
  <c r="F130" i="34"/>
  <c r="B5847" i="106"/>
  <c r="D5847" i="106" s="1"/>
  <c r="K274" i="5"/>
  <c r="H173" i="5"/>
  <c r="B5906" i="106" s="1"/>
  <c r="D5906" i="106" s="1"/>
  <c r="H6" i="4"/>
  <c r="B2656" i="106" s="1"/>
  <c r="D2656" i="106" s="1"/>
  <c r="D12" i="7"/>
  <c r="B1769" i="106" s="1"/>
  <c r="D1769" i="106" s="1"/>
  <c r="D15" i="7"/>
  <c r="B1772" i="106" s="1"/>
  <c r="D1772" i="106" s="1"/>
  <c r="D11" i="37" l="1"/>
  <c r="B4268" i="106"/>
  <c r="D4268" i="106" s="1"/>
  <c r="H29" i="118"/>
  <c r="K28" i="118" s="1"/>
  <c r="O27" i="118" s="1"/>
  <c r="O29" i="118" s="1"/>
  <c r="N22" i="3"/>
  <c r="B283" i="106" s="1"/>
  <c r="D283" i="106" s="1"/>
  <c r="D68" i="36"/>
  <c r="L13" i="11"/>
  <c r="B2060" i="106" s="1"/>
  <c r="D2060" i="106" s="1"/>
  <c r="D52" i="36"/>
  <c r="E28" i="108"/>
  <c r="C342" i="29"/>
  <c r="B7216" i="106" s="1"/>
  <c r="D7216" i="106" s="1"/>
  <c r="G14" i="4"/>
  <c r="B2609" i="106" s="1"/>
  <c r="D2609" i="106" s="1"/>
  <c r="G210" i="29"/>
  <c r="B1365" i="106" s="1"/>
  <c r="D1365" i="106" s="1"/>
  <c r="F28" i="108"/>
  <c r="F41" i="108" s="1"/>
  <c r="G43" i="108" s="1"/>
  <c r="F35" i="34"/>
  <c r="F34" i="34"/>
  <c r="D11" i="7"/>
  <c r="B1768" i="106" s="1"/>
  <c r="D1768" i="106" s="1"/>
  <c r="F111" i="34"/>
  <c r="D7" i="7"/>
  <c r="B1763" i="106" s="1"/>
  <c r="D1763" i="106" s="1"/>
  <c r="D109" i="5"/>
  <c r="B5356" i="106" s="1"/>
  <c r="D5356" i="106" s="1"/>
  <c r="E109" i="5"/>
  <c r="E4" i="4" s="1"/>
  <c r="B2630" i="106" s="1"/>
  <c r="D2630" i="106" s="1"/>
  <c r="B4102" i="106"/>
  <c r="D4102" i="106" s="1"/>
  <c r="D17" i="7"/>
  <c r="B4104" i="106" s="1"/>
  <c r="D4104" i="106" s="1"/>
  <c r="B1745" i="106"/>
  <c r="D1745" i="106" s="1"/>
  <c r="D5" i="7"/>
  <c r="B1761" i="106" s="1"/>
  <c r="D1761" i="106" s="1"/>
  <c r="H109" i="5"/>
  <c r="C109" i="5"/>
  <c r="B5121" i="106" s="1"/>
  <c r="D5121" i="106" s="1"/>
  <c r="F128" i="34"/>
  <c r="B1746" i="106"/>
  <c r="D1746" i="106" s="1"/>
  <c r="D13" i="7"/>
  <c r="B3726" i="106" s="1"/>
  <c r="D3726" i="106" s="1"/>
  <c r="F127" i="34"/>
  <c r="B5147" i="106"/>
  <c r="D5147" i="106" s="1"/>
  <c r="C172" i="5"/>
  <c r="G109" i="5"/>
  <c r="F94" i="34"/>
  <c r="B5096" i="106"/>
  <c r="D5096" i="106" s="1"/>
  <c r="B7205" i="106"/>
  <c r="D7205" i="106" s="1"/>
  <c r="I342" i="29"/>
  <c r="B7222" i="106" s="1"/>
  <c r="D7222" i="106" s="1"/>
  <c r="B3170" i="106"/>
  <c r="D3170" i="106" s="1"/>
  <c r="H76" i="4"/>
  <c r="B3298" i="106" s="1"/>
  <c r="D3298" i="106" s="1"/>
  <c r="K184" i="29"/>
  <c r="F13" i="4" s="1"/>
  <c r="B2596" i="106" s="1"/>
  <c r="D2596" i="106" s="1"/>
  <c r="B4087" i="106"/>
  <c r="D4087" i="106" s="1"/>
  <c r="B1377" i="106"/>
  <c r="D1377" i="106" s="1"/>
  <c r="E29" i="108"/>
  <c r="G29" i="108"/>
  <c r="H149" i="29"/>
  <c r="B1272" i="106" s="1"/>
  <c r="D1272" i="106" s="1"/>
  <c r="B7047" i="106"/>
  <c r="D7047" i="106" s="1"/>
  <c r="B4173" i="106"/>
  <c r="D4173" i="106" s="1"/>
  <c r="D69" i="36"/>
  <c r="B1795" i="106"/>
  <c r="D1795" i="106" s="1"/>
  <c r="F19" i="7"/>
  <c r="B1807" i="106" s="1"/>
  <c r="D1807" i="106" s="1"/>
  <c r="E15" i="145"/>
  <c r="G15" i="145" s="1"/>
  <c r="F26" i="108"/>
  <c r="B1126" i="106"/>
  <c r="D1126" i="106" s="1"/>
  <c r="B2836" i="106"/>
  <c r="D2836" i="106" s="1"/>
  <c r="F14" i="4"/>
  <c r="B2597" i="106" s="1"/>
  <c r="D2597" i="106" s="1"/>
  <c r="D9" i="7"/>
  <c r="B1767" i="106" s="1"/>
  <c r="D1767" i="106" s="1"/>
  <c r="B7071" i="106"/>
  <c r="D7071" i="106" s="1"/>
  <c r="F66" i="34"/>
  <c r="B5304" i="106"/>
  <c r="D5304" i="106" s="1"/>
  <c r="B5752" i="106"/>
  <c r="D5752" i="106" s="1"/>
  <c r="G172" i="5"/>
  <c r="F106" i="34"/>
  <c r="B6006" i="106"/>
  <c r="D6006" i="106" s="1"/>
  <c r="K173" i="5"/>
  <c r="K6" i="4" s="1"/>
  <c r="B3570" i="106" s="1"/>
  <c r="D3570" i="106" s="1"/>
  <c r="F62" i="34"/>
  <c r="K26" i="12"/>
  <c r="B7743" i="106" s="1"/>
  <c r="D7743" i="106" s="1"/>
  <c r="B3658" i="106"/>
  <c r="D3658" i="106" s="1"/>
  <c r="H365" i="29"/>
  <c r="B3621" i="106"/>
  <c r="D3621" i="106" s="1"/>
  <c r="C367" i="29"/>
  <c r="F67" i="34"/>
  <c r="B7074" i="106"/>
  <c r="D7074" i="106" s="1"/>
  <c r="B3649" i="106"/>
  <c r="D3649" i="106" s="1"/>
  <c r="G367" i="29"/>
  <c r="F36" i="34"/>
  <c r="G39" i="108"/>
  <c r="B2805" i="106"/>
  <c r="D2805" i="106" s="1"/>
  <c r="B1223" i="106"/>
  <c r="D1223" i="106" s="1"/>
  <c r="B3670" i="106"/>
  <c r="D3670" i="106" s="1"/>
  <c r="K352" i="29"/>
  <c r="K13" i="4" s="1"/>
  <c r="B3572" i="106" s="1"/>
  <c r="D3572" i="106" s="1"/>
  <c r="B4395" i="106"/>
  <c r="D4395" i="106" s="1"/>
  <c r="J274" i="5"/>
  <c r="B7054" i="106" s="1"/>
  <c r="D7054" i="106" s="1"/>
  <c r="I173" i="5"/>
  <c r="B4216" i="106" s="1"/>
  <c r="D4216" i="106" s="1"/>
  <c r="L367" i="29"/>
  <c r="D31" i="108"/>
  <c r="D41" i="108" s="1"/>
  <c r="E43" i="108" s="1"/>
  <c r="B1995" i="106"/>
  <c r="D1995" i="106" s="1"/>
  <c r="I24" i="12"/>
  <c r="F21" i="8"/>
  <c r="B3689" i="106"/>
  <c r="D3689" i="106" s="1"/>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3447" i="106"/>
  <c r="D3447" i="106" s="1"/>
  <c r="B7270" i="106"/>
  <c r="L114" i="29" l="1"/>
  <c r="B5527" i="106"/>
  <c r="D5527" i="106" s="1"/>
  <c r="N23" i="3"/>
  <c r="B284" i="106" s="1"/>
  <c r="D284" i="106" s="1"/>
  <c r="L16" i="11"/>
  <c r="B2061" i="106" s="1"/>
  <c r="D2061" i="106" s="1"/>
  <c r="D44" i="36"/>
  <c r="F65" i="34"/>
  <c r="B1317" i="106"/>
  <c r="D1317" i="106" s="1"/>
  <c r="C114" i="29"/>
  <c r="B757" i="106" s="1"/>
  <c r="D757" i="106" s="1"/>
  <c r="F6" i="4"/>
  <c r="B2593" i="106" s="1"/>
  <c r="D2593" i="106" s="1"/>
  <c r="D4" i="4"/>
  <c r="C4" i="4"/>
  <c r="B2551" i="106" s="1"/>
  <c r="D2551" i="106" s="1"/>
  <c r="G173" i="5"/>
  <c r="B5770" i="106"/>
  <c r="D5770" i="106" s="1"/>
  <c r="B5214" i="106"/>
  <c r="D5214" i="106" s="1"/>
  <c r="C173" i="5"/>
  <c r="F274" i="5"/>
  <c r="F275" i="5" s="1"/>
  <c r="B5720" i="106" s="1"/>
  <c r="D5720" i="106" s="1"/>
  <c r="B1879" i="106"/>
  <c r="D1879" i="106" s="1"/>
  <c r="H22" i="37"/>
  <c r="H367" i="29"/>
  <c r="B3660" i="106" s="1"/>
  <c r="D3660" i="106" s="1"/>
  <c r="B7242" i="106"/>
  <c r="D7242" i="106" s="1"/>
  <c r="D19" i="7"/>
  <c r="B1775" i="106" s="1"/>
  <c r="D1775" i="106" s="1"/>
  <c r="H275" i="5"/>
  <c r="B5915" i="106" s="1"/>
  <c r="D5915" i="106" s="1"/>
  <c r="B1381" i="106"/>
  <c r="D1381" i="106" s="1"/>
  <c r="K342" i="29"/>
  <c r="F13" i="34" s="1"/>
  <c r="B1996" i="106"/>
  <c r="D1996" i="106" s="1"/>
  <c r="I26" i="12"/>
  <c r="B7741" i="106" s="1"/>
  <c r="D7741" i="106" s="1"/>
  <c r="B6014" i="106"/>
  <c r="D6014" i="106" s="1"/>
  <c r="F73" i="34"/>
  <c r="G15" i="4"/>
  <c r="B6032" i="106" s="1"/>
  <c r="D6032" i="106" s="1"/>
  <c r="B6024" i="106"/>
  <c r="D6024" i="106" s="1"/>
  <c r="G4" i="4"/>
  <c r="B2603" i="106" s="1"/>
  <c r="D2603" i="106" s="1"/>
  <c r="B6025" i="106"/>
  <c r="D6025" i="106" s="1"/>
  <c r="H4" i="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5507" i="106"/>
  <c r="D5507" i="106" s="1"/>
  <c r="B7298" i="106"/>
  <c r="B7299" i="106"/>
  <c r="B2564" i="106" l="1"/>
  <c r="D2564" i="106" s="1"/>
  <c r="B5778" i="106"/>
  <c r="D5778" i="106" s="1"/>
  <c r="G6" i="4"/>
  <c r="B2604" i="106" s="1"/>
  <c r="D2604" i="106" s="1"/>
  <c r="F7" i="4"/>
  <c r="B2594" i="106" s="1"/>
  <c r="D2594" i="106" s="1"/>
  <c r="G41" i="108"/>
  <c r="G44" i="108" s="1"/>
  <c r="G45" i="108" s="1"/>
  <c r="B5223" i="106"/>
  <c r="D5223" i="106" s="1"/>
  <c r="C6" i="4"/>
  <c r="B2553" i="106" s="1"/>
  <c r="D2553" i="106" s="1"/>
  <c r="B5719" i="106"/>
  <c r="D5719" i="106" s="1"/>
  <c r="J8" i="4"/>
  <c r="B6223" i="106" s="1"/>
  <c r="D6223" i="106" s="1"/>
  <c r="F8" i="4"/>
  <c r="F10" i="4" s="1"/>
  <c r="B4125" i="106" s="1"/>
  <c r="D4125" i="106" s="1"/>
  <c r="E41" i="108"/>
  <c r="E44" i="108" s="1"/>
  <c r="E45" i="108" s="1"/>
  <c r="B7224" i="106"/>
  <c r="D7224" i="106" s="1"/>
  <c r="J17" i="4"/>
  <c r="J19" i="4" s="1"/>
  <c r="B6229" i="106" s="1"/>
  <c r="D6229"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10" i="4" l="1"/>
  <c r="B6225" i="106" s="1"/>
  <c r="D6225" i="106" s="1"/>
  <c r="D8" i="146"/>
  <c r="J20" i="4"/>
  <c r="B6230" i="106" s="1"/>
  <c r="D6230" i="106" s="1"/>
  <c r="D10" i="171"/>
  <c r="D19" i="171" s="1"/>
  <c r="D32" i="171" s="1"/>
  <c r="D49" i="171" s="1"/>
  <c r="B6227" i="106"/>
  <c r="D6227" i="106" s="1"/>
  <c r="B2595" i="106"/>
  <c r="D2595" i="106" s="1"/>
  <c r="F76" i="34"/>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<sst xmlns="http://schemas.openxmlformats.org/spreadsheetml/2006/main" count="5075" uniqueCount="2132">
  <si>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</si>
  <si>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</si>
  <si>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</si>
  <si>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</si>
  <si>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</si>
  <si>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</si>
  <si>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</si>
  <si>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</si>
  <si>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</si>
  <si>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</si>
  <si>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</si>
  <si>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</si>
  <si>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</si>
  <si>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</si>
  <si>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</si>
  <si>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</si>
  <si>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</si>
  <si>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</si>
  <si>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</si>
  <si>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</si>
  <si>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</si>
  <si>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</si>
  <si>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</si>
  <si>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</si>
  <si>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</si>
  <si>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</si>
  <si>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</si>
  <si>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</si>
  <si>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</si>
  <si>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</si>
  <si>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</si>
  <si>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</si>
  <si>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</si>
  <si>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</si>
  <si>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</si>
  <si>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</si>
  <si>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</si>
  <si>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</si>
  <si>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</si>
  <si>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</si>
  <si>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</si>
  <si>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</si>
  <si>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</si>
  <si>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</si>
  <si>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</si>
  <si>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</si>
  <si>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</si>
  <si>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</si>
  <si>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</si>
  <si>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</si>
  <si>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</si>
  <si>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</si>
  <si>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</si>
  <si>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</si>
  <si>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</si>
  <si>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</si>
  <si>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</si>
  <si>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</si>
  <si>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</si>
  <si>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</si>
  <si>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</si>
  <si>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</si>
  <si>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</si>
  <si>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</si>
  <si>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</si>
  <si>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</si>
  <si>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</si>
  <si>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</si>
  <si>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</si>
  <si>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</si>
  <si>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</si>
  <si>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</si>
  <si>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</si>
  <si>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</si>
  <si>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</si>
  <si>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</si>
  <si>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</si>
  <si>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</si>
  <si>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</si>
  <si>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</si>
  <si>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</si>
  <si>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</si>
  <si>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</si>
  <si>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</si>
  <si>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</si>
  <si>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</si>
  <si>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</si>
  <si>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</si>
  <si>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</si>
  <si>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</si>
  <si>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</si>
  <si>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</si>
  <si>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</si>
  <si>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</si>
  <si>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</si>
  <si>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</si>
  <si>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</si>
  <si>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</si>
  <si>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</si>
  <si>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</si>
  <si>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</si>
  <si>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</si>
  <si>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</si>
  <si>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</si>
  <si>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</si>
  <si>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</si>
  <si>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</si>
  <si>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</si>
  <si>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</si>
  <si>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</si>
  <si>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</si>
  <si>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</si>
  <si>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</si>
  <si>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</si>
  <si>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</si>
  <si>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</si>
  <si>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</si>
  <si>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</si>
  <si>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</si>
  <si>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</si>
  <si>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</si>
  <si>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</si>
  <si>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</si>
  <si>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</si>
  <si>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</si>
  <si>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</si>
  <si>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</si>
  <si>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</si>
  <si>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</si>
  <si>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</si>
  <si>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</si>
  <si>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</si>
  <si>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</si>
  <si>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</si>
  <si>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</si>
  <si>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</si>
  <si>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</si>
  <si>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</si>
  <si>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</si>
  <si>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</si>
  <si>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</si>
  <si>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</si>
  <si>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</si>
  <si>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</si>
  <si>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</si>
  <si>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</si>
  <si>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</si>
  <si>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</si>
  <si>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</si>
  <si>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</si>
  <si>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</si>
  <si>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</si>
  <si>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</si>
  <si>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</si>
  <si>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</si>
  <si>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</si>
  <si>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</si>
  <si>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</si>
  <si>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</si>
  <si>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</si>
  <si>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</si>
  <si>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</si>
  <si>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</si>
  <si>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</si>
  <si>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</si>
  <si>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</si>
  <si>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</si>
  <si>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</si>
  <si>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</si>
  <si>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</si>
  <si>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</si>
  <si>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</si>
  <si>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</si>
  <si>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</si>
  <si>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</si>
  <si>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</si>
  <si>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</si>
  <si>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</si>
  <si>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</si>
  <si>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</si>
  <si>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</si>
  <si>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</si>
  <si>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</si>
  <si>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</si>
  <si>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</si>
  <si>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</si>
  <si>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</si>
  <si>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</si>
  <si>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</si>
  <si>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</si>
  <si>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</si>
  <si>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</si>
  <si>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</si>
  <si>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</si>
  <si>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</si>
  <si>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</si>
  <si>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</si>
  <si>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</si>
  <si>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</si>
  <si>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</si>
  <si>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</si>
  <si>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</si>
  <si>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</si>
  <si>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</si>
  <si>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</si>
  <si>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</si>
  <si>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</si>
  <si>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</si>
  <si>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</si>
  <si>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</si>
  <si>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</si>
  <si>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</si>
  <si>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</si>
  <si>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</si>
  <si>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</si>
  <si>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</si>
  <si>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</si>
  <si>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</si>
  <si>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</si>
  <si>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</si>
  <si>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</si>
  <si>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</si>
  <si>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</si>
  <si>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</si>
  <si>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</si>
  <si>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</si>
  <si>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</si>
  <si>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</si>
  <si>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</si>
  <si>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</si>
  <si>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</si>
  <si>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</si>
  <si>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</si>
  <si>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</si>
  <si>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</si>
  <si>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</si>
  <si>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</si>
  <si>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</si>
  <si>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</si>
  <si>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</si>
  <si>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</si>
  <si>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</si>
  <si>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</si>
  <si>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</si>
  <si>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</si>
  <si>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</si>
  <si>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</si>
  <si>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</si>
  <si>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</si>
  <si>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</si>
  <si>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</si>
  <si>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</si>
  <si>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</si>
  <si>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</si>
  <si>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</si>
  <si>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</si>
  <si>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</si>
  <si>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</si>
  <si>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</si>
  <si>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</si>
  <si>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</si>
  <si>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</si>
  <si>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</si>
  <si>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</si>
  <si>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</si>
  <si>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</si>
  <si>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</si>
  <si>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</si>
  <si>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</si>
  <si>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</si>
  <si>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</si>
  <si>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</si>
  <si>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</si>
  <si>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</si>
  <si>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</si>
  <si>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</si>
  <si>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</si>
  <si>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</si>
  <si>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</si>
  <si>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</si>
  <si>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</si>
  <si>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</si>
  <si>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</si>
  <si>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</si>
  <si>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</si>
  <si>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</si>
  <si>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</si>
  <si>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</si>
  <si>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</si>
  <si>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</si>
  <si>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</si>
  <si>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</si>
  <si>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</si>
  <si>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</si>
  <si>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</si>
  <si>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</si>
  <si>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</si>
  <si>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</si>
  <si>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</si>
  <si>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</si>
  <si>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</si>
  <si>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</si>
  <si>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</si>
  <si>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</si>
  <si>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</si>
  <si>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</si>
  <si>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</si>
  <si>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</si>
  <si>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</si>
  <si>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</si>
  <si>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</si>
  <si>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</si>
  <si>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</si>
  <si>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</si>
  <si>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</si>
  <si>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</si>
  <si>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</si>
  <si>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</si>
  <si>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</si>
  <si>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</si>
  <si>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</si>
  <si>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</si>
  <si>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</si>
  <si>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</si>
  <si>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</si>
  <si>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</si>
  <si>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</si>
  <si>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</si>
  <si>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</si>
  <si>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</si>
  <si>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</si>
  <si>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</si>
  <si>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</si>
  <si>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</si>
  <si>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</si>
  <si>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</si>
  <si>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</si>
  <si>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</si>
  <si>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</si>
  <si>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</si>
  <si>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</si>
  <si>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</si>
  <si>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</si>
  <si>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</si>
  <si>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</si>
  <si>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</si>
  <si>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</si>
  <si>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</si>
  <si>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</si>
  <si>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</si>
  <si>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</si>
  <si>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</si>
  <si>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</si>
  <si>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</si>
  <si>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</si>
  <si>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</si>
  <si>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</si>
  <si>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</si>
  <si>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</si>
  <si>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</si>
  <si>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</si>
  <si>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</si>
  <si>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</si>
  <si>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</si>
  <si>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</si>
  <si>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</si>
  <si>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</si>
  <si>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</si>
  <si>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</si>
  <si>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</si>
  <si>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</si>
  <si>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</si>
  <si>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</si>
  <si>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</si>
  <si>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</si>
  <si>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</si>
  <si>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</si>
  <si>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</si>
  <si>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</si>
  <si>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</si>
  <si>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</si>
  <si>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</si>
  <si>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</si>
  <si>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</si>
  <si>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</si>
  <si>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</si>
  <si>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</si>
  <si>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</si>
  <si>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</si>
  <si>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</si>
  <si>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</si>
  <si>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</si>
  <si>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</si>
  <si>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</si>
  <si>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</si>
  <si>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</si>
  <si>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</si>
  <si>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</si>
  <si>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</si>
  <si>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</si>
  <si>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</si>
  <si>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</si>
  <si>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</si>
  <si>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</si>
  <si>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</si>
  <si>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</si>
  <si>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</si>
  <si>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</si>
  <si>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</si>
  <si>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</si>
  <si>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</si>
  <si>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</si>
  <si>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</si>
  <si>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</si>
  <si>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</si>
  <si>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</si>
  <si>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</si>
  <si>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</si>
  <si>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</si>
  <si>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</si>
  <si>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</si>
  <si>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</si>
  <si>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</si>
  <si>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</si>
  <si>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</si>
  <si>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</si>
  <si>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</si>
  <si>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</si>
  <si>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</si>
  <si>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</si>
  <si>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</si>
  <si>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</si>
  <si>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</si>
  <si>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</si>
  <si>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</si>
  <si>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</si>
  <si>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</si>
  <si>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</si>
  <si>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</si>
  <si>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</si>
  <si>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</si>
  <si>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</si>
  <si>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</si>
  <si>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</si>
  <si>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</si>
  <si>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</si>
  <si>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</si>
  <si>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</si>
  <si>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</si>
  <si>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</si>
  <si>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</si>
  <si>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</si>
  <si>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</si>
  <si>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</si>
  <si>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</si>
  <si>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</si>
  <si>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</si>
  <si>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</si>
  <si>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</si>
  <si>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</si>
  <si>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</si>
  <si>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</si>
  <si>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</si>
  <si>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</si>
  <si>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</si>
  <si>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</si>
  <si>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</si>
  <si>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</si>
  <si>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</si>
  <si>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</si>
  <si>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</si>
  <si>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</si>
  <si>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</si>
  <si>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</si>
  <si>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</si>
  <si>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</si>
  <si>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</si>
  <si>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</si>
  <si>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</si>
  <si>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</si>
  <si>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</si>
  <si>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</si>
  <si>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</si>
  <si>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</si>
  <si>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</si>
  <si>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</si>
  <si>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</si>
  <si>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</si>
  <si>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</si>
  <si>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</si>
  <si>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</si>
  <si>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</si>
  <si>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</si>
  <si>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</si>
  <si>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</si>
  <si>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</si>
  <si>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</si>
  <si>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</si>
  <si>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</si>
  <si>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</si>
  <si>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</si>
  <si>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</si>
  <si>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</si>
  <si>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</si>
  <si>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</si>
  <si>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</si>
  <si>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</si>
  <si>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</si>
  <si>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</si>
  <si>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</si>
  <si>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</si>
  <si>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</si>
  <si>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</si>
  <si>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</si>
  <si>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</si>
  <si>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</si>
  <si>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</si>
  <si>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</si>
  <si>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</si>
  <si>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</si>
  <si>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</si>
  <si>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</si>
  <si>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</si>
  <si>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</si>
  <si>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</si>
  <si>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</si>
  <si>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</si>
  <si>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</si>
  <si>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</si>
  <si>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</si>
  <si>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</si>
  <si>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</si>
  <si>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</si>
  <si>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</si>
  <si>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</si>
  <si>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</si>
  <si>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</si>
  <si>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</si>
  <si>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</si>
  <si>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</si>
  <si>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</si>
  <si>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</si>
  <si>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</si>
  <si>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</si>
  <si>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</si>
  <si>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</si>
  <si>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</si>
  <si>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</si>
  <si>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</si>
  <si>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</si>
  <si>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</si>
  <si>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</si>
  <si>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</si>
  <si>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</si>
  <si>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</si>
  <si>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</si>
  <si>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</si>
  <si>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</si>
  <si>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</si>
  <si>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</si>
  <si>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</si>
  <si>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</si>
  <si>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</si>
  <si>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</si>
  <si>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</si>
  <si>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</si>
  <si>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</si>
  <si>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</si>
  <si>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</si>
  <si>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</si>
  <si>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</si>
  <si>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</si>
  <si>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</si>
  <si>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</si>
  <si>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</si>
  <si>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</si>
  <si>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</si>
  <si>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</si>
  <si>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</si>
  <si>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</si>
  <si>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</si>
  <si>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</si>
  <si>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</si>
  <si>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</si>
  <si>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</si>
  <si>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</si>
  <si>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</si>
  <si>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</si>
  <si>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</si>
  <si>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</si>
  <si>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</si>
  <si>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</si>
  <si>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</si>
  <si>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</si>
  <si>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</si>
  <si>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</si>
  <si>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</si>
  <si>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</si>
  <si>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</si>
  <si>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</si>
  <si>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</si>
  <si>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</si>
  <si>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</si>
  <si>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</si>
  <si>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</si>
  <si>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</si>
  <si>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</si>
  <si>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</si>
  <si>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</si>
  <si>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</si>
  <si>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</si>
  <si>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</si>
  <si>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</si>
  <si>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</si>
  <si>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</si>
  <si>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</si>
  <si>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</si>
  <si>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</si>
  <si>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</si>
  <si>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</si>
  <si>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</si>
  <si>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</si>
  <si>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</si>
  <si>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</si>
  <si>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</si>
  <si>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</si>
  <si>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</si>
  <si>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</si>
  <si>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</si>
  <si>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</si>
  <si>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</si>
  <si>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</si>
  <si>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</si>
  <si>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</si>
  <si>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</si>
  <si>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</si>
  <si>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</si>
  <si>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</si>
  <si>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</si>
  <si>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</si>
  <si>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</si>
  <si>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</si>
  <si>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</si>
  <si>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</si>
  <si>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</si>
  <si>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</si>
  <si>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</si>
  <si>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</si>
  <si>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</si>
  <si>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</si>
  <si>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</si>
  <si>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</si>
  <si>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</si>
  <si>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</si>
  <si>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</si>
  <si>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</si>
  <si>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</si>
  <si>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</si>
  <si>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</si>
  <si>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</si>
  <si>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</si>
  <si>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</si>
  <si>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</si>
  <si>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</si>
  <si>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</si>
  <si>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</si>
  <si>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</si>
  <si>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</si>
  <si>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</si>
  <si>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</si>
  <si>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</si>
  <si>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</si>
  <si>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</si>
  <si>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</si>
  <si>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</si>
  <si>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</si>
  <si>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</si>
  <si>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</si>
  <si>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</si>
  <si>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</si>
  <si>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</si>
  <si>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</si>
  <si>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</si>
  <si>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</si>
  <si>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</si>
  <si>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</si>
  <si>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</si>
  <si>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</si>
  <si>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</si>
  <si>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</si>
  <si>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</si>
  <si>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</si>
  <si>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</si>
  <si>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</si>
  <si>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</si>
  <si>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</si>
  <si>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</si>
  <si>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</si>
  <si>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</si>
  <si>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</si>
  <si>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</si>
  <si>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</si>
  <si>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</si>
  <si>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</si>
  <si>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</si>
  <si>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</si>
  <si>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</si>
  <si>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</si>
  <si>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</si>
  <si>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</si>
  <si>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</si>
  <si>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</si>
  <si>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</si>
  <si>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</si>
  <si>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</si>
  <si>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</si>
  <si>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</si>
  <si>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</si>
  <si>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</si>
  <si>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</si>
  <si>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</si>
  <si>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</si>
  <si>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</si>
  <si>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</si>
  <si>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</si>
  <si>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</si>
  <si>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</si>
  <si>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</si>
  <si>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</si>
  <si>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</si>
  <si>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</si>
  <si>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</si>
  <si>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</si>
  <si>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</si>
  <si>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</si>
  <si>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</si>
  <si>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</si>
  <si>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</si>
  <si>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</si>
  <si>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</si>
  <si>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</si>
  <si>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</si>
  <si>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</si>
  <si>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</si>
  <si>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</si>
  <si>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</si>
  <si>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</si>
  <si>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</si>
  <si>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</si>
  <si>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</si>
  <si>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</si>
  <si>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</si>
  <si>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</si>
  <si>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</si>
  <si>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</si>
  <si>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</si>
  <si>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</si>
  <si>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</si>
  <si>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</si>
  <si>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</si>
  <si>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</si>
  <si>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</si>
  <si>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</si>
  <si>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</si>
  <si>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</si>
  <si>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</si>
  <si>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</si>
  <si>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</si>
  <si>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</si>
  <si>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</si>
  <si>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</si>
  <si>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</si>
  <si>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</si>
  <si>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</si>
  <si>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</si>
  <si>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</si>
  <si>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</si>
  <si>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</si>
  <si>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</si>
  <si>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</si>
  <si>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</si>
  <si>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</si>
  <si>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</si>
  <si>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</si>
  <si>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</si>
  <si>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</si>
  <si>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</si>
  <si>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</si>
  <si>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</si>
  <si>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</si>
  <si>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</si>
  <si>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</si>
  <si>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</si>
  <si>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</si>
  <si>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</si>
  <si>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</si>
  <si>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</si>
  <si>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</si>
  <si>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</si>
  <si>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</si>
  <si>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</si>
  <si>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</si>
  <si>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</si>
  <si>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</si>
  <si>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</si>
  <si>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</si>
  <si>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</si>
  <si>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</si>
  <si>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</si>
  <si>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</si>
  <si>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</si>
  <si>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</si>
  <si>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</si>
  <si>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</si>
  <si>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</si>
  <si>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</si>
  <si>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</si>
  <si>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</si>
  <si>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</si>
  <si>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</si>
  <si>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</si>
  <si>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</si>
  <si>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</si>
  <si>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</si>
  <si>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</si>
  <si>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</si>
  <si>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</si>
  <si>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</si>
  <si>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</si>
  <si>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</si>
  <si>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</si>
  <si>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</si>
  <si>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</si>
  <si>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</si>
  <si>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</si>
  <si>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</si>
  <si>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</si>
  <si>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</si>
  <si>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</si>
  <si>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</si>
  <si>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</si>
  <si>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</si>
  <si>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</si>
  <si>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</si>
  <si>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</si>
  <si>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</si>
  <si>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</si>
  <si>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</si>
  <si>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</si>
  <si>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</si>
  <si>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</si>
  <si>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</si>
  <si>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</si>
  <si>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</si>
  <si>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</si>
  <si>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</si>
  <si>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</si>
  <si>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</si>
  <si>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</si>
  <si>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</si>
  <si>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</si>
  <si>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</si>
  <si>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</si>
  <si>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</si>
  <si>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</si>
  <si>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</si>
  <si>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</si>
  <si>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</si>
  <si>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</si>
  <si>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</si>
  <si>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</si>
  <si>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</si>
  <si>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</si>
  <si>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</si>
  <si>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</si>
  <si>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</si>
  <si>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</si>
  <si>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</si>
  <si>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</si>
  <si>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</si>
  <si>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</si>
  <si>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</si>
  <si>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</si>
  <si>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</si>
  <si>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</si>
  <si>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</si>
  <si>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</si>
  <si>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</si>
  <si>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</si>
  <si>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</si>
  <si>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</si>
  <si>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</si>
  <si>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</si>
  <si>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</si>
  <si>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</si>
  <si>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</si>
  <si>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</si>
  <si>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</si>
  <si>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</si>
  <si>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</si>
  <si>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</si>
  <si>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</si>
  <si>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</si>
  <si>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</si>
  <si>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</si>
  <si>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</si>
  <si>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</si>
  <si>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</si>
  <si>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</si>
  <si>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</si>
  <si>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</si>
  <si>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</si>
  <si>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</si>
  <si>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</si>
  <si>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</si>
  <si>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</si>
  <si>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</si>
  <si>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</si>
  <si>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</si>
  <si>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</si>
  <si>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</si>
  <si>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</si>
  <si>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</si>
  <si>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</si>
  <si>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</si>
  <si>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</si>
  <si>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</si>
  <si>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</si>
  <si>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</si>
  <si>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</si>
  <si>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</si>
  <si>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</si>
  <si>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</si>
  <si>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</si>
  <si>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</si>
  <si>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</si>
  <si>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</si>
  <si>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</si>
  <si>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</si>
  <si>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</si>
  <si>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</si>
  <si>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</si>
  <si>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</si>
  <si>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</si>
  <si>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</si>
  <si>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</si>
  <si>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</si>
  <si>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</si>
  <si>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</si>
  <si>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</si>
  <si>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</si>
  <si>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</si>
  <si>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</si>
  <si>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</si>
  <si>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</si>
  <si>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</si>
  <si>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</si>
  <si>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</si>
  <si>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</si>
  <si>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</si>
  <si>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</si>
  <si>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</si>
  <si>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</si>
  <si>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</si>
  <si>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</si>
  <si>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</si>
  <si>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</si>
  <si>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</si>
  <si>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</si>
  <si>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</si>
  <si>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</si>
  <si>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</si>
  <si>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</si>
  <si>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</si>
  <si>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</si>
  <si>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</si>
  <si>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</si>
  <si>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</si>
  <si>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</si>
  <si>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</si>
  <si>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</si>
  <si>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</si>
  <si>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</si>
  <si>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</si>
  <si>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</si>
  <si>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</si>
  <si>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</si>
  <si>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</si>
  <si>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</si>
  <si>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</si>
  <si>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</si>
  <si>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</si>
  <si>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</si>
  <si>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</si>
  <si>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</si>
  <si>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</si>
  <si>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</si>
  <si>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</si>
  <si>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</si>
  <si>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</si>
  <si>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</si>
  <si>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</si>
  <si>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</si>
  <si>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</si>
  <si>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</si>
  <si>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</si>
  <si>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</si>
  <si>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</si>
  <si>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</si>
  <si>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</si>
  <si>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</si>
  <si>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</si>
  <si>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</si>
  <si>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</si>
  <si>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</si>
  <si>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</si>
  <si>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</si>
  <si>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</si>
  <si>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</si>
  <si>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</si>
  <si>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</si>
  <si>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</si>
  <si>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</si>
  <si>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</si>
  <si>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</si>
  <si>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</si>
  <si>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</si>
  <si>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</si>
  <si>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</si>
  <si>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</si>
  <si>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</si>
  <si>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</si>
  <si>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</si>
  <si>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</si>
  <si>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</si>
  <si>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</si>
  <si>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</si>
  <si>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</si>
  <si>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</si>
  <si>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</si>
  <si>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</si>
  <si>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</si>
  <si>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</si>
  <si>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</si>
  <si>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</si>
  <si>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</si>
  <si>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</si>
  <si>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</si>
  <si>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</si>
  <si>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</si>
  <si>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</si>
  <si>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</si>
  <si>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</si>
  <si>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</si>
  <si>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</si>
  <si>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</si>
  <si>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</si>
  <si>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</si>
  <si>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</si>
  <si>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</si>
  <si>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</si>
  <si>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</si>
  <si>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</si>
  <si>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</si>
  <si>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</si>
  <si>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</si>
  <si>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</si>
  <si>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</si>
  <si>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</si>
  <si>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</si>
  <si>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</si>
  <si>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</si>
  <si>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</si>
  <si>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</si>
  <si>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</si>
  <si>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</si>
  <si>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</si>
  <si>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</si>
  <si>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</si>
  <si>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</si>
  <si>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</si>
  <si>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</si>
  <si>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</si>
  <si>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</si>
  <si>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</si>
  <si>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</si>
  <si>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</si>
  <si>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</si>
  <si>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</si>
  <si>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</si>
  <si>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</si>
  <si>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</si>
  <si>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</si>
  <si>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</si>
  <si>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</si>
  <si>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</si>
  <si>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</si>
  <si>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</si>
  <si>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</si>
  <si>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</si>
  <si>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</si>
  <si>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</si>
  <si>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</si>
  <si>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</si>
  <si>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</si>
  <si>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</si>
  <si>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</si>
  <si>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</si>
  <si>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</si>
  <si>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</si>
  <si>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</si>
  <si>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</si>
  <si>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</si>
  <si>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</si>
  <si>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</si>
  <si>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</si>
  <si>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</si>
  <si>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</si>
  <si>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</si>
  <si>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</si>
  <si>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</si>
  <si>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</si>
  <si>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</si>
  <si>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</si>
  <si>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</si>
  <si>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</si>
  <si>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</si>
  <si>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</si>
  <si>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</si>
  <si>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</si>
  <si>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</si>
  <si>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</si>
  <si>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</si>
  <si>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</si>
  <si>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</si>
  <si>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</si>
  <si>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</si>
  <si>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</si>
  <si>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</si>
  <si>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</si>
  <si>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</si>
  <si>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</si>
  <si>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</si>
  <si>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</si>
  <si>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</si>
  <si>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</si>
  <si>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</si>
  <si>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</si>
  <si>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</si>
  <si>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</si>
  <si>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</si>
  <si>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</si>
  <si>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</si>
  <si>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</si>
  <si>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</si>
  <si>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</si>
  <si>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</si>
  <si>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</si>
  <si>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</si>
  <si>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</si>
  <si>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</si>
  <si>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</si>
  <si>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</si>
  <si>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</si>
  <si>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</si>
  <si>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</si>
  <si>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</si>
  <si>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</si>
  <si>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</si>
  <si>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</si>
  <si>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</si>
  <si>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</si>
  <si>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</si>
  <si>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</si>
  <si>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</si>
  <si>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</si>
  <si>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</si>
  <si>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</si>
  <si>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</si>
  <si>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</si>
  <si>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</si>
  <si>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</si>
  <si>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</si>
  <si>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</si>
  <si>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</si>
  <si>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</si>
  <si>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</si>
  <si>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</si>
  <si>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</si>
  <si>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</si>
  <si>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</si>
  <si>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</si>
  <si>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</si>
  <si>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</si>
  <si>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</si>
  <si>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</si>
  <si>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</si>
  <si>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</si>
  <si>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</si>
  <si>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</si>
  <si>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</si>
  <si>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</si>
  <si>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</si>
  <si>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</si>
  <si>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</si>
  <si>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</si>
  <si>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</si>
  <si>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</si>
  <si>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</si>
  <si>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</si>
  <si>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</si>
  <si>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</si>
  <si>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</si>
  <si>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</si>
  <si>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</si>
  <si>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</si>
  <si>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</si>
  <si>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</si>
  <si>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</si>
  <si>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</si>
  <si>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</si>
  <si>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</si>
  <si>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</si>
  <si>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</si>
  <si>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</si>
  <si>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</si>
  <si>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</si>
  <si>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</si>
  <si>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</si>
  <si>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</si>
  <si>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</si>
  <si>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</si>
  <si>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</si>
  <si>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</si>
  <si>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</si>
  <si>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</si>
  <si>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</si>
  <si>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</si>
  <si>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</si>
  <si>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</si>
  <si>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</si>
  <si>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</si>
  <si>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</si>
  <si>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</si>
  <si>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</si>
  <si>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</si>
  <si>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</si>
  <si>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</si>
  <si>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</si>
  <si>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</si>
  <si>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</si>
  <si>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</si>
  <si>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</si>
  <si>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</si>
  <si>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</si>
  <si>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</si>
  <si>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</si>
  <si>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</si>
  <si>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</si>
  <si>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</si>
  <si>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</si>
  <si>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</si>
  <si>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</si>
  <si>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</si>
  <si>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</si>
  <si>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</si>
  <si>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</si>
  <si>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</si>
  <si>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</si>
  <si>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</si>
  <si>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</si>
  <si>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</si>
  <si>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</si>
  <si>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</si>
  <si>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</si>
  <si>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</si>
  <si>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</si>
  <si>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</si>
  <si>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</si>
  <si>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</si>
  <si>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</si>
  <si>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</si>
  <si>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</si>
  <si>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</si>
  <si>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</si>
  <si>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</si>
  <si>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</si>
  <si>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</si>
  <si>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</si>
  <si>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</si>
  <si>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</si>
  <si>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</si>
  <si>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</si>
  <si>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</si>
  <si>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</si>
  <si>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</si>
  <si>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</si>
  <si>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</si>
  <si>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</si>
  <si>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</si>
  <si>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</si>
  <si>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</si>
  <si>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</si>
  <si>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</si>
  <si>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</si>
  <si>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</si>
  <si>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</si>
  <si>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</si>
  <si>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</si>
  <si>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</si>
  <si>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</si>
  <si>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</si>
  <si>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</si>
  <si>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</si>
  <si>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</si>
  <si>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</si>
  <si>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</si>
  <si>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</si>
  <si>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</si>
  <si>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</si>
  <si>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</si>
  <si>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</si>
  <si>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</si>
  <si>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</si>
  <si>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</si>
  <si>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</si>
  <si>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</si>
  <si>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</si>
  <si>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</si>
  <si>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</si>
  <si>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</si>
  <si>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</si>
  <si>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</si>
  <si>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</si>
  <si>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</si>
  <si>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</si>
  <si>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</si>
  <si>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</si>
  <si>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</si>
  <si>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</si>
  <si>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</si>
  <si>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</si>
  <si>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</si>
  <si>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</si>
  <si>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</si>
  <si>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</si>
  <si>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</si>
  <si>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</si>
  <si>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</si>
  <si>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</si>
  <si>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</si>
  <si>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</si>
  <si>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</si>
  <si>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</si>
  <si>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</si>
  <si>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</si>
  <si>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</si>
  <si>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</si>
  <si>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</si>
  <si>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</si>
  <si>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</si>
  <si>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</si>
  <si>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</si>
  <si>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</si>
  <si>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</si>
  <si>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</si>
  <si>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</si>
  <si>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</si>
  <si>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</si>
  <si>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</si>
  <si>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</si>
  <si>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</si>
  <si>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</si>
  <si>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</si>
  <si>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</si>
  <si>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</si>
  <si>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</si>
  <si>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</si>
  <si>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</si>
  <si>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</si>
  <si>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</si>
  <si>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</si>
  <si>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</si>
  <si>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</si>
  <si>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</si>
  <si>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</si>
  <si>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</si>
  <si>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</si>
  <si>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</si>
  <si>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</si>
  <si>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</si>
  <si>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</si>
  <si>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</si>
  <si>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</si>
  <si>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</si>
  <si>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</si>
  <si>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</si>
  <si>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</si>
  <si>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</si>
  <si>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</si>
  <si>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</si>
  <si>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</si>
  <si>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</si>
  <si>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</si>
  <si>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</si>
  <si>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</si>
  <si>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</si>
  <si>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</si>
  <si>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</si>
  <si>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</si>
  <si>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</si>
  <si>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</si>
  <si>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</si>
  <si>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</si>
  <si>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</si>
  <si>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</si>
  <si>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</si>
  <si>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</si>
  <si>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</si>
  <si>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</si>
  <si>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</si>
  <si>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</si>
  <si>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</si>
  <si>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</si>
  <si>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</si>
  <si>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</si>
  <si>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</si>
  <si>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</si>
  <si>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</si>
  <si>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</si>
  <si>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</si>
  <si>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</si>
  <si>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</si>
  <si>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</si>
  <si>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</si>
  <si>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</si>
  <si>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</si>
  <si>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</si>
  <si>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</si>
  <si>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</si>
  <si>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</si>
  <si>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</si>
  <si>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</si>
  <si>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</si>
  <si>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</si>
  <si>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</si>
  <si>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</si>
  <si>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</si>
  <si>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</si>
  <si>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</si>
  <si>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</si>
  <si>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</si>
  <si>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</si>
  <si>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</si>
  <si>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</si>
  <si>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</si>
  <si>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</si>
  <si>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</si>
  <si>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</si>
  <si>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</si>
  <si>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</si>
  <si>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</si>
  <si>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</si>
  <si>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</si>
  <si>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</si>
  <si>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</si>
  <si>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</si>
  <si>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</si>
  <si>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</si>
  <si>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</si>
  <si>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</si>
  <si>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</si>
  <si>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</si>
  <si>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</si>
  <si>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</si>
  <si>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</si>
  <si>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</si>
  <si>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</si>
  <si>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</si>
  <si>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</si>
  <si>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</si>
  <si>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</si>
  <si>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</si>
  <si>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</si>
  <si>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</si>
  <si>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</si>
  <si>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</si>
  <si>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</si>
  <si>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</si>
  <si>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</si>
  <si>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</si>
  <si>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</si>
  <si>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</si>
  <si>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</si>
  <si>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</si>
  <si>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</si>
  <si>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</si>
  <si>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</si>
  <si>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</si>
  <si>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</si>
  <si>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</si>
  <si>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</si>
  <si>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</si>
  <si>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</si>
  <si>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</si>
  <si>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</si>
  <si>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</si>
  <si>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</si>
  <si>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</si>
  <si>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</si>
  <si>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</si>
  <si>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</si>
  <si>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</si>
  <si>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</si>
  <si>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</si>
  <si>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</si>
  <si>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</si>
  <si>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</si>
  <si>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</si>
  <si>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</si>
  <si>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</si>
  <si>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</si>
  <si>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</si>
  <si>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</si>
  <si>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</si>
  <si>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</si>
  <si>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</si>
  <si>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</si>
  <si>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</si>
  <si>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</si>
  <si>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</si>
  <si>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</si>
  <si>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</si>
  <si>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</si>
  <si>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</si>
  <si>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</si>
  <si>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</si>
  <si>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</si>
  <si>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</si>
  <si>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</si>
  <si>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</si>
  <si>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</si>
  <si>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</si>
  <si>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</si>
  <si>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</si>
  <si>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</si>
  <si>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</si>
  <si>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</si>
  <si>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</si>
  <si>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</si>
  <si>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</si>
  <si>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</si>
  <si>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</si>
  <si>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</si>
  <si>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</si>
  <si>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</si>
  <si>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</si>
  <si>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</si>
  <si>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</si>
  <si>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</si>
  <si>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</si>
  <si>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</si>
  <si>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</si>
  <si>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</si>
  <si>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</si>
  <si>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</si>
  <si>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</si>
  <si>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</si>
  <si>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</si>
  <si>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</si>
  <si>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</si>
  <si>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</si>
  <si>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</si>
  <si>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</si>
  <si>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</si>
  <si>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</si>
  <si>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</si>
  <si>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</si>
  <si>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</si>
  <si>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</si>
  <si>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</si>
  <si>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</si>
  <si>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</si>
  <si>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</si>
  <si>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</si>
  <si>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</si>
  <si>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</si>
  <si>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</si>
  <si>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</si>
  <si>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</si>
  <si>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</si>
  <si>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</si>
  <si>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</si>
  <si>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</si>
  <si>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</si>
  <si>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</si>
  <si>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</si>
  <si>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</si>
  <si>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</si>
  <si>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</si>
  <si>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</si>
  <si>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</si>
  <si>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</si>
  <si>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</si>
  <si>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</si>
  <si>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</si>
  <si>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</si>
  <si>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</si>
  <si>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</si>
  <si>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</si>
  <si>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</si>
  <si>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</si>
  <si>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</si>
  <si>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</si>
  <si>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</si>
  <si>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</si>
  <si>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</si>
  <si>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</si>
  <si>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</si>
  <si>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</si>
  <si>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</si>
  <si>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</si>
  <si>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</si>
  <si>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</si>
  <si>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</si>
  <si>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</si>
  <si>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</si>
  <si>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</si>
  <si>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</si>
  <si>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</si>
  <si>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</si>
  <si>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</si>
  <si>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</si>
  <si>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</si>
  <si>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</si>
  <si>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</si>
  <si>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</si>
  <si>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</si>
  <si>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</si>
  <si>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</si>
  <si>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</si>
  <si>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</si>
  <si>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</si>
  <si>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</si>
  <si>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</si>
  <si>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</si>
  <si>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</si>
  <si>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</si>
  <si>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</si>
  <si>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</si>
  <si>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</si>
  <si>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</si>
  <si>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</si>
  <si>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</si>
  <si>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</si>
  <si>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</si>
  <si>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</si>
  <si>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</si>
  <si>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</si>
  <si>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</si>
  <si>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</si>
  <si>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</si>
  <si>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</si>
  <si>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</si>
  <si>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</si>
  <si>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</si>
  <si>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</si>
  <si>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</si>
  <si>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</si>
  <si>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</si>
  <si>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</si>
  <si>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</si>
  <si>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</si>
  <si>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</si>
  <si>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</si>
  <si>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</si>
  <si>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</si>
  <si>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</si>
  <si>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</si>
  <si>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</si>
  <si>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</si>
  <si>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</si>
  <si>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</si>
  <si>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</si>
  <si>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</si>
  <si>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</si>
  <si>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</si>
  <si>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</si>
  <si>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</si>
  <si>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</si>
  <si>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</si>
  <si>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</si>
  <si>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</si>
  <si>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</si>
  <si>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</si>
  <si>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</si>
  <si>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</si>
  <si>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</si>
  <si>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</si>
  <si>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</si>
  <si>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</si>
  <si>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</si>
  <si>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</si>
  <si>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</si>
  <si>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</si>
  <si>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</si>
  <si>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</si>
  <si>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</si>
  <si>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</si>
  <si>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</si>
  <si>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</si>
  <si>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</si>
  <si>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</si>
  <si>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</si>
  <si>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</si>
  <si>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</si>
  <si>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</si>
  <si>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</si>
  <si>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</si>
  <si>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</si>
  <si>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</si>
  <si>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</si>
  <si>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</si>
  <si>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</si>
  <si>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</si>
  <si>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</si>
  <si>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</si>
  <si>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</si>
  <si>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</si>
  <si>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</si>
  <si>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</si>
  <si>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</si>
  <si>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</si>
  <si>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</si>
  <si>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</si>
  <si>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</si>
  <si>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</si>
  <si>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</si>
  <si>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</si>
  <si>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</si>
  <si>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</si>
  <si>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</si>
  <si>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</si>
  <si>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</si>
  <si>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</si>
  <si>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</si>
  <si>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</si>
  <si>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</si>
  <si>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</si>
  <si>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</si>
  <si>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</si>
  <si>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</si>
  <si>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</si>
  <si>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</si>
  <si>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</si>
  <si>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</si>
  <si>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</si>
  <si>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</si>
  <si>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</si>
  <si>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</si>
  <si>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</si>
  <si>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</si>
  <si>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</si>
  <si>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</si>
  <si>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</si>
  <si>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</si>
  <si>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</si>
  <si>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</si>
  <si>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</si>
  <si>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</si>
  <si>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</si>
  <si>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</si>
  <si>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</si>
  <si>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</si>
  <si>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</si>
  <si>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</si>
  <si>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</si>
  <si>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</si>
  <si>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</si>
  <si>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</si>
  <si>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</si>
  <si>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</si>
  <si>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</si>
  <si>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</si>
  <si>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</si>
  <si>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</si>
  <si>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</si>
  <si>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</si>
  <si>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</si>
  <si>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</si>
  <si>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</si>
  <si>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</si>
  <si>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</si>
  <si>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</si>
  <si>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</si>
  <si>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</si>
  <si>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</si>
  <si>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</si>
  <si>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</si>
  <si>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</si>
  <si>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</si>
  <si>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</si>
  <si>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</si>
  <si>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</si>
  <si>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</si>
  <si>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</si>
  <si>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</si>
  <si>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</si>
  <si>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</si>
  <si>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</si>
  <si>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</si>
  <si>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</si>
  <si>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</si>
  <si>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</si>
  <si>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</si>
  <si>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</si>
  <si>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</si>
  <si>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</si>
  <si>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</si>
  <si>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</si>
  <si>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</si>
  <si>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</si>
  <si>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</si>
  <si>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</si>
  <si>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</si>
  <si>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</si>
  <si>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</si>
  <si>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</si>
  <si>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</si>
  <si>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</si>
  <si>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</si>
  <si>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</si>
  <si>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</si>
  <si>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</si>
  <si>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</si>
  <si>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</si>
  <si>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</si>
  <si>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</si>
  <si>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</si>
  <si>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</si>
  <si>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</si>
  <si>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</si>
  <si>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</si>
  <si>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</si>
  <si>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</si>
  <si>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</si>
  <si>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</si>
  <si>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</si>
  <si>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</si>
  <si>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</si>
  <si>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</si>
  <si>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</si>
  <si>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</si>
  <si>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</si>
  <si>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</si>
  <si>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</si>
  <si>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</si>
  <si>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</si>
  <si>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</si>
  <si>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</si>
  <si>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</si>
  <si>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</si>
  <si>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</si>
  <si>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</si>
  <si>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</si>
  <si>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</si>
  <si>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</si>
  <si>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</si>
  <si>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</si>
  <si>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</si>
  <si>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</si>
  <si>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</si>
  <si>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</si>
  <si>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</si>
  <si>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</si>
  <si>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</si>
  <si>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</si>
  <si>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</si>
  <si>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</si>
  <si>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</si>
  <si>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</si>
  <si>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</si>
  <si>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</si>
  <si>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</si>
  <si>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</si>
  <si>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</si>
  <si>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</si>
  <si>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</si>
  <si>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</si>
  <si>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</si>
  <si>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</si>
  <si>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</si>
  <si>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</si>
  <si>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</si>
  <si>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</si>
  <si>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</si>
  <si>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</si>
  <si>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</si>
  <si>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</si>
  <si>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</si>
  <si>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</si>
  <si>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</si>
  <si>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</si>
  <si>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</si>
  <si>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</si>
  <si>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</si>
  <si>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</si>
  <si>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</si>
  <si>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</si>
  <si>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</si>
  <si>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</si>
  <si>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</si>
  <si>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</si>
  <si>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</si>
  <si>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</si>
  <si>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</si>
  <si>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</si>
  <si>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</si>
  <si>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</si>
  <si>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</si>
  <si>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</si>
  <si>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</si>
  <si>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</si>
  <si>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</si>
  <si>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</si>
  <si>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</si>
  <si>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</si>
  <si>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</si>
  <si>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</si>
  <si>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</si>
  <si>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</si>
  <si>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</si>
  <si>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</si>
  <si>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</si>
  <si>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</si>
  <si>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</si>
  <si>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</si>
  <si>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</si>
  <si>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</si>
  <si>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</si>
  <si>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</si>
  <si>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</si>
  <si>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</si>
  <si>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</si>
  <si>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</si>
  <si>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</si>
  <si>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</si>
  <si>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</si>
  <si>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</si>
  <si>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</si>
  <si>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</si>
  <si>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</si>
  <si>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</si>
  <si>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</si>
  <si>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</si>
  <si>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</si>
  <si>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</si>
  <si>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</si>
  <si>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</si>
  <si>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</si>
  <si>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</si>
  <si>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</si>
  <si>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</si>
  <si>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</si>
  <si>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</si>
  <si>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</si>
  <si>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</si>
  <si>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</si>
  <si>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</si>
  <si>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</si>
  <si>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</si>
  <si>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</si>
  <si>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</si>
  <si>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</si>
  <si>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</si>
  <si>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</si>
  <si>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</si>
  <si>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</si>
  <si>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</si>
  <si>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</si>
  <si>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</si>
  <si>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</si>
  <si>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</si>
  <si>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</si>
  <si>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</si>
  <si>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</si>
  <si>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</si>
  <si>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</si>
  <si>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</si>
  <si>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</si>
  <si>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</si>
  <si>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</si>
  <si>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</si>
  <si>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</si>
  <si>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</si>
  <si>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</si>
  <si>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</si>
  <si>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</si>
  <si>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</si>
  <si>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</si>
  <si>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</si>
  <si>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</si>
  <si>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</si>
  <si>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</si>
  <si>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</si>
  <si>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</si>
  <si>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</si>
  <si>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</si>
  <si>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</si>
  <si>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</si>
  <si>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</si>
  <si>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</si>
  <si>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</si>
  <si>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</si>
  <si>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</si>
  <si>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</si>
  <si>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</si>
  <si>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</si>
  <si>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</si>
  <si>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</si>
  <si>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</si>
  <si>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</si>
  <si>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</si>
  <si>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</si>
  <si>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</si>
  <si>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</si>
  <si>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</si>
  <si>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</si>
  <si>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</si>
  <si>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</si>
  <si>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</si>
  <si>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</si>
  <si>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</si>
  <si>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</si>
  <si>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</si>
  <si>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</si>
  <si>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</si>
  <si>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</si>
  <si>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</si>
  <si>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</si>
  <si>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</si>
  <si>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</si>
  <si>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</si>
  <si>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</si>
  <si>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</si>
  <si>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</si>
  <si>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</si>
  <si>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</si>
  <si>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</si>
  <si>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</si>
  <si>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</si>
  <si>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</si>
  <si>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</si>
  <si>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</si>
  <si>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</si>
  <si>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</si>
  <si>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</si>
  <si>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</si>
  <si>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</si>
  <si>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</si>
  <si>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</si>
  <si>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</si>
  <si>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</si>
  <si>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</si>
  <si>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</si>
  <si>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</si>
  <si>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</si>
  <si>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</si>
  <si>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</si>
  <si>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</si>
  <si>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</si>
  <si>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</si>
  <si>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</si>
  <si>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</si>
  <si>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</si>
  <si>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</si>
  <si>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</si>
  <si>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</si>
  <si>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SCHEFFEL BOYLE</t>
  </si>
  <si>
    <t>ST. CLAIR</t>
  </si>
  <si>
    <t>BRIAN OTTEN</t>
  </si>
  <si>
    <t>222 EAST MAIN ST.</t>
  </si>
  <si>
    <t>400 SOUTH BELLEVILLE STREET</t>
  </si>
  <si>
    <t>IL</t>
  </si>
  <si>
    <t>BELLEVILLE</t>
  </si>
  <si>
    <t xml:space="preserve">FREEBURG  </t>
  </si>
  <si>
    <t>618-277-8100</t>
  </si>
  <si>
    <t>618-277-9307</t>
  </si>
  <si>
    <t>janssenm@frg70.org</t>
  </si>
  <si>
    <t>065-023476</t>
  </si>
  <si>
    <t>brian.otten@scheffelboyle.com</t>
  </si>
  <si>
    <t>TOMI DIEFENBACH</t>
  </si>
  <si>
    <t>SUSAN SARFATY</t>
  </si>
  <si>
    <t>Diefenba@frg70.org</t>
  </si>
  <si>
    <t>ssarfaty@stclair.k12.il.us</t>
  </si>
  <si>
    <t>618-539-3188</t>
  </si>
  <si>
    <t>618-539-5795</t>
  </si>
  <si>
    <t>618-825-3900</t>
  </si>
  <si>
    <t>618-825-3999</t>
  </si>
  <si>
    <t>x</t>
  </si>
  <si>
    <t>GO SCHOOL BONDS HEALTH LIFE SAFETY</t>
  </si>
  <si>
    <t>GO SCHOOL BONDS WORKING CASH</t>
  </si>
  <si>
    <t>GO SCHOOL REFUNDING BONDS</t>
  </si>
  <si>
    <t>MUNICIPAL EQUIPMENT PURCHASE CONTRACT TECHNOLOGY</t>
  </si>
  <si>
    <t>Municipal Purchase Contract Technology</t>
  </si>
  <si>
    <t>Page #</t>
  </si>
  <si>
    <t>---</t>
  </si>
  <si>
    <t>Schedule of LT Debt</t>
  </si>
  <si>
    <t>Education</t>
  </si>
  <si>
    <t>Purchased Services - Bonds</t>
  </si>
  <si>
    <t>Payment of Bond with Bond Issue</t>
  </si>
  <si>
    <t>Muni Lease for Tech</t>
  </si>
  <si>
    <t>Payments Muni Lease for Tech</t>
  </si>
  <si>
    <t>2018 Refunding Bond Issue</t>
  </si>
  <si>
    <t>2018 Bond Issue Costs</t>
  </si>
  <si>
    <t>St. Libory School District No. 30</t>
  </si>
  <si>
    <t>Egyptian Area Schools Employee Benefit Trust</t>
  </si>
  <si>
    <t>Belleville Area Special Services Coop</t>
  </si>
  <si>
    <t>Freeburg High School District No. 77</t>
  </si>
  <si>
    <t>Freeburg High School District No. 77 / Smithton Grade School District No. 130</t>
  </si>
  <si>
    <t>ED-Food Svcs.- Supplies</t>
  </si>
  <si>
    <t>Belleville District #118</t>
  </si>
  <si>
    <t>ED-Copier Lease Fees- Purchased Sevices</t>
  </si>
  <si>
    <t>Americom</t>
  </si>
  <si>
    <t>ED-Prof Services BD-Purchased Services</t>
  </si>
  <si>
    <t>Moore &amp; Simonin PC</t>
  </si>
  <si>
    <t>Mobile Home Tax</t>
  </si>
  <si>
    <t>Insurance Reimbursement</t>
  </si>
  <si>
    <t>Freeburg CCSD 70</t>
  </si>
  <si>
    <t>10-2560-400</t>
  </si>
  <si>
    <t>10-1000-300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</si>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</sst>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0" xfId="0" applyFont="1" applyAlignment="1">
      <alignment horizontal="center"/>
    </xf>
    <xf numFmtId="0" fontId="74" fillId="0" borderId="0" xfId="0" applyFont="1" applyAlignment="1">
      <alignment horizontal="center"/>
    </xf>
    <xf numFmtId="164" fontId="61" fillId="0" borderId="0" xfId="0" applyNumberFormat="1" applyFont="1" applyAlignment="1">
      <alignment horizontal="center"/>
    </xf>
    <xf numFmtId="164" fontId="56" fillId="0" borderId="0" xfId="0" applyNumberFormat="1" applyFont="1" applyAlignment="1">
      <alignment horizontal="center"/>
    </xf>
    <xf numFmtId="0" fontId="56" fillId="0" borderId="0" xfId="0" quotePrefix="1" applyFont="1" applyAlignment="1">
      <alignment horizontal="center"/>
    </xf>
    <xf numFmtId="181" fontId="56" fillId="0" borderId="0" xfId="19" applyNumberFormat="1" applyFont="1" applyAlignment="1">
      <alignment horizontal="center"/>
    </xf>
    <xf numFmtId="182" fontId="56" fillId="0" borderId="0" xfId="1" applyNumberFormat="1" applyFont="1" applyAlignment="1">
      <alignment horizont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6" fontId="56" fillId="0" borderId="0" xfId="0" applyNumberFormat="1" applyFont="1" applyAlignment="1">
      <alignment horizontal="center"/>
    </xf>
    <xf numFmtId="0" fontId="56" fillId="0" borderId="0" xfId="0" applyNumberFormat="1" applyFont="1" applyAlignment="1">
      <alignment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1724891</xdr:colOff>
          <xdr:row>3</xdr:row>
          <xdr:rowOff>162791</xdr:rowOff>
        </xdr:from>
        <xdr:to>
          <xdr:col>1</xdr:col>
          <xdr:colOff>2639291</xdr:colOff>
          <xdr:row>8</xdr:row>
          <xdr:rowOff>36368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2F8F6DF-E87B-44F0-BA9D-A1F163E44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2962275</xdr:colOff>
          <xdr:row>3</xdr:row>
          <xdr:rowOff>142875</xdr:rowOff>
        </xdr:from>
        <xdr:to>
          <xdr:col>1</xdr:col>
          <xdr:colOff>3876675</xdr:colOff>
          <xdr:row>8</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02BE44F-2966-41CC-84DA-F108276529A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2077</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x14ac:dyDescent="0.2">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1012</v>
      </c>
      <c r="B11" s="2044"/>
      <c r="C11" s="2044"/>
      <c r="D11" s="2044"/>
      <c r="E11" s="2044"/>
      <c r="F11" s="2044"/>
      <c r="G11" s="2044"/>
      <c r="H11" s="2045"/>
      <c r="I11" s="27"/>
      <c r="J11" s="74"/>
      <c r="K11" s="27"/>
      <c r="O11" s="148" t="s">
        <v>2099</v>
      </c>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7">
        <v>50082070004</v>
      </c>
      <c r="B13" s="2048"/>
      <c r="C13" s="2048"/>
      <c r="D13" s="2048"/>
      <c r="E13" s="2048"/>
      <c r="F13" s="2048"/>
      <c r="G13" s="2048"/>
      <c r="H13" s="2049"/>
      <c r="I13" s="31"/>
      <c r="J13" s="30"/>
      <c r="K13" s="28"/>
      <c r="L13" s="30"/>
      <c r="M13" s="30"/>
      <c r="N13" s="30"/>
      <c r="O13" s="30"/>
      <c r="P13" s="30"/>
      <c r="Q13" s="30"/>
      <c r="R13" s="30"/>
      <c r="S13" s="30"/>
      <c r="T13" s="2052" t="s">
        <v>2078</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2079</v>
      </c>
      <c r="B15" s="2050"/>
      <c r="C15" s="2050"/>
      <c r="D15" s="2050"/>
      <c r="E15" s="2050"/>
      <c r="F15" s="2050"/>
      <c r="G15" s="2050"/>
      <c r="H15" s="2051"/>
      <c r="T15" s="2056" t="s">
        <v>2080</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2128</v>
      </c>
      <c r="B17" s="2007"/>
      <c r="C17" s="2007"/>
      <c r="D17" s="2007"/>
      <c r="E17" s="2007"/>
      <c r="F17" s="2007"/>
      <c r="G17" s="2007"/>
      <c r="H17" s="2032"/>
      <c r="T17" s="2063" t="s">
        <v>2081</v>
      </c>
      <c r="U17" s="2064"/>
      <c r="V17" s="2064"/>
      <c r="W17" s="2064"/>
      <c r="X17" s="2064"/>
      <c r="Y17" s="2064"/>
      <c r="Z17" s="2064"/>
      <c r="AA17" s="2065"/>
    </row>
    <row r="18" spans="1:27" ht="13.5" customHeight="1" x14ac:dyDescent="0.2">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x14ac:dyDescent="0.2">
      <c r="A19" s="2046" t="s">
        <v>2082</v>
      </c>
      <c r="B19" s="1992"/>
      <c r="C19" s="1992"/>
      <c r="D19" s="1992"/>
      <c r="E19" s="1992"/>
      <c r="F19" s="1992"/>
      <c r="G19" s="1992"/>
      <c r="H19" s="1972"/>
      <c r="I19" s="30"/>
      <c r="J19" s="99"/>
      <c r="K19" s="40"/>
      <c r="L19" s="38"/>
      <c r="M19" s="112" t="s">
        <v>333</v>
      </c>
      <c r="P19" s="27"/>
      <c r="Q19" s="27"/>
      <c r="R19" s="27"/>
      <c r="S19" s="31"/>
      <c r="T19" s="2046" t="s">
        <v>2084</v>
      </c>
      <c r="U19" s="1971"/>
      <c r="V19" s="1971"/>
      <c r="W19" s="1972"/>
      <c r="X19" s="2061" t="s">
        <v>2083</v>
      </c>
      <c r="Y19" s="2062"/>
      <c r="Z19" s="2059">
        <v>62220</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0" t="s">
        <v>2085</v>
      </c>
      <c r="B21" s="1971"/>
      <c r="C21" s="1971"/>
      <c r="D21" s="1971"/>
      <c r="E21" s="1971"/>
      <c r="F21" s="1971"/>
      <c r="G21" s="1971"/>
      <c r="H21" s="1972"/>
      <c r="I21" s="2026" t="s">
        <v>699</v>
      </c>
      <c r="J21" s="2021"/>
      <c r="K21" s="2021"/>
      <c r="L21" s="2021"/>
      <c r="M21" s="2021"/>
      <c r="N21" s="2021"/>
      <c r="O21" s="2021"/>
      <c r="P21" s="2021"/>
      <c r="Q21" s="2021"/>
      <c r="R21" s="2021"/>
      <c r="S21" s="2027"/>
      <c r="T21" s="2070" t="s">
        <v>2086</v>
      </c>
      <c r="U21" s="2071"/>
      <c r="V21" s="2071"/>
      <c r="W21" s="2071"/>
      <c r="X21" s="2076" t="s">
        <v>2087</v>
      </c>
      <c r="Y21" s="2077"/>
      <c r="Z21" s="2077"/>
      <c r="AA21" s="2078"/>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3" t="s">
        <v>2088</v>
      </c>
      <c r="B23" s="2024"/>
      <c r="C23" s="2024"/>
      <c r="D23" s="2024"/>
      <c r="E23" s="2024"/>
      <c r="F23" s="2024"/>
      <c r="G23" s="2024"/>
      <c r="H23" s="2025"/>
      <c r="T23" s="2006" t="s">
        <v>2089</v>
      </c>
      <c r="U23" s="2069"/>
      <c r="V23" s="2069"/>
      <c r="W23" s="2069"/>
      <c r="X23" s="2073">
        <v>44469</v>
      </c>
      <c r="Y23" s="2074"/>
      <c r="Z23" s="2074"/>
      <c r="AA23" s="2075"/>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0">
        <v>62243</v>
      </c>
      <c r="B25" s="1971"/>
      <c r="C25" s="1971"/>
      <c r="D25" s="1971"/>
      <c r="E25" s="1971"/>
      <c r="F25" s="1971"/>
      <c r="G25" s="1971"/>
      <c r="H25" s="1972"/>
      <c r="I25" s="113"/>
      <c r="J25" s="1995"/>
      <c r="K25" s="1995"/>
      <c r="L25" s="1995"/>
      <c r="M25" s="1995"/>
      <c r="N25" s="1995"/>
      <c r="O25" s="1995"/>
      <c r="P25" s="1995"/>
      <c r="Q25" s="1995"/>
      <c r="R25" s="1995"/>
      <c r="S25" s="1996"/>
      <c r="T25" s="2066" t="s">
        <v>2090</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1" t="s">
        <v>1591</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2091</v>
      </c>
      <c r="B38" s="2007"/>
      <c r="C38" s="2007"/>
      <c r="D38" s="2007"/>
      <c r="E38" s="2007"/>
      <c r="F38" s="1971"/>
      <c r="G38" s="1971"/>
      <c r="H38" s="1972"/>
      <c r="I38" s="1999"/>
      <c r="J38" s="2000"/>
      <c r="K38" s="2000"/>
      <c r="L38" s="2000"/>
      <c r="M38" s="2000"/>
      <c r="N38" s="2000"/>
      <c r="O38" s="2000"/>
      <c r="P38" s="2001"/>
      <c r="Q38" s="2001"/>
      <c r="R38" s="2001"/>
      <c r="S38" s="2002"/>
      <c r="T38" s="2056" t="s">
        <v>2092</v>
      </c>
      <c r="U38" s="2000"/>
      <c r="V38" s="2000"/>
      <c r="W38" s="2000"/>
      <c r="X38" s="2001"/>
      <c r="Y38" s="2001"/>
      <c r="Z38" s="2001"/>
      <c r="AA38" s="2002"/>
    </row>
    <row r="39" spans="1:27" ht="12" customHeight="1" x14ac:dyDescent="0.2">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x14ac:dyDescent="0.2">
      <c r="A40" s="1984" t="s">
        <v>2093</v>
      </c>
      <c r="B40" s="1985"/>
      <c r="C40" s="1986"/>
      <c r="D40" s="1986"/>
      <c r="E40" s="1986"/>
      <c r="F40" s="1987"/>
      <c r="G40" s="1987"/>
      <c r="H40" s="1988"/>
      <c r="I40" s="2009"/>
      <c r="J40" s="2010"/>
      <c r="K40" s="2010"/>
      <c r="L40" s="2010"/>
      <c r="M40" s="2010"/>
      <c r="N40" s="2010"/>
      <c r="O40" s="2010"/>
      <c r="P40" s="2010"/>
      <c r="Q40" s="2010"/>
      <c r="R40" s="2010"/>
      <c r="S40" s="2011"/>
      <c r="T40" s="2009" t="s">
        <v>2094</v>
      </c>
      <c r="U40" s="2072"/>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2095</v>
      </c>
      <c r="B42" s="1990"/>
      <c r="C42" s="1991"/>
      <c r="D42" s="1989" t="s">
        <v>2096</v>
      </c>
      <c r="E42" s="1990"/>
      <c r="F42" s="1990"/>
      <c r="G42" s="1990"/>
      <c r="H42" s="1991"/>
      <c r="I42" s="1973"/>
      <c r="J42" s="1974"/>
      <c r="K42" s="1974"/>
      <c r="L42" s="1974"/>
      <c r="M42" s="1974"/>
      <c r="N42" s="1974"/>
      <c r="O42" s="1975"/>
      <c r="P42" s="2008"/>
      <c r="Q42" s="1974"/>
      <c r="R42" s="1974"/>
      <c r="S42" s="1975"/>
      <c r="T42" s="1973" t="s">
        <v>2097</v>
      </c>
      <c r="U42" s="1974"/>
      <c r="V42" s="1974"/>
      <c r="W42" s="1975"/>
      <c r="X42" s="2008" t="s">
        <v>2098</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2" t="s">
        <v>1905</v>
      </c>
      <c r="B2" s="1550" t="s">
        <v>2037</v>
      </c>
      <c r="C2" s="715" t="s">
        <v>1910</v>
      </c>
      <c r="D2" s="715" t="s">
        <v>1911</v>
      </c>
      <c r="E2" s="715" t="s">
        <v>1912</v>
      </c>
      <c r="F2" s="715" t="s">
        <v>1913</v>
      </c>
    </row>
    <row r="3" spans="1:6" ht="12" customHeight="1" x14ac:dyDescent="0.2">
      <c r="A3" s="2213"/>
      <c r="B3" s="1547"/>
      <c r="C3" s="1548"/>
      <c r="D3" s="1549" t="s">
        <v>274</v>
      </c>
      <c r="E3" s="1548"/>
      <c r="F3" s="1549" t="s">
        <v>275</v>
      </c>
    </row>
    <row r="4" spans="1:6" ht="13.7" customHeight="1" x14ac:dyDescent="0.2">
      <c r="A4" s="716" t="s">
        <v>1217</v>
      </c>
      <c r="B4" s="1771">
        <f>'Revenues 9-14'!C5</f>
        <v>1744198</v>
      </c>
      <c r="C4" s="1546"/>
      <c r="D4" s="1774">
        <f>B4-C4</f>
        <v>1744198</v>
      </c>
      <c r="E4" s="1546">
        <v>1780473</v>
      </c>
      <c r="F4" s="1774">
        <f>E4-C4</f>
        <v>1780473</v>
      </c>
    </row>
    <row r="5" spans="1:6" ht="13.7" customHeight="1" x14ac:dyDescent="0.2">
      <c r="A5" s="716" t="s">
        <v>925</v>
      </c>
      <c r="B5" s="1772">
        <f>'Revenues 9-14'!D5</f>
        <v>622932</v>
      </c>
      <c r="C5" s="585"/>
      <c r="D5" s="1775">
        <f t="shared" ref="D5:D18" si="0">B5-C5</f>
        <v>622932</v>
      </c>
      <c r="E5" s="585">
        <v>635883</v>
      </c>
      <c r="F5" s="1775">
        <f>E5-C5</f>
        <v>635883</v>
      </c>
    </row>
    <row r="6" spans="1:6" ht="13.7" customHeight="1" x14ac:dyDescent="0.2">
      <c r="A6" s="716" t="s">
        <v>431</v>
      </c>
      <c r="B6" s="1772">
        <f>'Revenues 9-14'!E5</f>
        <v>354757</v>
      </c>
      <c r="C6" s="585"/>
      <c r="D6" s="1775">
        <f t="shared" si="0"/>
        <v>354757</v>
      </c>
      <c r="E6" s="585">
        <v>351326</v>
      </c>
      <c r="F6" s="1775">
        <f t="shared" ref="F6:F18" si="1">E6-C6</f>
        <v>351326</v>
      </c>
    </row>
    <row r="7" spans="1:6" ht="13.7" customHeight="1" x14ac:dyDescent="0.2">
      <c r="A7" s="716" t="s">
        <v>157</v>
      </c>
      <c r="B7" s="1772">
        <f>'Revenues 9-14'!F5</f>
        <v>186880</v>
      </c>
      <c r="C7" s="585"/>
      <c r="D7" s="1775">
        <f t="shared" si="0"/>
        <v>186880</v>
      </c>
      <c r="E7" s="585">
        <v>190765</v>
      </c>
      <c r="F7" s="1775">
        <f t="shared" si="1"/>
        <v>190765</v>
      </c>
    </row>
    <row r="8" spans="1:6" ht="13.7" customHeight="1" x14ac:dyDescent="0.2">
      <c r="A8" s="716" t="s">
        <v>1241</v>
      </c>
      <c r="B8" s="1772">
        <f>'Revenues 9-14'!G5</f>
        <v>101226</v>
      </c>
      <c r="C8" s="585"/>
      <c r="D8" s="1775">
        <f t="shared" si="0"/>
        <v>101226</v>
      </c>
      <c r="E8" s="585">
        <v>79485</v>
      </c>
      <c r="F8" s="1775">
        <f t="shared" si="1"/>
        <v>79485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77868</v>
      </c>
      <c r="C10" s="585"/>
      <c r="D10" s="1775">
        <f t="shared" si="0"/>
        <v>77868</v>
      </c>
      <c r="E10" s="585">
        <v>79485</v>
      </c>
      <c r="F10" s="1775">
        <f t="shared" si="1"/>
        <v>79485</v>
      </c>
    </row>
    <row r="11" spans="1:6" x14ac:dyDescent="0.2">
      <c r="A11" s="716" t="s">
        <v>429</v>
      </c>
      <c r="B11" s="1772">
        <f>'Revenues 9-14'!J5</f>
        <v>1065210</v>
      </c>
      <c r="C11" s="585"/>
      <c r="D11" s="1775">
        <f t="shared" si="0"/>
        <v>1065210</v>
      </c>
      <c r="E11" s="585">
        <v>1170025</v>
      </c>
      <c r="F11" s="1775">
        <f t="shared" si="1"/>
        <v>1170025</v>
      </c>
    </row>
    <row r="12" spans="1:6" ht="13.7" customHeight="1" x14ac:dyDescent="0.2">
      <c r="A12" s="716" t="s">
        <v>159</v>
      </c>
      <c r="B12" s="1772">
        <f>'Revenues 9-14'!K5</f>
        <v>1559</v>
      </c>
      <c r="C12" s="585"/>
      <c r="D12" s="1775">
        <f t="shared" si="0"/>
        <v>1559</v>
      </c>
      <c r="E12" s="585">
        <v>79485</v>
      </c>
      <c r="F12" s="1775">
        <f t="shared" si="1"/>
        <v>79485</v>
      </c>
    </row>
    <row r="13" spans="1:6" ht="13.7" customHeight="1" x14ac:dyDescent="0.2">
      <c r="A13" s="716" t="s">
        <v>993</v>
      </c>
      <c r="B13" s="1772">
        <f>SUM('Revenues 9-14'!C6:D6)</f>
        <v>77868</v>
      </c>
      <c r="C13" s="585"/>
      <c r="D13" s="1775">
        <f t="shared" si="0"/>
        <v>77868</v>
      </c>
      <c r="E13" s="585">
        <v>79485</v>
      </c>
      <c r="F13" s="1775">
        <f t="shared" si="1"/>
        <v>79485</v>
      </c>
    </row>
    <row r="14" spans="1:6" ht="13.7" customHeight="1" x14ac:dyDescent="0.2">
      <c r="A14" s="716" t="s">
        <v>430</v>
      </c>
      <c r="B14" s="1772">
        <f>SUM('Revenues 9-14'!C7:D7,'Revenues 9-14'!F7:H7)</f>
        <v>31148</v>
      </c>
      <c r="C14" s="585"/>
      <c r="D14" s="1775">
        <f t="shared" si="0"/>
        <v>31148</v>
      </c>
      <c r="E14" s="585">
        <v>31794</v>
      </c>
      <c r="F14" s="1775">
        <f t="shared" si="1"/>
        <v>31794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140160</v>
      </c>
      <c r="C16" s="585"/>
      <c r="D16" s="1775">
        <f t="shared" si="0"/>
        <v>140160</v>
      </c>
      <c r="E16" s="585">
        <v>119228</v>
      </c>
      <c r="F16" s="1775">
        <f t="shared" si="1"/>
        <v>119228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4403806</v>
      </c>
      <c r="C19" s="1773">
        <f>SUM(C4:C18)</f>
        <v>0</v>
      </c>
      <c r="D19" s="1773">
        <f>SUM(D4:D18)</f>
        <v>4403806</v>
      </c>
      <c r="E19" s="1773">
        <f>SUM(E4:E18)</f>
        <v>4597434</v>
      </c>
      <c r="F19" s="1773">
        <f>SUM(F4:F18)</f>
        <v>4597434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7"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1905</v>
      </c>
      <c r="B2" s="2240"/>
      <c r="C2" s="1909" t="s">
        <v>2038</v>
      </c>
      <c r="D2" s="724" t="s">
        <v>2045</v>
      </c>
      <c r="E2" s="724" t="s">
        <v>2046</v>
      </c>
      <c r="F2" s="1909" t="s">
        <v>2039</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7">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5" t="s">
        <v>652</v>
      </c>
      <c r="B15" s="2226"/>
      <c r="C15" s="1777">
        <f>SUM(C6:C14)</f>
        <v>0</v>
      </c>
      <c r="D15" s="1777">
        <f>SUM(D6:D14)</f>
        <v>0</v>
      </c>
      <c r="E15" s="1777">
        <f>SUM(E6:E14)</f>
        <v>0</v>
      </c>
      <c r="F15" s="1777">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7">
        <f>SUM(C17+D17)-E17</f>
        <v>0</v>
      </c>
    </row>
    <row r="18" spans="1:11" ht="12.75" customHeight="1" thickTop="1" thickBot="1" x14ac:dyDescent="0.25">
      <c r="A18" s="2220" t="s">
        <v>6</v>
      </c>
      <c r="B18" s="2221"/>
      <c r="C18" s="727"/>
      <c r="D18" s="585"/>
      <c r="E18" s="727"/>
      <c r="F18" s="1777">
        <f>SUM(C18+D18)-E18</f>
        <v>0</v>
      </c>
    </row>
    <row r="19" spans="1:11" ht="12.75" customHeight="1" thickTop="1" thickBot="1" x14ac:dyDescent="0.25">
      <c r="A19" s="2220" t="s">
        <v>406</v>
      </c>
      <c r="B19" s="2221"/>
      <c r="C19" s="727"/>
      <c r="D19" s="585"/>
      <c r="E19" s="727"/>
      <c r="F19" s="1777">
        <f>SUM(C19+D19)-E19</f>
        <v>0</v>
      </c>
    </row>
    <row r="20" spans="1:11" ht="12.75" customHeight="1" thickTop="1" thickBot="1" x14ac:dyDescent="0.25">
      <c r="A20" s="2220" t="s">
        <v>468</v>
      </c>
      <c r="B20" s="2221"/>
      <c r="C20" s="727"/>
      <c r="D20" s="585"/>
      <c r="E20" s="727"/>
      <c r="F20" s="1777">
        <f>SUM(C20+D20)-E20</f>
        <v>0</v>
      </c>
    </row>
    <row r="21" spans="1:11" ht="14.25" thickTop="1" thickBot="1" x14ac:dyDescent="0.25">
      <c r="A21" s="2225" t="s">
        <v>653</v>
      </c>
      <c r="B21" s="2226"/>
      <c r="C21" s="1777">
        <f>SUM(C17:C20)</f>
        <v>0</v>
      </c>
      <c r="D21" s="1777">
        <f>SUM(D17:D20)</f>
        <v>0</v>
      </c>
      <c r="E21" s="1777">
        <f>SUM(E17:E20)</f>
        <v>0</v>
      </c>
      <c r="F21" s="1777">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7">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7">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7">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2100</v>
      </c>
      <c r="B31" s="734">
        <v>39520</v>
      </c>
      <c r="C31" s="735">
        <v>1030000</v>
      </c>
      <c r="D31" s="736">
        <v>4</v>
      </c>
      <c r="E31" s="735">
        <v>750000</v>
      </c>
      <c r="F31" s="735"/>
      <c r="G31" s="735">
        <v>-510000</v>
      </c>
      <c r="H31" s="735">
        <v>55000</v>
      </c>
      <c r="I31" s="1778">
        <f>((E31+F31)-H31)+G31</f>
        <v>185000</v>
      </c>
      <c r="J31" s="735">
        <v>46296</v>
      </c>
      <c r="K31" s="737"/>
    </row>
    <row r="32" spans="1:11" ht="12" customHeight="1" x14ac:dyDescent="0.2">
      <c r="A32" s="733" t="s">
        <v>2101</v>
      </c>
      <c r="B32" s="734">
        <v>42012</v>
      </c>
      <c r="C32" s="735">
        <v>1545000</v>
      </c>
      <c r="D32" s="736">
        <v>1</v>
      </c>
      <c r="E32" s="735">
        <v>1110000</v>
      </c>
      <c r="F32" s="735"/>
      <c r="G32" s="735"/>
      <c r="H32" s="735">
        <v>240000</v>
      </c>
      <c r="I32" s="1778">
        <f>((E32+F32)-H32)+G32</f>
        <v>870000</v>
      </c>
      <c r="J32" s="735">
        <v>870000</v>
      </c>
      <c r="K32" s="737"/>
    </row>
    <row r="33" spans="1:11" ht="12" customHeight="1" x14ac:dyDescent="0.2">
      <c r="A33" s="733" t="s">
        <v>2102</v>
      </c>
      <c r="B33" s="734">
        <v>43118</v>
      </c>
      <c r="C33" s="735">
        <v>524000</v>
      </c>
      <c r="D33" s="736">
        <v>3</v>
      </c>
      <c r="E33" s="735"/>
      <c r="F33" s="735"/>
      <c r="G33" s="735">
        <v>524000</v>
      </c>
      <c r="H33" s="735"/>
      <c r="I33" s="1778">
        <f t="shared" ref="I33:I48" si="1">((E33+F33)-H33)+G33</f>
        <v>524000</v>
      </c>
      <c r="J33" s="735">
        <v>524000</v>
      </c>
      <c r="K33" s="737"/>
    </row>
    <row r="34" spans="1:11" ht="12" customHeight="1" x14ac:dyDescent="0.2">
      <c r="A34" s="733" t="s">
        <v>2103</v>
      </c>
      <c r="B34" s="734">
        <v>42981</v>
      </c>
      <c r="C34" s="735">
        <v>63014</v>
      </c>
      <c r="D34" s="736">
        <v>7</v>
      </c>
      <c r="E34" s="735"/>
      <c r="F34" s="735"/>
      <c r="G34" s="735">
        <v>10271</v>
      </c>
      <c r="H34" s="735"/>
      <c r="I34" s="1778">
        <f t="shared" si="1"/>
        <v>10271</v>
      </c>
      <c r="J34" s="735">
        <v>10271</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3162014</v>
      </c>
      <c r="D49" s="746"/>
      <c r="E49" s="1778">
        <f t="shared" ref="E49:J49" si="2">SUM(E31:E48)</f>
        <v>1860000</v>
      </c>
      <c r="F49" s="1778">
        <f t="shared" si="2"/>
        <v>0</v>
      </c>
      <c r="G49" s="1778">
        <f t="shared" si="2"/>
        <v>24271</v>
      </c>
      <c r="H49" s="1778">
        <f t="shared" si="2"/>
        <v>295000</v>
      </c>
      <c r="I49" s="1778">
        <f t="shared" si="2"/>
        <v>1589271</v>
      </c>
      <c r="J49" s="1778">
        <f t="shared" si="2"/>
        <v>1450567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t="s">
        <v>2104</v>
      </c>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2"/>
      <c r="I1" s="761"/>
      <c r="J1" s="433"/>
    </row>
    <row r="2" spans="1:11" ht="26.25" x14ac:dyDescent="0.2">
      <c r="A2" s="2262" t="s">
        <v>1776</v>
      </c>
      <c r="B2" s="2263"/>
      <c r="C2" s="2263"/>
      <c r="D2" s="2263"/>
      <c r="E2" s="2264"/>
      <c r="F2" s="762" t="s">
        <v>960</v>
      </c>
      <c r="G2" s="763" t="s">
        <v>1773</v>
      </c>
      <c r="H2" s="763" t="s">
        <v>430</v>
      </c>
      <c r="I2" s="763" t="s">
        <v>1220</v>
      </c>
      <c r="J2" s="763" t="s">
        <v>1919</v>
      </c>
      <c r="K2" s="763" t="s">
        <v>140</v>
      </c>
    </row>
    <row r="3" spans="1:11" x14ac:dyDescent="0.2">
      <c r="A3" s="2265" t="s">
        <v>1698</v>
      </c>
      <c r="B3" s="2266"/>
      <c r="C3" s="2266"/>
      <c r="D3" s="2266"/>
      <c r="E3" s="2267"/>
      <c r="F3" s="764"/>
      <c r="G3" s="765"/>
      <c r="H3" s="765"/>
      <c r="I3" s="765"/>
      <c r="J3" s="766"/>
      <c r="K3" s="766"/>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31148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6" t="s">
        <v>1920</v>
      </c>
      <c r="B10" s="2247"/>
      <c r="C10" s="2247"/>
      <c r="D10" s="2247"/>
      <c r="E10" s="2249"/>
      <c r="F10" s="784" t="s">
        <v>917</v>
      </c>
      <c r="G10" s="783"/>
      <c r="H10" s="785">
        <v>39</v>
      </c>
      <c r="I10" s="765"/>
      <c r="J10" s="766"/>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9"/>
      <c r="G12" s="1780">
        <f>SUM(G5:G11)</f>
        <v>0</v>
      </c>
      <c r="H12" s="1780">
        <f>SUM(H5:H11)</f>
        <v>31187</v>
      </c>
      <c r="I12" s="1780">
        <f>SUM(I5:I11)</f>
        <v>0</v>
      </c>
      <c r="J12" s="1780">
        <f>SUM(J5:J11)</f>
        <v>0</v>
      </c>
      <c r="K12" s="1780">
        <f>SUM(K5:K11)</f>
        <v>0</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31187</v>
      </c>
      <c r="I14" s="772"/>
      <c r="J14" s="774"/>
      <c r="K14" s="766"/>
    </row>
    <row r="15" spans="1:11" x14ac:dyDescent="0.2">
      <c r="A15" s="2247" t="s">
        <v>4</v>
      </c>
      <c r="B15" s="2247"/>
      <c r="C15" s="2247"/>
      <c r="D15" s="2247"/>
      <c r="E15" s="2248"/>
      <c r="F15" s="790" t="s">
        <v>910</v>
      </c>
      <c r="G15" s="772"/>
      <c r="H15" s="765"/>
      <c r="I15" s="765"/>
      <c r="J15" s="766"/>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55" t="s">
        <v>1916</v>
      </c>
      <c r="B19" s="2255"/>
      <c r="C19" s="2255"/>
      <c r="D19" s="2255"/>
      <c r="E19" s="2256"/>
      <c r="F19" s="790" t="s">
        <v>990</v>
      </c>
      <c r="G19" s="783"/>
      <c r="H19" s="783"/>
      <c r="I19" s="783"/>
      <c r="J19" s="766"/>
      <c r="K19" s="796"/>
    </row>
    <row r="20" spans="1:11" x14ac:dyDescent="0.2">
      <c r="A20" s="2257" t="s">
        <v>1921</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81"/>
      <c r="G21" s="793"/>
      <c r="H21" s="797"/>
      <c r="I21" s="797"/>
      <c r="J21" s="1782">
        <f>SUM(J18:J20)</f>
        <v>0</v>
      </c>
      <c r="K21" s="794"/>
    </row>
    <row r="22" spans="1:11" ht="13.5" thickTop="1" x14ac:dyDescent="0.2">
      <c r="A22" s="2247" t="s">
        <v>1922</v>
      </c>
      <c r="B22" s="2247"/>
      <c r="C22" s="2247"/>
      <c r="D22" s="2247"/>
      <c r="E22" s="2248"/>
      <c r="F22" s="790" t="s">
        <v>917</v>
      </c>
      <c r="G22" s="783"/>
      <c r="H22" s="765"/>
      <c r="I22" s="765"/>
      <c r="J22" s="798"/>
      <c r="K22" s="766"/>
    </row>
    <row r="23" spans="1:11" ht="13.5" thickBot="1" x14ac:dyDescent="0.25">
      <c r="A23" s="2277" t="s">
        <v>962</v>
      </c>
      <c r="B23" s="2276"/>
      <c r="C23" s="2276"/>
      <c r="D23" s="2276"/>
      <c r="E23" s="2276"/>
      <c r="F23" s="1783"/>
      <c r="G23" s="1780">
        <f>SUM(G14:G16,G21,G22)</f>
        <v>0</v>
      </c>
      <c r="H23" s="1780">
        <f>SUM(H14:H16,H21,H22)</f>
        <v>31187</v>
      </c>
      <c r="I23" s="1780">
        <f>SUM(I14:I16,I21,I22)</f>
        <v>0</v>
      </c>
      <c r="J23" s="1780">
        <f>SUM(J14:J16,J21,J22)</f>
        <v>0</v>
      </c>
      <c r="K23" s="1780">
        <f>SUM(K14:K16,K21,K22)</f>
        <v>0</v>
      </c>
    </row>
    <row r="24" spans="1:11" ht="14.25" thickTop="1" thickBot="1" x14ac:dyDescent="0.25">
      <c r="A24" s="2277" t="s">
        <v>2026</v>
      </c>
      <c r="B24" s="2276"/>
      <c r="C24" s="2276"/>
      <c r="D24" s="2276"/>
      <c r="E24" s="227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2099</v>
      </c>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855983</v>
      </c>
      <c r="D5" s="842"/>
      <c r="E5" s="842"/>
      <c r="F5" s="1782">
        <f>(C5+D5)-E5</f>
        <v>855983</v>
      </c>
      <c r="G5" s="838"/>
      <c r="H5" s="843"/>
      <c r="I5" s="843"/>
      <c r="J5" s="843"/>
      <c r="K5" s="794"/>
      <c r="L5" s="1791">
        <f>F5-K5</f>
        <v>855983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10755942</v>
      </c>
      <c r="D8" s="845">
        <v>24541</v>
      </c>
      <c r="E8" s="845"/>
      <c r="F8" s="1782">
        <f>(C8+D8)-E8</f>
        <v>10780483</v>
      </c>
      <c r="G8" s="844">
        <v>50</v>
      </c>
      <c r="H8" s="766">
        <v>4477534</v>
      </c>
      <c r="I8" s="766">
        <v>205032</v>
      </c>
      <c r="J8" s="766"/>
      <c r="K8" s="1791">
        <f>(H8+I8)-J8</f>
        <v>4682566</v>
      </c>
      <c r="L8" s="1791">
        <f>F8-K8</f>
        <v>6097917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412704</v>
      </c>
      <c r="D10" s="847">
        <v>12196</v>
      </c>
      <c r="E10" s="847"/>
      <c r="F10" s="1786">
        <f>(C10+D10)-E10</f>
        <v>424900</v>
      </c>
      <c r="G10" s="844">
        <v>20</v>
      </c>
      <c r="H10" s="848">
        <v>263244</v>
      </c>
      <c r="I10" s="848">
        <v>17281</v>
      </c>
      <c r="J10" s="848"/>
      <c r="K10" s="1791">
        <f>(H10+I10)-J10</f>
        <v>280525</v>
      </c>
      <c r="L10" s="1791">
        <f>F10-K10</f>
        <v>144375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1705550</v>
      </c>
      <c r="D12" s="845">
        <v>9317</v>
      </c>
      <c r="E12" s="845"/>
      <c r="F12" s="1782">
        <f>(C12+D12)-E12</f>
        <v>1714867</v>
      </c>
      <c r="G12" s="844">
        <v>10</v>
      </c>
      <c r="H12" s="766">
        <v>1413922</v>
      </c>
      <c r="I12" s="766">
        <v>55221</v>
      </c>
      <c r="J12" s="766"/>
      <c r="K12" s="1791">
        <f>(H12+I12)-J12</f>
        <v>1469143</v>
      </c>
      <c r="L12" s="1791">
        <f>F12-K12</f>
        <v>245724</v>
      </c>
    </row>
    <row r="13" spans="1:14" ht="14.25" thickTop="1" thickBot="1" x14ac:dyDescent="0.25">
      <c r="A13" s="849" t="s">
        <v>1184</v>
      </c>
      <c r="B13" s="841">
        <v>252</v>
      </c>
      <c r="C13" s="845">
        <v>820417</v>
      </c>
      <c r="D13" s="845">
        <v>93356</v>
      </c>
      <c r="E13" s="845"/>
      <c r="F13" s="1782">
        <f>(C13+D13)-E13</f>
        <v>913773</v>
      </c>
      <c r="G13" s="844">
        <v>5</v>
      </c>
      <c r="H13" s="766">
        <v>763578</v>
      </c>
      <c r="I13" s="766">
        <v>24105</v>
      </c>
      <c r="J13" s="766"/>
      <c r="K13" s="1791">
        <f>(H13+I13)-J13</f>
        <v>787683</v>
      </c>
      <c r="L13" s="1791">
        <f>F13-K13</f>
        <v>126090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14550596</v>
      </c>
      <c r="D16" s="1782">
        <f>SUM(D3,D5:D6,D8:D10,D12:D15)</f>
        <v>139410</v>
      </c>
      <c r="E16" s="1782">
        <f>SUM(E3,E5:E6,E8:E10,E12:E15)</f>
        <v>0</v>
      </c>
      <c r="F16" s="1782">
        <f>SUM(F3,F5:F6,F8:F10,F12:F15)</f>
        <v>14690006</v>
      </c>
      <c r="G16" s="844"/>
      <c r="H16" s="1782">
        <f>SUM(H3,H6,H8:H10,H12:H14,)</f>
        <v>6918278</v>
      </c>
      <c r="I16" s="1782">
        <f>SUM(I3,I6,I8:I10,I12:I14,)</f>
        <v>301639</v>
      </c>
      <c r="J16" s="1782">
        <f>SUM(J3,J6,J8:J10,J12:J14,)</f>
        <v>0</v>
      </c>
      <c r="K16" s="1782">
        <f>(H16+I16)-J16</f>
        <v>7219917</v>
      </c>
      <c r="L16" s="1782">
        <f>F16-K16</f>
        <v>7470089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301639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7" sqref="A7:D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4886923</v>
      </c>
      <c r="G8" s="866"/>
    </row>
    <row r="9" spans="1:7" x14ac:dyDescent="0.2">
      <c r="A9" s="870" t="s">
        <v>480</v>
      </c>
      <c r="B9" s="871" t="s">
        <v>1989</v>
      </c>
      <c r="C9" s="872"/>
      <c r="D9" s="870" t="s">
        <v>522</v>
      </c>
      <c r="E9" s="869"/>
      <c r="F9" s="1935">
        <f>'Expenditures 15-22'!K151</f>
        <v>712701</v>
      </c>
      <c r="G9" s="873"/>
    </row>
    <row r="10" spans="1:7" x14ac:dyDescent="0.2">
      <c r="A10" s="870" t="s">
        <v>520</v>
      </c>
      <c r="B10" s="871" t="s">
        <v>1990</v>
      </c>
      <c r="C10" s="872"/>
      <c r="D10" s="870" t="s">
        <v>522</v>
      </c>
      <c r="E10" s="869"/>
      <c r="F10" s="1935">
        <f>'Expenditures 15-22'!K174</f>
        <v>355147</v>
      </c>
      <c r="G10" s="873"/>
    </row>
    <row r="11" spans="1:7" x14ac:dyDescent="0.2">
      <c r="A11" s="870" t="s">
        <v>481</v>
      </c>
      <c r="B11" s="871" t="s">
        <v>1991</v>
      </c>
      <c r="C11" s="872"/>
      <c r="D11" s="870" t="s">
        <v>522</v>
      </c>
      <c r="E11" s="869"/>
      <c r="F11" s="1935">
        <f>'Expenditures 15-22'!K210</f>
        <v>428090</v>
      </c>
      <c r="G11" s="873"/>
    </row>
    <row r="12" spans="1:7" x14ac:dyDescent="0.2">
      <c r="A12" s="870" t="s">
        <v>482</v>
      </c>
      <c r="B12" s="871" t="s">
        <v>1992</v>
      </c>
      <c r="C12" s="872"/>
      <c r="D12" s="870" t="s">
        <v>522</v>
      </c>
      <c r="E12" s="869"/>
      <c r="F12" s="1935">
        <f>'Expenditures 15-22'!K295</f>
        <v>240431</v>
      </c>
      <c r="G12" s="873"/>
    </row>
    <row r="13" spans="1:7" x14ac:dyDescent="0.2">
      <c r="A13" s="870" t="s">
        <v>108</v>
      </c>
      <c r="B13" s="871" t="s">
        <v>1993</v>
      </c>
      <c r="C13" s="872"/>
      <c r="D13" s="870" t="s">
        <v>522</v>
      </c>
      <c r="E13" s="869"/>
      <c r="F13" s="1935">
        <f>'Expenditures 15-22'!K342</f>
        <v>1067989</v>
      </c>
      <c r="G13" s="874"/>
    </row>
    <row r="14" spans="1:7" ht="12" customHeight="1" thickBot="1" x14ac:dyDescent="0.25">
      <c r="A14" s="1792"/>
      <c r="B14" s="1793"/>
      <c r="C14" s="1794"/>
      <c r="D14" s="1795" t="s">
        <v>522</v>
      </c>
      <c r="E14" s="1796" t="s">
        <v>1015</v>
      </c>
      <c r="F14" s="1797">
        <f>SUM(F8:F13)</f>
        <v>7691281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5082</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78773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11123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11177</v>
      </c>
      <c r="G52" s="866"/>
    </row>
    <row r="53" spans="1:7" x14ac:dyDescent="0.2">
      <c r="A53" s="870" t="s">
        <v>479</v>
      </c>
      <c r="B53" s="870" t="s">
        <v>1551</v>
      </c>
      <c r="C53" s="890">
        <f>'Expenditures 15-22'!B102</f>
        <v>4000</v>
      </c>
      <c r="D53" s="889" t="str">
        <f>'Expenditures 15-22'!A102</f>
        <v>Total Payments to Other Govt Units</v>
      </c>
      <c r="E53" s="869"/>
      <c r="F53" s="1939">
        <f>'Expenditures 15-22'!K102</f>
        <v>137328</v>
      </c>
      <c r="G53" s="866"/>
    </row>
    <row r="54" spans="1:7" x14ac:dyDescent="0.2">
      <c r="A54" s="870" t="s">
        <v>479</v>
      </c>
      <c r="B54" s="870" t="s">
        <v>1552</v>
      </c>
      <c r="C54" s="890" t="s">
        <v>1039</v>
      </c>
      <c r="D54" s="886" t="s">
        <v>1157</v>
      </c>
      <c r="E54" s="869"/>
      <c r="F54" s="1939">
        <f>'Expenditures 15-22'!G114</f>
        <v>78762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43358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295000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93356</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4030</v>
      </c>
      <c r="G67" s="866"/>
    </row>
    <row r="68" spans="1:8" x14ac:dyDescent="0.2">
      <c r="A68" s="870" t="s">
        <v>482</v>
      </c>
      <c r="B68" s="870" t="s">
        <v>1555</v>
      </c>
      <c r="C68" s="887" t="str">
        <f>'Expenditures 15-22'!B218</f>
        <v>1225</v>
      </c>
      <c r="D68" s="893" t="str">
        <f>'Expenditures 15-22'!A218</f>
        <v>Special Education Programs - Pre-K</v>
      </c>
      <c r="E68" s="869"/>
      <c r="F68" s="1939">
        <f>'Expenditures 15-22'!K218</f>
        <v>1219</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1875</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761083</v>
      </c>
      <c r="G76" s="866"/>
    </row>
    <row r="77" spans="1:8" s="894" customFormat="1" ht="12" customHeight="1" thickTop="1" thickBot="1" x14ac:dyDescent="0.25">
      <c r="A77" s="1801"/>
      <c r="B77" s="1798"/>
      <c r="C77" s="1794"/>
      <c r="D77" s="1799" t="s">
        <v>2012</v>
      </c>
      <c r="E77" s="1796"/>
      <c r="F77" s="1802">
        <f>(F14-F76)</f>
        <v>6930198</v>
      </c>
      <c r="G77" s="870"/>
    </row>
    <row r="78" spans="1:8" s="894" customFormat="1" ht="12" customHeight="1" thickTop="1" x14ac:dyDescent="0.2">
      <c r="A78" s="1803"/>
      <c r="B78" s="1798"/>
      <c r="C78" s="1794"/>
      <c r="D78" s="1799" t="s">
        <v>2059</v>
      </c>
      <c r="E78" s="1796"/>
      <c r="F78" s="899">
        <v>721.63</v>
      </c>
      <c r="G78" s="900"/>
      <c r="H78" s="870"/>
    </row>
    <row r="79" spans="1:8" s="894" customFormat="1" ht="12" customHeight="1" thickBot="1" x14ac:dyDescent="0.25">
      <c r="A79" s="1804"/>
      <c r="B79" s="1798"/>
      <c r="C79" s="1794"/>
      <c r="D79" s="1799" t="s">
        <v>2013</v>
      </c>
      <c r="E79" s="1796" t="s">
        <v>1015</v>
      </c>
      <c r="F79" s="1805">
        <f>IF(F78&gt;0,F77/F78," Complete Line 78")</f>
        <v>9603.5336668375767</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5547</v>
      </c>
      <c r="G94" s="913"/>
    </row>
    <row r="95" spans="1:7" x14ac:dyDescent="0.2">
      <c r="A95" s="909" t="s">
        <v>142</v>
      </c>
      <c r="B95" s="909" t="s">
        <v>177</v>
      </c>
      <c r="C95" s="911">
        <v>1700</v>
      </c>
      <c r="D95" s="919" t="str">
        <f>'Revenues 9-14'!A82</f>
        <v>Total District/School Activity Income</v>
      </c>
      <c r="E95" s="907"/>
      <c r="F95" s="1811">
        <f>SUM('Revenues 9-14'!C82,'Revenues 9-14'!D82)</f>
        <v>13593</v>
      </c>
      <c r="G95" s="913"/>
    </row>
    <row r="96" spans="1:7" x14ac:dyDescent="0.2">
      <c r="A96" s="909" t="s">
        <v>479</v>
      </c>
      <c r="B96" s="909" t="s">
        <v>178</v>
      </c>
      <c r="C96" s="911">
        <f>'Revenues 9-14'!B84</f>
        <v>1811</v>
      </c>
      <c r="D96" s="912" t="str">
        <f>'Revenues 9-14'!A84</f>
        <v>Rentals - Regular Textbooks</v>
      </c>
      <c r="E96" s="907"/>
      <c r="F96" s="1811">
        <f>'Revenues 9-14'!C84</f>
        <v>53016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158488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7176</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103651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1551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241231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121999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104795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162701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94385</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17707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5853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30081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209766</v>
      </c>
      <c r="G175" s="928"/>
    </row>
    <row r="176" spans="1:7" x14ac:dyDescent="0.2">
      <c r="A176" s="1944" t="s">
        <v>685</v>
      </c>
      <c r="B176" s="1945" t="s">
        <v>2058</v>
      </c>
      <c r="C176" s="1946">
        <v>3300</v>
      </c>
      <c r="D176" s="1947" t="s">
        <v>2062</v>
      </c>
      <c r="E176" s="907"/>
      <c r="F176" s="1931">
        <v>75</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1331615</v>
      </c>
    </row>
    <row r="179" spans="1:7" ht="12" customHeight="1" x14ac:dyDescent="0.2">
      <c r="A179" s="1792"/>
      <c r="B179" s="1806"/>
      <c r="C179" s="1807"/>
      <c r="D179" s="1808" t="s">
        <v>2015</v>
      </c>
      <c r="E179" s="1809"/>
      <c r="F179" s="1811">
        <f>'PCTC-OEPP 27-28'!F77-F178</f>
        <v>5598583</v>
      </c>
    </row>
    <row r="180" spans="1:7" ht="12" customHeight="1" x14ac:dyDescent="0.2">
      <c r="A180" s="1792"/>
      <c r="B180" s="1806"/>
      <c r="C180" s="1807"/>
      <c r="D180" s="1808" t="s">
        <v>1924</v>
      </c>
      <c r="E180" s="1809"/>
      <c r="F180" s="1811">
        <f>'Cap Outlay Deprec 26'!I18</f>
        <v>301639</v>
      </c>
    </row>
    <row r="181" spans="1:7" ht="12" customHeight="1" x14ac:dyDescent="0.2">
      <c r="A181" s="1792"/>
      <c r="B181" s="1806"/>
      <c r="C181" s="1807"/>
      <c r="D181" s="1808" t="s">
        <v>2016</v>
      </c>
      <c r="E181" s="1809"/>
      <c r="F181" s="1811">
        <f>F179+F180</f>
        <v>5900222</v>
      </c>
    </row>
    <row r="182" spans="1:7" ht="12" customHeight="1" x14ac:dyDescent="0.2">
      <c r="A182" s="1792"/>
      <c r="B182" s="1812"/>
      <c r="C182" s="1807"/>
      <c r="D182" s="1808" t="str">
        <f>D78</f>
        <v>9 Month ADA from District Average Daily Attendance/Prior General State Aid Inquiry 2017-2018</v>
      </c>
      <c r="E182" s="1809"/>
      <c r="F182" s="1813">
        <f>'PCTC-OEPP 27-28'!F78</f>
        <v>721.63</v>
      </c>
      <c r="G182" s="931"/>
    </row>
    <row r="183" spans="1:7" ht="12" customHeight="1" thickBot="1" x14ac:dyDescent="0.25">
      <c r="A183" s="1792"/>
      <c r="B183" s="1812"/>
      <c r="C183" s="1807"/>
      <c r="D183" s="1808" t="s">
        <v>2017</v>
      </c>
      <c r="E183" s="1809" t="s">
        <v>1626</v>
      </c>
      <c r="F183" s="1814">
        <f>F181/F182</f>
        <v>8176.2426728378814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6" zoomScaleNormal="100" workbookViewId="0">
      <selection activeCell="B20" sqref="B2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6" t="s">
        <v>1926</v>
      </c>
      <c r="B6" s="1557"/>
      <c r="C6" s="1557"/>
      <c r="D6" s="1557"/>
      <c r="E6" s="1557"/>
      <c r="F6" s="1557"/>
      <c r="G6" s="1558"/>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9" t="s">
        <v>1927</v>
      </c>
      <c r="B10" s="1560"/>
      <c r="C10" s="1560"/>
      <c r="D10" s="1560"/>
      <c r="E10" s="1560"/>
      <c r="F10" s="1560"/>
      <c r="G10" s="1561"/>
    </row>
    <row r="11" spans="1:7" ht="17.25" customHeight="1" x14ac:dyDescent="0.25">
      <c r="A11" s="2305" t="s">
        <v>1941</v>
      </c>
      <c r="B11" s="2306"/>
      <c r="C11" s="2306"/>
      <c r="D11" s="2306"/>
      <c r="E11" s="2306"/>
      <c r="F11" s="2306"/>
      <c r="G11" s="2307"/>
    </row>
    <row r="12" spans="1:7" ht="15" customHeight="1" x14ac:dyDescent="0.25">
      <c r="A12" s="1559" t="s">
        <v>1932</v>
      </c>
      <c r="B12" s="1560"/>
      <c r="C12" s="1560"/>
      <c r="D12" s="1560"/>
      <c r="E12" s="1560"/>
      <c r="F12" s="1560"/>
      <c r="G12" s="1561"/>
    </row>
    <row r="13" spans="1:7" ht="32.25" customHeight="1" x14ac:dyDescent="0.25">
      <c r="A13" s="2296" t="s">
        <v>1933</v>
      </c>
      <c r="B13" s="2297"/>
      <c r="C13" s="2297"/>
      <c r="D13" s="2297"/>
      <c r="E13" s="2297"/>
      <c r="F13" s="2297"/>
      <c r="G13" s="229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3" t="s">
        <v>2120</v>
      </c>
      <c r="B17" s="1966" t="s">
        <v>2129</v>
      </c>
      <c r="C17" s="1964" t="s">
        <v>2121</v>
      </c>
      <c r="D17" s="1867">
        <v>51888</v>
      </c>
      <c r="E17" s="1562">
        <f t="shared" ref="E17:E141" si="1">IF(D17&lt;=25000,D17,IF(D17&gt;25000,25000,0))</f>
        <v>25000</v>
      </c>
      <c r="F17" s="1815">
        <f t="shared" si="0"/>
        <v>25000</v>
      </c>
      <c r="G17" s="1816">
        <f>IF(F17=0,0,D17-F17)</f>
        <v>26888</v>
      </c>
      <c r="H17" s="1669"/>
    </row>
    <row r="18" spans="1:8" x14ac:dyDescent="0.25">
      <c r="A18" s="1963" t="s">
        <v>2122</v>
      </c>
      <c r="B18" s="1966" t="s">
        <v>2130</v>
      </c>
      <c r="C18" s="1964" t="s">
        <v>2123</v>
      </c>
      <c r="D18" s="1867">
        <v>24639</v>
      </c>
      <c r="E18" s="1562">
        <f t="shared" ref="E18:E140" si="2">IF(D18&lt;=25000,D18,IF(D18&gt;25000,25000,0))</f>
        <v>24639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24639</v>
      </c>
      <c r="G18" s="1816">
        <f t="shared" ref="G18:G140" si="4">IF(F18=0,0,D18-F18)</f>
        <v>0</v>
      </c>
    </row>
    <row r="19" spans="1:8" x14ac:dyDescent="0.25">
      <c r="A19" s="1965" t="s">
        <v>2124</v>
      </c>
      <c r="B19" s="1966" t="s">
        <v>2131</v>
      </c>
      <c r="C19" s="1967" t="s">
        <v>2125</v>
      </c>
      <c r="D19" s="1867">
        <v>7000</v>
      </c>
      <c r="E19" s="1562">
        <f t="shared" si="2"/>
        <v>7000</v>
      </c>
      <c r="F19" s="1815">
        <f t="shared" si="3"/>
        <v>7000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83527</v>
      </c>
      <c r="E141" s="1563">
        <f t="shared" si="1"/>
        <v>25000</v>
      </c>
      <c r="F141" s="1817">
        <f>SUM(F17:F140)</f>
        <v>56639</v>
      </c>
      <c r="G141" s="1818">
        <f>SUM(G17:G140)</f>
        <v>26888</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7" colorId="8"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61239</v>
      </c>
      <c r="F10" s="975"/>
      <c r="G10" s="976"/>
      <c r="H10" s="162"/>
      <c r="I10" s="162"/>
    </row>
    <row r="11" spans="1:9" s="669" customFormat="1" ht="22.5" customHeight="1" x14ac:dyDescent="0.2">
      <c r="A11" s="2316" t="s">
        <v>1945</v>
      </c>
      <c r="B11" s="2317"/>
      <c r="C11" s="2317"/>
      <c r="D11" s="2318"/>
      <c r="E11" s="978">
        <v>28431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4111619</v>
      </c>
      <c r="F19" s="1822"/>
      <c r="G19" s="1824">
        <f>'Expenditures 15-22'!K33-SUM('Expenditures 15-22'!G33,'Expenditures 15-22'!I33)+'Expenditures 15-22'!D229</f>
        <v>4111619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104791</v>
      </c>
      <c r="F21" s="1825"/>
      <c r="G21" s="1828">
        <f>'Expenditures 15-22'!K42-SUM('Expenditures 15-22'!G42,'Expenditures 15-22'!I42)+'Expenditures 15-22'!K120-SUM('Expenditures 15-22'!G120,'Expenditures 15-22'!I120)+'Expenditures 15-22'!K180-SUM('Expenditures 15-22'!G180,'Expenditures 15-22'!I180)+'Expenditures 15-22'!D238</f>
        <v>104791</v>
      </c>
      <c r="H21" s="988"/>
      <c r="I21" s="162"/>
    </row>
    <row r="22" spans="1:9" s="669" customFormat="1" ht="12" customHeight="1" x14ac:dyDescent="0.2">
      <c r="A22" s="995" t="s">
        <v>585</v>
      </c>
      <c r="B22" s="996"/>
      <c r="C22" s="994">
        <v>2200</v>
      </c>
      <c r="D22" s="1825"/>
      <c r="E22" s="1827">
        <f>'Expenditures 15-22'!K47-SUM('Expenditures 15-22'!G47,'Expenditures 15-22'!I47)+'Expenditures 15-22'!D243</f>
        <v>41172</v>
      </c>
      <c r="F22" s="1825"/>
      <c r="G22" s="1828">
        <f>'Expenditures 15-22'!K47-SUM('Expenditures 15-22'!G47,'Expenditures 15-22'!I47)+'Expenditures 15-22'!D243</f>
        <v>41172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1318579</v>
      </c>
      <c r="F23" s="1825"/>
      <c r="G23" s="1827">
        <f>'Expenditures 15-22'!K53-SUM('Expenditures 15-22'!G53,'Expenditures 15-22'!I53)+'Expenditures 15-22'!D257+'Expenditures 15-22'!K330-SUM('Expenditures 15-22'!G330,'Expenditures 15-22'!I330)</f>
        <v>1318579</v>
      </c>
      <c r="H23" s="988"/>
      <c r="I23" s="162"/>
    </row>
    <row r="24" spans="1:9" s="669" customFormat="1" ht="12" customHeight="1" x14ac:dyDescent="0.2">
      <c r="A24" s="995" t="s">
        <v>587</v>
      </c>
      <c r="B24" s="996"/>
      <c r="C24" s="994">
        <v>2400</v>
      </c>
      <c r="D24" s="1825"/>
      <c r="E24" s="1827">
        <f>'Expenditures 15-22'!K57-SUM('Expenditures 15-22'!G57,'Expenditures 15-22'!I57)+'Expenditures 15-22'!D261</f>
        <v>107094</v>
      </c>
      <c r="F24" s="1825"/>
      <c r="G24" s="1828">
        <f>'Expenditures 15-22'!K57-SUM('Expenditures 15-22'!G57,'Expenditures 15-22'!I57)+'Expenditures 15-22'!D261</f>
        <v>107094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732224</v>
      </c>
      <c r="F28" s="1829">
        <f>'Expenditures 15-22'!K61-SUM('Expenditures 15-22'!G61,'Expenditures 15-22'!I61)+'Expenditures 15-22'!K124-SUM('Expenditures 15-22'!G124,'Expenditures 15-22'!I124)+'Expenditures 15-22'!D266-E9</f>
        <v>732224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368834</v>
      </c>
      <c r="F29" s="1825"/>
      <c r="G29" s="1828">
        <f>'Expenditures 15-22'!K62-SUM('Expenditures 15-22'!G62,'Expenditures 15-22'!I62)+'Expenditures 15-22'!K125-SUM('Expenditures 15-22'!G125,'Expenditures 15-22'!I125)+'Expenditures 15-22'!K182-SUM('Expenditures 15-22'!G182,'Expenditures 15-22'!I182)+'Expenditures 15-22'!D267</f>
        <v>368834</v>
      </c>
      <c r="H29" s="986"/>
    </row>
    <row r="30" spans="1:9" ht="12" customHeight="1" x14ac:dyDescent="0.2">
      <c r="A30" s="995" t="s">
        <v>102</v>
      </c>
      <c r="B30" s="998"/>
      <c r="C30" s="994">
        <v>2560</v>
      </c>
      <c r="D30" s="1825"/>
      <c r="E30" s="1827">
        <f>'Expenditures 15-22'!K63-SUM('Expenditures 15-22'!G63,'Expenditures 15-22'!I63)+'Expenditures 15-22'!D268-E10</f>
        <v>124726</v>
      </c>
      <c r="F30" s="1825"/>
      <c r="G30" s="1827">
        <f>'Expenditures 15-22'!K63-SUM('Expenditures 15-22'!G63,'Expenditures 15-22'!I63)+'Expenditures 15-22'!D268-E10</f>
        <v>124726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13052</v>
      </c>
      <c r="F39" s="1825"/>
      <c r="G39" s="1827">
        <f>'Expenditures 15-22'!K75-SUM('Expenditures 15-22'!G75,'Expenditures 15-22'!I75)+'Expenditures 15-22'!K130-SUM('Expenditures 15-22'!G130,'Expenditures 15-22'!I130)+'Expenditures 15-22'!K185-SUM('Expenditures 15-22'!G185,'Expenditures 15-22'!I185)+'Expenditures 15-22'!D280</f>
        <v>13052</v>
      </c>
    </row>
    <row r="40" spans="1:7" ht="12" customHeight="1" x14ac:dyDescent="0.2">
      <c r="A40" s="991" t="s">
        <v>1930</v>
      </c>
      <c r="B40" s="992"/>
      <c r="C40" s="994"/>
      <c r="D40" s="1825"/>
      <c r="E40" s="1829">
        <f>-'Contracts Paid in CY 29'!G141</f>
        <v>-26888</v>
      </c>
      <c r="F40" s="1825"/>
      <c r="G40" s="1829">
        <f>-'Contracts Paid in CY 29'!G141</f>
        <v>-26888</v>
      </c>
    </row>
    <row r="41" spans="1:7" ht="12" customHeight="1" x14ac:dyDescent="0.2">
      <c r="A41" s="999" t="s">
        <v>158</v>
      </c>
      <c r="B41" s="1000"/>
      <c r="C41" s="1001"/>
      <c r="D41" s="1829">
        <f>SUM(D19:D39)</f>
        <v>0</v>
      </c>
      <c r="E41" s="1829">
        <f>SUM(E19:E40)</f>
        <v>6895203</v>
      </c>
      <c r="F41" s="1829">
        <f>SUM(F19:F39)</f>
        <v>732224</v>
      </c>
      <c r="G41" s="1829">
        <f>SUM(G19:G40)</f>
        <v>6162979</v>
      </c>
    </row>
    <row r="42" spans="1:7" x14ac:dyDescent="0.2">
      <c r="A42" s="988"/>
      <c r="B42" s="162"/>
      <c r="C42" s="1002"/>
      <c r="D42" s="2314" t="s">
        <v>543</v>
      </c>
      <c r="E42" s="2315"/>
      <c r="F42" s="1003" t="s">
        <v>544</v>
      </c>
      <c r="G42" s="1004"/>
    </row>
    <row r="43" spans="1:7" ht="12" customHeight="1" x14ac:dyDescent="0.2">
      <c r="A43" s="988"/>
      <c r="B43" s="162"/>
      <c r="C43" s="1002"/>
      <c r="D43" s="1830" t="s">
        <v>493</v>
      </c>
      <c r="E43" s="1831">
        <f>D41</f>
        <v>0</v>
      </c>
      <c r="F43" s="1830" t="s">
        <v>495</v>
      </c>
      <c r="G43" s="1831">
        <f>F41</f>
        <v>732224</v>
      </c>
    </row>
    <row r="44" spans="1:7" ht="12" customHeight="1" x14ac:dyDescent="0.2">
      <c r="A44" s="988"/>
      <c r="B44" s="162"/>
      <c r="C44" s="1002"/>
      <c r="D44" s="1830" t="s">
        <v>494</v>
      </c>
      <c r="E44" s="1831">
        <f>E41</f>
        <v>6895203</v>
      </c>
      <c r="F44" s="1830" t="s">
        <v>494</v>
      </c>
      <c r="G44" s="1831">
        <f>G41</f>
        <v>6162979</v>
      </c>
    </row>
    <row r="45" spans="1:7" ht="12" customHeight="1" x14ac:dyDescent="0.2">
      <c r="A45" s="988"/>
      <c r="B45" s="162"/>
      <c r="C45" s="162"/>
      <c r="D45" s="1832" t="s">
        <v>1063</v>
      </c>
      <c r="E45" s="1833">
        <f>(E43/E44)</f>
        <v>0</v>
      </c>
      <c r="F45" s="1832" t="s">
        <v>1063</v>
      </c>
      <c r="G45" s="1833">
        <f>(G43/G44)</f>
        <v>0.11881007545214742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3" t="s">
        <v>1446</v>
      </c>
      <c r="B1" s="2333"/>
      <c r="C1" s="2333"/>
      <c r="D1" s="2333"/>
      <c r="E1" s="2333"/>
      <c r="F1" s="233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4" t="s">
        <v>1627</v>
      </c>
      <c r="B5" s="2335"/>
      <c r="C5" s="2336"/>
      <c r="D5" s="2336"/>
      <c r="E5" s="2336"/>
      <c r="F5" s="2336"/>
    </row>
    <row r="6" spans="1:10" ht="12" customHeight="1" x14ac:dyDescent="0.25">
      <c r="A6" s="1875"/>
      <c r="B6" s="1876"/>
      <c r="C6" s="2337" t="str">
        <f>COVER!A17</f>
        <v>Freeburg CCSD 70</v>
      </c>
      <c r="D6" s="2337"/>
      <c r="E6" s="2337"/>
      <c r="F6" s="1877"/>
    </row>
    <row r="7" spans="1:10" ht="11.25" customHeight="1" thickBot="1" x14ac:dyDescent="0.3">
      <c r="A7" s="1875"/>
      <c r="B7" s="1876"/>
      <c r="C7" s="2338">
        <f>COVER!A13</f>
        <v>50082070004</v>
      </c>
      <c r="D7" s="2338"/>
      <c r="E7" s="233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2099</v>
      </c>
      <c r="D13" s="1890" t="s">
        <v>2099</v>
      </c>
      <c r="E13" s="1893" t="s">
        <v>2099</v>
      </c>
      <c r="F13" s="1892" t="s">
        <v>2115</v>
      </c>
      <c r="H13" s="1903">
        <f t="shared" si="0"/>
        <v>5</v>
      </c>
      <c r="I13" s="1903">
        <f t="shared" si="1"/>
        <v>5</v>
      </c>
      <c r="J13" s="1903">
        <f t="shared" si="2"/>
        <v>5</v>
      </c>
    </row>
    <row r="14" spans="1:10" ht="12" customHeight="1" x14ac:dyDescent="0.2">
      <c r="A14" s="1888" t="s">
        <v>1453</v>
      </c>
      <c r="B14" s="1889"/>
      <c r="C14" s="1890" t="s">
        <v>2099</v>
      </c>
      <c r="D14" s="1890" t="s">
        <v>2099</v>
      </c>
      <c r="E14" s="1893" t="s">
        <v>2099</v>
      </c>
      <c r="F14" s="1892" t="s">
        <v>2116</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2099</v>
      </c>
      <c r="D26" s="1890" t="s">
        <v>2099</v>
      </c>
      <c r="E26" s="1893" t="s">
        <v>2099</v>
      </c>
      <c r="F26" s="1892" t="s">
        <v>2117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2099</v>
      </c>
      <c r="D29" s="1890"/>
      <c r="E29" s="1893"/>
      <c r="F29" s="1892" t="s">
        <v>2118</v>
      </c>
      <c r="H29" s="1903">
        <f t="shared" si="0"/>
        <v>5</v>
      </c>
      <c r="I29" s="1903">
        <f t="shared" si="1"/>
        <v>0</v>
      </c>
      <c r="J29" s="1903">
        <f t="shared" si="2"/>
        <v>0</v>
      </c>
    </row>
    <row r="30" spans="1:12" ht="12" customHeight="1" x14ac:dyDescent="0.2">
      <c r="A30" s="1888" t="s">
        <v>1619</v>
      </c>
      <c r="B30" s="1889"/>
      <c r="C30" s="1890" t="s">
        <v>2099</v>
      </c>
      <c r="D30" s="1890" t="s">
        <v>2099</v>
      </c>
      <c r="E30" s="1893" t="s">
        <v>2099</v>
      </c>
      <c r="F30" s="1892" t="s">
        <v>2119</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20</v>
      </c>
      <c r="J34" s="1903">
        <f>SUM(J11:J32)</f>
        <v>20</v>
      </c>
      <c r="K34" s="1903">
        <f>SUM(H34:J34)</f>
        <v>65</v>
      </c>
    </row>
    <row r="35" spans="1:11" ht="12" customHeight="1" x14ac:dyDescent="0.2">
      <c r="A35" s="1896" t="s">
        <v>1459</v>
      </c>
      <c r="B35" s="1897"/>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8"/>
      <c r="B39" s="1898"/>
      <c r="C39" s="1898"/>
      <c r="D39" s="1898"/>
      <c r="E39" s="1898"/>
      <c r="F39" s="1898"/>
    </row>
    <row r="40" spans="1:11" s="1895" customFormat="1" ht="12" customHeight="1" x14ac:dyDescent="0.25">
      <c r="A40" s="1899" t="s">
        <v>1458</v>
      </c>
      <c r="B40" s="1900"/>
      <c r="C40" s="2328"/>
      <c r="D40" s="2328"/>
      <c r="E40" s="2328"/>
      <c r="F40" s="2329"/>
      <c r="H40" s="1904"/>
      <c r="I40" s="1904"/>
      <c r="J40" s="1904"/>
      <c r="K40" s="1904"/>
    </row>
    <row r="41" spans="1:11" s="1895" customFormat="1" ht="12" customHeight="1" x14ac:dyDescent="0.25">
      <c r="A41" s="2330"/>
      <c r="B41" s="2331"/>
      <c r="C41" s="2331"/>
      <c r="D41" s="2331"/>
      <c r="E41" s="2331"/>
      <c r="F41" s="2332"/>
      <c r="H41" s="1904"/>
      <c r="I41" s="1904"/>
      <c r="J41" s="1904"/>
      <c r="K41" s="1904"/>
    </row>
    <row r="42" spans="1:11" s="1895" customFormat="1" ht="12" customHeight="1" x14ac:dyDescent="0.25">
      <c r="A42" s="2330"/>
      <c r="B42" s="2331"/>
      <c r="C42" s="2331"/>
      <c r="D42" s="2331"/>
      <c r="E42" s="2331"/>
      <c r="F42" s="2332"/>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6" t="str">
        <f>COVER!A17</f>
        <v>Freeburg CCSD 70</v>
      </c>
      <c r="J6" s="2347"/>
      <c r="Q6" s="1686"/>
    </row>
    <row r="7" spans="1:17" x14ac:dyDescent="0.2">
      <c r="A7" s="2348" t="s">
        <v>924</v>
      </c>
      <c r="B7" s="2349"/>
      <c r="C7" s="2349"/>
      <c r="D7" s="2349"/>
      <c r="E7" s="2350"/>
      <c r="F7" s="1018"/>
      <c r="G7" s="1010"/>
      <c r="H7" s="1017" t="s">
        <v>390</v>
      </c>
      <c r="I7" s="2351">
        <f>COVER!A13</f>
        <v>50082070004</v>
      </c>
      <c r="J7" s="235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220455</v>
      </c>
      <c r="F12" s="1040"/>
      <c r="G12" s="1834">
        <f t="shared" ref="G12:G18" si="0">SUM(E12:F12)</f>
        <v>220455</v>
      </c>
      <c r="H12" s="1041">
        <v>231750</v>
      </c>
      <c r="I12" s="1040"/>
      <c r="J12" s="1834">
        <f t="shared" ref="J12:J18" si="1">SUM(H12:I12)</f>
        <v>231750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5" t="s">
        <v>7</v>
      </c>
      <c r="C18" s="2356"/>
      <c r="D18" s="235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220455</v>
      </c>
      <c r="F19" s="1836">
        <f t="shared" si="2"/>
        <v>0</v>
      </c>
      <c r="G19" s="1836">
        <f t="shared" si="2"/>
        <v>220455</v>
      </c>
      <c r="H19" s="1836">
        <f t="shared" si="2"/>
        <v>231750</v>
      </c>
      <c r="I19" s="1836">
        <f t="shared" si="2"/>
        <v>0</v>
      </c>
      <c r="J19" s="1836">
        <f t="shared" si="2"/>
        <v>231750</v>
      </c>
    </row>
    <row r="20" spans="1:10" ht="13.5" thickTop="1" x14ac:dyDescent="0.2">
      <c r="A20" s="1036">
        <v>9</v>
      </c>
      <c r="B20" s="2358" t="s">
        <v>1703</v>
      </c>
      <c r="C20" s="2358"/>
      <c r="D20" s="2359"/>
      <c r="E20" s="1047"/>
      <c r="F20" s="1047"/>
      <c r="G20" s="1047"/>
      <c r="H20" s="1047"/>
      <c r="I20" s="1047"/>
      <c r="J20" s="1837">
        <f>IF(AND(G19&gt;0,J19&gt;0),(((J19-G19)/G19)),"Enter Budget Data")</f>
        <v>5.1234945907328029E-2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J63"/>
  <sheetViews>
    <sheetView showGridLines="0" zoomScale="110" zoomScaleNormal="110" zoomScaleSheetLayoutView="120" workbookViewId="0">
      <selection activeCell="J16" sqref="J16"/>
    </sheetView>
  </sheetViews>
  <sheetFormatPr defaultColWidth="9.140625" defaultRowHeight="12.75" x14ac:dyDescent="0.2"/>
  <cols>
    <col min="1" max="1" width="3.42578125" style="329" customWidth="1"/>
    <col min="2" max="2" width="11.5703125" style="329" customWidth="1"/>
    <col min="3" max="3" width="3.42578125" style="329" customWidth="1"/>
    <col min="4" max="4" width="11.5703125" style="329" customWidth="1"/>
    <col min="5" max="5" width="3.42578125" style="329" customWidth="1"/>
    <col min="6" max="6" width="16.140625" style="329" customWidth="1"/>
    <col min="7" max="7" width="3.42578125" style="329" customWidth="1"/>
    <col min="8" max="8" width="40.28515625" style="329" customWidth="1"/>
    <col min="9" max="9" width="3.42578125" style="329" customWidth="1"/>
    <col min="10" max="11" width="11.5703125" style="329" customWidth="1"/>
    <col min="12" max="16384" width="9.140625" style="329"/>
  </cols>
  <sheetData>
    <row r="2" spans="1:10" x14ac:dyDescent="0.2">
      <c r="A2" s="389" t="s">
        <v>276</v>
      </c>
    </row>
    <row r="3" spans="1:10" x14ac:dyDescent="0.2">
      <c r="A3" s="329" t="s">
        <v>277</v>
      </c>
    </row>
    <row r="5" spans="1:10" x14ac:dyDescent="0.2">
      <c r="A5" s="1069"/>
      <c r="B5" s="1957" t="s">
        <v>2105</v>
      </c>
      <c r="D5" s="1957" t="s">
        <v>396</v>
      </c>
      <c r="F5" s="1957" t="s">
        <v>1137</v>
      </c>
      <c r="H5" s="1957" t="s">
        <v>502</v>
      </c>
      <c r="J5" s="1957" t="s">
        <v>920</v>
      </c>
    </row>
    <row r="6" spans="1:10" x14ac:dyDescent="0.2">
      <c r="A6" s="1958"/>
      <c r="B6" s="1956"/>
      <c r="C6" s="1956"/>
      <c r="D6" s="1956"/>
      <c r="E6" s="1956"/>
      <c r="F6" s="1956"/>
      <c r="G6" s="1956"/>
      <c r="H6" s="1956"/>
      <c r="I6" s="1956"/>
      <c r="J6" s="1956"/>
    </row>
    <row r="7" spans="1:10" x14ac:dyDescent="0.2">
      <c r="A7" s="1958"/>
      <c r="B7" s="1956">
        <v>10</v>
      </c>
      <c r="C7" s="1956"/>
      <c r="D7" s="1956">
        <v>1999</v>
      </c>
      <c r="E7" s="1956"/>
      <c r="F7" s="1956" t="s">
        <v>157</v>
      </c>
      <c r="G7" s="1956"/>
      <c r="H7" s="1956" t="s">
        <v>2127</v>
      </c>
      <c r="I7" s="1956"/>
      <c r="J7" s="1961">
        <v>4816</v>
      </c>
    </row>
    <row r="8" spans="1:10" x14ac:dyDescent="0.2">
      <c r="A8" s="1958"/>
      <c r="B8" s="1956"/>
      <c r="C8" s="1956"/>
      <c r="D8" s="1956"/>
      <c r="E8" s="1956"/>
      <c r="F8" s="1956"/>
      <c r="G8" s="1956"/>
      <c r="H8" s="1956"/>
      <c r="I8" s="1956"/>
      <c r="J8" s="1956"/>
    </row>
    <row r="9" spans="1:10" x14ac:dyDescent="0.2">
      <c r="A9" s="1959"/>
      <c r="B9" s="1956">
        <v>18</v>
      </c>
      <c r="C9" s="1956"/>
      <c r="D9" s="1956">
        <v>5400</v>
      </c>
      <c r="E9" s="1956"/>
      <c r="F9" s="1956" t="s">
        <v>470</v>
      </c>
      <c r="G9" s="1956"/>
      <c r="H9" s="1956" t="s">
        <v>2109</v>
      </c>
      <c r="I9" s="1956"/>
      <c r="J9" s="1961">
        <v>292</v>
      </c>
    </row>
    <row r="10" spans="1:10" x14ac:dyDescent="0.2">
      <c r="A10" s="1959"/>
      <c r="B10" s="1956"/>
      <c r="C10" s="1956"/>
      <c r="D10" s="1956"/>
      <c r="E10" s="1956"/>
      <c r="F10" s="1956"/>
      <c r="G10" s="1956"/>
      <c r="H10" s="1956"/>
      <c r="I10" s="1956"/>
      <c r="J10" s="1956"/>
    </row>
    <row r="11" spans="1:10" x14ac:dyDescent="0.2">
      <c r="A11" s="1959"/>
      <c r="B11" s="1956">
        <v>29</v>
      </c>
      <c r="C11" s="1956"/>
      <c r="D11" s="1960" t="s">
        <v>2106</v>
      </c>
      <c r="E11" s="1956"/>
      <c r="F11" s="1956" t="s">
        <v>2107</v>
      </c>
      <c r="G11" s="1956"/>
      <c r="H11" s="1956" t="s">
        <v>2110</v>
      </c>
      <c r="I11" s="1956"/>
      <c r="J11" s="1961">
        <v>-510000</v>
      </c>
    </row>
    <row r="12" spans="1:10" x14ac:dyDescent="0.2">
      <c r="A12" s="1959"/>
      <c r="B12" s="1956"/>
      <c r="C12" s="1956"/>
      <c r="D12" s="1956"/>
      <c r="E12" s="1956"/>
      <c r="F12" s="1956"/>
      <c r="G12" s="1956"/>
      <c r="H12" s="1956" t="s">
        <v>2113</v>
      </c>
      <c r="I12" s="1956"/>
      <c r="J12" s="1962">
        <v>510000</v>
      </c>
    </row>
    <row r="13" spans="1:10" x14ac:dyDescent="0.2">
      <c r="A13" s="1959"/>
      <c r="B13" s="1956"/>
      <c r="C13" s="1956"/>
      <c r="D13" s="1956"/>
      <c r="E13" s="1956"/>
      <c r="F13" s="1956"/>
      <c r="G13" s="1956"/>
      <c r="H13" s="1956" t="s">
        <v>2114</v>
      </c>
      <c r="I13" s="1956"/>
      <c r="J13" s="1962">
        <v>14000</v>
      </c>
    </row>
    <row r="14" spans="1:10" x14ac:dyDescent="0.2">
      <c r="A14" s="1959"/>
      <c r="B14" s="1956"/>
      <c r="C14" s="1956"/>
      <c r="D14" s="1956"/>
      <c r="E14" s="1956"/>
      <c r="F14" s="1956" t="s">
        <v>2108</v>
      </c>
      <c r="G14" s="1956"/>
      <c r="H14" s="1956" t="s">
        <v>2111</v>
      </c>
      <c r="I14" s="1956"/>
      <c r="J14" s="1962">
        <v>62096</v>
      </c>
    </row>
    <row r="15" spans="1:10" x14ac:dyDescent="0.2">
      <c r="A15" s="1959"/>
      <c r="B15" s="1956"/>
      <c r="C15" s="1956"/>
      <c r="D15" s="1956"/>
      <c r="E15" s="1956"/>
      <c r="F15" s="1956" t="s">
        <v>2108</v>
      </c>
      <c r="G15" s="1956"/>
      <c r="H15" s="1956" t="s">
        <v>2112</v>
      </c>
      <c r="I15" s="1956"/>
      <c r="J15" s="1962">
        <v>-51825</v>
      </c>
    </row>
    <row r="16" spans="1:10" x14ac:dyDescent="0.2">
      <c r="A16" s="1959"/>
      <c r="B16" s="1956"/>
      <c r="C16" s="1956"/>
      <c r="D16" s="1960"/>
      <c r="E16" s="1956"/>
      <c r="F16" s="1956"/>
      <c r="G16" s="1956"/>
      <c r="H16" s="1956"/>
      <c r="I16" s="1956"/>
      <c r="J16" s="1956"/>
    </row>
    <row r="17" spans="1:10" x14ac:dyDescent="0.2">
      <c r="A17" s="1959"/>
      <c r="B17" s="1956"/>
      <c r="C17" s="1956"/>
      <c r="D17" s="1956"/>
      <c r="E17" s="1956"/>
      <c r="F17" s="1956"/>
      <c r="G17" s="1956"/>
      <c r="H17" s="1956"/>
      <c r="I17" s="1956"/>
      <c r="J17" s="1956"/>
    </row>
    <row r="18" spans="1:10" x14ac:dyDescent="0.2">
      <c r="A18" s="1959"/>
      <c r="B18" s="1956">
        <v>30</v>
      </c>
      <c r="C18" s="1956"/>
      <c r="D18" s="1956"/>
      <c r="E18" s="1956"/>
      <c r="F18" s="1956" t="s">
        <v>430</v>
      </c>
      <c r="G18" s="1956"/>
      <c r="H18" s="1956" t="s">
        <v>2126</v>
      </c>
      <c r="I18" s="1956"/>
      <c r="J18" s="1968">
        <v>39</v>
      </c>
    </row>
    <row r="19" spans="1:10" x14ac:dyDescent="0.2">
      <c r="A19" s="1959"/>
      <c r="B19" s="1956"/>
      <c r="C19" s="1956"/>
      <c r="D19" s="1956"/>
      <c r="E19" s="1956"/>
      <c r="F19" s="1956"/>
      <c r="G19" s="1956"/>
      <c r="H19" s="1956"/>
      <c r="I19" s="1956"/>
      <c r="J19" s="1956"/>
    </row>
    <row r="20" spans="1:10" x14ac:dyDescent="0.2">
      <c r="A20" s="1959"/>
      <c r="B20" s="1956"/>
      <c r="C20" s="1956"/>
      <c r="D20" s="1956"/>
      <c r="E20" s="1956"/>
      <c r="F20" s="1956"/>
      <c r="G20" s="1956"/>
      <c r="H20" s="1956"/>
      <c r="I20" s="1956"/>
      <c r="J20" s="1956"/>
    </row>
    <row r="21" spans="1:10" x14ac:dyDescent="0.2">
      <c r="A21" s="1959"/>
      <c r="B21" s="1956"/>
      <c r="C21" s="1956"/>
      <c r="D21" s="1956"/>
      <c r="E21" s="1956"/>
      <c r="F21" s="1956"/>
      <c r="G21" s="1956"/>
      <c r="H21" s="1956"/>
      <c r="I21" s="1956"/>
      <c r="J21" s="1956"/>
    </row>
    <row r="22" spans="1:10" x14ac:dyDescent="0.2">
      <c r="A22" s="1959"/>
      <c r="B22" s="1956"/>
      <c r="C22" s="1956"/>
      <c r="D22" s="1956"/>
      <c r="E22" s="1956"/>
      <c r="F22" s="1956"/>
      <c r="G22" s="1956"/>
      <c r="H22" s="1956"/>
      <c r="I22" s="1956"/>
      <c r="J22" s="1956"/>
    </row>
    <row r="23" spans="1:10" x14ac:dyDescent="0.2">
      <c r="A23" s="1959"/>
      <c r="B23" s="1956"/>
      <c r="C23" s="1956"/>
      <c r="D23" s="1956"/>
      <c r="E23" s="1956"/>
      <c r="F23" s="1956"/>
      <c r="G23" s="1956"/>
      <c r="H23" s="1956"/>
      <c r="I23" s="1956"/>
      <c r="J23" s="1956"/>
    </row>
    <row r="24" spans="1:10" x14ac:dyDescent="0.2">
      <c r="A24" s="1959"/>
      <c r="B24" s="1956"/>
      <c r="C24" s="1956"/>
      <c r="D24" s="1956"/>
      <c r="E24" s="1956"/>
      <c r="F24" s="1956"/>
      <c r="G24" s="1956"/>
      <c r="H24" s="1956"/>
      <c r="I24" s="1956"/>
      <c r="J24" s="1956"/>
    </row>
    <row r="25" spans="1:10" x14ac:dyDescent="0.2">
      <c r="A25" s="1959"/>
      <c r="B25" s="1956"/>
      <c r="C25" s="1956"/>
      <c r="D25" s="1956"/>
      <c r="E25" s="1956"/>
      <c r="F25" s="1956"/>
      <c r="G25" s="1956"/>
      <c r="H25" s="1956"/>
      <c r="I25" s="1956"/>
      <c r="J25" s="1956"/>
    </row>
    <row r="26" spans="1:10" x14ac:dyDescent="0.2">
      <c r="A26" s="1959"/>
      <c r="B26" s="1956"/>
      <c r="C26" s="1956"/>
      <c r="D26" s="1956"/>
      <c r="E26" s="1956"/>
      <c r="F26" s="1956"/>
      <c r="G26" s="1956"/>
      <c r="H26" s="1956"/>
      <c r="I26" s="1956"/>
      <c r="J26" s="1956"/>
    </row>
    <row r="27" spans="1:10" x14ac:dyDescent="0.2">
      <c r="A27" s="1959"/>
      <c r="B27" s="1956"/>
      <c r="C27" s="1956"/>
      <c r="D27" s="1956"/>
      <c r="E27" s="1956"/>
      <c r="F27" s="1956"/>
      <c r="G27" s="1956"/>
      <c r="H27" s="1956"/>
      <c r="I27" s="1956"/>
      <c r="J27" s="1956"/>
    </row>
    <row r="28" spans="1:10" x14ac:dyDescent="0.2">
      <c r="A28" s="1959"/>
      <c r="B28" s="1956"/>
      <c r="C28" s="1956"/>
      <c r="D28" s="1956"/>
      <c r="E28" s="1956"/>
      <c r="F28" s="1956"/>
      <c r="G28" s="1956"/>
      <c r="H28" s="1956"/>
      <c r="I28" s="1956"/>
      <c r="J28" s="1956"/>
    </row>
    <row r="29" spans="1:10" x14ac:dyDescent="0.2">
      <c r="A29" s="1070"/>
    </row>
    <row r="30" spans="1:10" x14ac:dyDescent="0.2">
      <c r="A30" s="1070"/>
    </row>
    <row r="31" spans="1:10" x14ac:dyDescent="0.2">
      <c r="A31" s="1070"/>
    </row>
    <row r="32" spans="1:10"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c r="B62" s="258" t="str">
        <f>COVER!A17</f>
        <v>Freeburg CCSD 70</v>
      </c>
    </row>
    <row r="63" spans="1:2" x14ac:dyDescent="0.2">
      <c r="B63" s="1071">
        <f>COVER!A13</f>
        <v>50082070004</v>
      </c>
    </row>
  </sheetData>
  <phoneticPr fontId="14"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50"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I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9" x14ac:dyDescent="0.2">
      <c r="B11" s="1072"/>
      <c r="C11" s="1072"/>
      <c r="D11" s="1072"/>
      <c r="E11" s="1072"/>
      <c r="F11" s="1072"/>
    </row>
    <row r="13" spans="1:9" x14ac:dyDescent="0.2">
      <c r="A13" s="1073" t="s">
        <v>1573</v>
      </c>
    </row>
    <row r="15" spans="1:9" x14ac:dyDescent="0.2">
      <c r="A15" s="389" t="s">
        <v>912</v>
      </c>
    </row>
    <row r="16" spans="1:9" s="1072" customFormat="1" ht="45" customHeight="1" x14ac:dyDescent="0.2">
      <c r="A16" s="1074"/>
      <c r="B16" s="1074" t="s">
        <v>1783</v>
      </c>
      <c r="I16" s="1969"/>
    </row>
    <row r="17" spans="1:2" ht="6" customHeight="1" x14ac:dyDescent="0.2"/>
    <row r="18" spans="1:2" ht="24.75" customHeight="1" x14ac:dyDescent="0.2">
      <c r="A18" s="2365" t="s">
        <v>1784</v>
      </c>
      <c r="B18" s="236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11" dvAspect="DVASPECT_ICON" shapeId="35841" r:id="rId4">
          <objectPr defaultSize="0" r:id="rId5">
            <anchor moveWithCells="1">
              <from>
                <xdr:col>1</xdr:col>
                <xdr:colOff>1724025</xdr:colOff>
                <xdr:row>3</xdr:row>
                <xdr:rowOff>161925</xdr:rowOff>
              </from>
              <to>
                <xdr:col>1</xdr:col>
                <xdr:colOff>2638425</xdr:colOff>
                <xdr:row>8</xdr:row>
                <xdr:rowOff>38100</xdr:rowOff>
              </to>
            </anchor>
          </objectPr>
        </oleObject>
      </mc:Choice>
      <mc:Fallback>
        <oleObject progId="Acrobat.Document.11" dvAspect="DVASPECT_ICON" shapeId="35841" r:id="rId4"/>
      </mc:Fallback>
    </mc:AlternateContent>
    <mc:AlternateContent xmlns:mc="http://schemas.openxmlformats.org/markup-compatibility/2006">
      <mc:Choice Requires="x14">
        <oleObject progId="Acrobat.Document.11" dvAspect="DVASPECT_ICON" shapeId="35842" r:id="rId6">
          <objectPr defaultSize="0" r:id="rId5">
            <anchor moveWithCells="1">
              <from>
                <xdr:col>1</xdr:col>
                <xdr:colOff>2962275</xdr:colOff>
                <xdr:row>3</xdr:row>
                <xdr:rowOff>142875</xdr:rowOff>
              </from>
              <to>
                <xdr:col>1</xdr:col>
                <xdr:colOff>3876675</xdr:colOff>
                <xdr:row>8</xdr:row>
                <xdr:rowOff>19050</xdr:rowOff>
              </to>
            </anchor>
          </objectPr>
        </oleObject>
      </mc:Choice>
      <mc:Fallback>
        <oleObject progId="Acrobat.Document.11"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5"/>
      <c r="H2" s="1075"/>
    </row>
    <row r="3" spans="1:8" ht="57" customHeight="1" x14ac:dyDescent="0.2">
      <c r="A3" s="2379" t="s">
        <v>1786</v>
      </c>
      <c r="B3" s="2380"/>
      <c r="C3" s="2380"/>
      <c r="D3" s="2380"/>
      <c r="E3" s="2380"/>
      <c r="F3" s="2381"/>
      <c r="G3" s="1075"/>
      <c r="H3" s="1075"/>
    </row>
    <row r="4" spans="1:8" ht="14.25" customHeight="1" x14ac:dyDescent="0.2">
      <c r="A4" s="2385" t="s">
        <v>2056</v>
      </c>
      <c r="B4" s="2386"/>
      <c r="C4" s="2386"/>
      <c r="D4" s="2386"/>
      <c r="E4" s="2386"/>
      <c r="F4" s="2387"/>
      <c r="G4" s="1075"/>
      <c r="H4" s="1075"/>
    </row>
    <row r="5" spans="1:8" ht="14.25" customHeight="1" x14ac:dyDescent="0.2">
      <c r="A5" s="2388" t="s">
        <v>2057</v>
      </c>
      <c r="B5" s="2389"/>
      <c r="C5" s="2389"/>
      <c r="D5" s="2389"/>
      <c r="E5" s="2389"/>
      <c r="F5" s="2390"/>
      <c r="G5" s="1075"/>
      <c r="H5" s="1075"/>
    </row>
    <row r="6" spans="1:8" s="1076" customFormat="1" ht="41.25" customHeight="1" x14ac:dyDescent="0.2">
      <c r="A6" s="2382" t="s">
        <v>1792</v>
      </c>
      <c r="B6" s="2383"/>
      <c r="C6" s="2383"/>
      <c r="D6" s="2383"/>
      <c r="E6" s="2383"/>
      <c r="F6" s="238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4125031</v>
      </c>
      <c r="C8" s="1838">
        <f>'Acct Summary 7-8'!D8</f>
        <v>793566</v>
      </c>
      <c r="D8" s="1838">
        <f>'Acct Summary 7-8'!F8</f>
        <v>454199</v>
      </c>
      <c r="E8" s="1838">
        <f>'Acct Summary 7-8'!I8</f>
        <v>96548</v>
      </c>
      <c r="F8" s="1838">
        <f>SUM(B8:E8)</f>
        <v>5469344</v>
      </c>
    </row>
    <row r="9" spans="1:8" s="1080" customFormat="1" ht="14.25" customHeight="1" thickBot="1" x14ac:dyDescent="0.25">
      <c r="A9" s="1079" t="s">
        <v>1436</v>
      </c>
      <c r="B9" s="1839">
        <f>'Acct Summary 7-8'!C17</f>
        <v>4886923</v>
      </c>
      <c r="C9" s="1839">
        <f>'Acct Summary 7-8'!D17</f>
        <v>712701</v>
      </c>
      <c r="D9" s="1839">
        <f>'Acct Summary 7-8'!F17</f>
        <v>428090</v>
      </c>
      <c r="E9" s="1838"/>
      <c r="F9" s="1838">
        <f>SUM(B9:E9)</f>
        <v>6027714</v>
      </c>
    </row>
    <row r="10" spans="1:8" s="1080" customFormat="1" ht="14.25" thickTop="1" thickBot="1" x14ac:dyDescent="0.25">
      <c r="A10" s="1081" t="s">
        <v>1437</v>
      </c>
      <c r="B10" s="1840">
        <f>(B8-B9)</f>
        <v>-761892</v>
      </c>
      <c r="C10" s="1840">
        <f>(C8-C9)</f>
        <v>80865</v>
      </c>
      <c r="D10" s="1840">
        <f>(D8-D9)</f>
        <v>26109</v>
      </c>
      <c r="E10" s="1839">
        <f>(E8-E9)</f>
        <v>96548</v>
      </c>
      <c r="F10" s="1841">
        <f>SUM(F8-F9)</f>
        <v>-558370</v>
      </c>
    </row>
    <row r="11" spans="1:8" s="1080" customFormat="1" ht="14.25" thickTop="1" thickBot="1" x14ac:dyDescent="0.25">
      <c r="A11" s="1082" t="s">
        <v>1785</v>
      </c>
      <c r="B11" s="1842">
        <f>'Acct Summary 7-8'!C81</f>
        <v>342649</v>
      </c>
      <c r="C11" s="1842">
        <f>'Acct Summary 7-8'!D81</f>
        <v>598955</v>
      </c>
      <c r="D11" s="1842">
        <f>'Acct Summary 7-8'!F81</f>
        <v>571061</v>
      </c>
      <c r="E11" s="1842">
        <f>'Acct Summary 7-8'!I81</f>
        <v>1288022</v>
      </c>
      <c r="F11" s="1843">
        <f>SUM(B11:E11)</f>
        <v>2800687</v>
      </c>
    </row>
    <row r="12" spans="1:8" ht="16.5" customHeight="1" thickTop="1" x14ac:dyDescent="0.2">
      <c r="A12" s="1083"/>
      <c r="B12" s="1084"/>
      <c r="C12" s="2370" t="str">
        <f>IF(AND(F10&lt;0,F11&gt;=0,ABS(F10*3)&gt;ABS(F11)),A16,IF(AND(F10&lt;0,F11&gt;0,ABS(F10*3)&lt;=ABS(F11)),A17,IF(AND(F10&lt;0,F11&lt;0),A16,IF(F11=0,A19,A18))))</f>
        <v>Unbalanced -  however, a deficit reduction plan is not required at this time.</v>
      </c>
      <c r="D12" s="2371"/>
      <c r="E12" s="2371"/>
      <c r="F12" s="2372"/>
    </row>
    <row r="13" spans="1:8" ht="19.5" customHeight="1" x14ac:dyDescent="0.2">
      <c r="A13" s="1085"/>
      <c r="B13" s="1086"/>
      <c r="C13" s="2370"/>
      <c r="D13" s="2371"/>
      <c r="E13" s="2371"/>
      <c r="F13" s="2372"/>
      <c r="H13" s="1075"/>
    </row>
    <row r="14" spans="1:8" ht="19.5" customHeight="1" x14ac:dyDescent="0.2">
      <c r="A14" s="1085"/>
      <c r="B14" s="1086"/>
      <c r="C14" s="2370"/>
      <c r="D14" s="2371"/>
      <c r="E14" s="2371"/>
      <c r="F14" s="2372"/>
      <c r="H14" s="1075"/>
    </row>
    <row r="15" spans="1:8" ht="17.25" customHeight="1" x14ac:dyDescent="0.2">
      <c r="A15" s="1085"/>
      <c r="B15" s="1086"/>
      <c r="C15" s="2373"/>
      <c r="D15" s="2374"/>
      <c r="E15" s="2374"/>
      <c r="F15" s="2375"/>
      <c r="H15" s="1075"/>
    </row>
    <row r="16" spans="1:8" s="310" customFormat="1" ht="51.75" hidden="1" customHeight="1" x14ac:dyDescent="0.2">
      <c r="A16" s="2369" t="s">
        <v>1787</v>
      </c>
      <c r="B16" s="2369"/>
      <c r="C16" s="2369"/>
      <c r="D16" s="2369"/>
      <c r="E16" s="236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1" t="s">
        <v>686</v>
      </c>
      <c r="B3" s="2392"/>
      <c r="C3" s="2392"/>
      <c r="D3" s="239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2" t="s">
        <v>1584</v>
      </c>
      <c r="D7" s="240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6" t="s">
        <v>332</v>
      </c>
      <c r="D21" s="2407"/>
    </row>
    <row r="22" spans="1:10" ht="12.75" x14ac:dyDescent="0.2">
      <c r="A22" s="1140"/>
      <c r="B22" s="1141">
        <v>2</v>
      </c>
      <c r="C22" s="2404" t="s">
        <v>1605</v>
      </c>
      <c r="D22" s="240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8" t="s">
        <v>557</v>
      </c>
      <c r="D43" s="240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0" t="s">
        <v>817</v>
      </c>
      <c r="D56" s="240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0" t="s">
        <v>1797</v>
      </c>
      <c r="D70" s="240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50082070004</v>
      </c>
    </row>
    <row r="3" spans="1:2" x14ac:dyDescent="0.2">
      <c r="A3" t="s">
        <v>1013</v>
      </c>
      <c r="B3" s="138" t="str">
        <f>COVER!A15</f>
        <v>ST. CLAIR</v>
      </c>
    </row>
    <row r="4" spans="1:2" x14ac:dyDescent="0.2">
      <c r="A4" t="s">
        <v>1064</v>
      </c>
      <c r="B4" s="138" t="str">
        <f>COVER!A17</f>
        <v>Freeburg CCSD 70</v>
      </c>
    </row>
    <row r="5" spans="1:2" x14ac:dyDescent="0.2">
      <c r="A5" t="s">
        <v>728</v>
      </c>
      <c r="B5" s="138" t="str">
        <f>COVER!A38</f>
        <v>TOMI DIEFENBACH</v>
      </c>
    </row>
    <row r="6" spans="1:2" x14ac:dyDescent="0.2">
      <c r="A6" t="s">
        <v>733</v>
      </c>
      <c r="B6" s="138">
        <f>COVER!P35</f>
        <v>0</v>
      </c>
    </row>
    <row r="7" spans="1:2" x14ac:dyDescent="0.2">
      <c r="A7" t="s">
        <v>729</v>
      </c>
      <c r="B7" s="138">
        <f>COVER!I38</f>
        <v>0</v>
      </c>
    </row>
    <row r="8" spans="1:2" x14ac:dyDescent="0.2">
      <c r="A8" t="s">
        <v>730</v>
      </c>
      <c r="B8" s="138" t="str">
        <f>COVER!T38</f>
        <v>SUSAN SARFATY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065-023476</v>
      </c>
    </row>
    <row r="16" spans="1:2" x14ac:dyDescent="0.2">
      <c r="A16" t="s">
        <v>442</v>
      </c>
      <c r="B16" s="138" t="str">
        <f>COVER!T13</f>
        <v>SCHEFFEL BOYLE</v>
      </c>
    </row>
    <row r="17" spans="1:2" x14ac:dyDescent="0.2">
      <c r="A17" t="s">
        <v>939</v>
      </c>
      <c r="B17" s="138" t="str">
        <f>COVER!T15</f>
        <v>BRIAN OTTEN</v>
      </c>
    </row>
    <row r="18" spans="1:2" x14ac:dyDescent="0.2">
      <c r="A18" t="s">
        <v>1212</v>
      </c>
      <c r="B18" s="138" t="str">
        <f>COVER!T17</f>
        <v>222 EAST MAIN ST.</v>
      </c>
    </row>
    <row r="19" spans="1:2" x14ac:dyDescent="0.2">
      <c r="A19" t="s">
        <v>941</v>
      </c>
      <c r="B19" s="138" t="str">
        <f>COVER!T25</f>
        <v>brian.otten@scheffelboyle.com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342649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342649</v>
      </c>
      <c r="D92" s="2" t="str">
        <f t="shared" si="0"/>
        <v>Error?</v>
      </c>
    </row>
    <row r="93" spans="1:4" x14ac:dyDescent="0.2">
      <c r="A93" s="5">
        <v>32</v>
      </c>
      <c r="B93" s="138">
        <f>'Assets-Liab 5-6'!C41</f>
        <v>342649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598955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598955</v>
      </c>
      <c r="D123" s="2" t="str">
        <f t="shared" si="0"/>
        <v>Error?</v>
      </c>
    </row>
    <row r="124" spans="1:4" x14ac:dyDescent="0.2">
      <c r="A124" s="5">
        <v>63</v>
      </c>
      <c r="B124" s="138">
        <f>'Assets-Liab 5-6'!D41</f>
        <v>598955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138704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138704</v>
      </c>
      <c r="D140" s="2" t="str">
        <f t="shared" si="1"/>
        <v>Error?</v>
      </c>
    </row>
    <row r="141" spans="1:4" x14ac:dyDescent="0.2">
      <c r="A141" s="5">
        <v>80</v>
      </c>
      <c r="B141" s="138">
        <f>'Assets-Liab 5-6'!E41</f>
        <v>138704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571061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571061</v>
      </c>
      <c r="D170" s="2" t="str">
        <f t="shared" si="1"/>
        <v>Error?</v>
      </c>
    </row>
    <row r="171" spans="1:4" x14ac:dyDescent="0.2">
      <c r="A171" s="5">
        <v>110</v>
      </c>
      <c r="B171" s="138">
        <f>'Assets-Liab 5-6'!F41</f>
        <v>571061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273863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168812</v>
      </c>
      <c r="D189" s="2" t="str">
        <f t="shared" si="1"/>
        <v>Error?</v>
      </c>
    </row>
    <row r="190" spans="1:4" x14ac:dyDescent="0.2">
      <c r="A190" s="5">
        <v>129</v>
      </c>
      <c r="B190" s="138">
        <f>'Assets-Liab 5-6'!G41</f>
        <v>273863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855983</v>
      </c>
      <c r="D273" s="2" t="str">
        <f t="shared" si="3"/>
        <v>Error?</v>
      </c>
    </row>
    <row r="274" spans="1:4" x14ac:dyDescent="0.2">
      <c r="A274" s="5">
        <v>213</v>
      </c>
      <c r="B274" s="138">
        <f>'Assets-Liab 5-6'!M17</f>
        <v>10780483</v>
      </c>
      <c r="D274" s="2" t="str">
        <f t="shared" si="3"/>
        <v>Error?</v>
      </c>
    </row>
    <row r="275" spans="1:4" x14ac:dyDescent="0.2">
      <c r="A275" s="5">
        <v>214</v>
      </c>
      <c r="B275" s="138">
        <f>'Assets-Liab 5-6'!M18</f>
        <v>424900</v>
      </c>
      <c r="D275" s="2" t="str">
        <f t="shared" si="3"/>
        <v>Error?</v>
      </c>
    </row>
    <row r="276" spans="1:4" x14ac:dyDescent="0.2">
      <c r="A276" s="5">
        <v>215</v>
      </c>
      <c r="B276" s="138">
        <f>'Assets-Liab 5-6'!M19</f>
        <v>2628640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14690006</v>
      </c>
      <c r="C279" s="2" t="s">
        <v>594</v>
      </c>
      <c r="D279" s="2" t="str">
        <f t="shared" si="3"/>
        <v>Error?</v>
      </c>
    </row>
    <row r="280" spans="1:4" x14ac:dyDescent="0.2">
      <c r="A280" s="5">
        <v>219</v>
      </c>
      <c r="B280" s="138">
        <f>'Assets-Liab 5-6'!M40</f>
        <v>14690006</v>
      </c>
      <c r="D280" s="2" t="str">
        <f t="shared" si="3"/>
        <v>Error?</v>
      </c>
    </row>
    <row r="281" spans="1:4" x14ac:dyDescent="0.2">
      <c r="A281" s="5">
        <v>220</v>
      </c>
      <c r="B281" s="138">
        <f>'Assets-Liab 5-6'!M41</f>
        <v>14690006</v>
      </c>
      <c r="C281" s="2" t="s">
        <v>594</v>
      </c>
      <c r="D281" s="2" t="str">
        <f t="shared" si="3"/>
        <v>Error?</v>
      </c>
    </row>
    <row r="282" spans="1:4" x14ac:dyDescent="0.2">
      <c r="A282" s="5">
        <v>221</v>
      </c>
      <c r="B282" s="138">
        <f>'Assets-Liab 5-6'!N21</f>
        <v>138704</v>
      </c>
      <c r="D282" s="2" t="str">
        <f t="shared" si="3"/>
        <v>Error?</v>
      </c>
    </row>
    <row r="283" spans="1:4" x14ac:dyDescent="0.2">
      <c r="A283" s="5">
        <v>222</v>
      </c>
      <c r="B283" s="138">
        <f>'Assets-Liab 5-6'!N22</f>
        <v>1450567</v>
      </c>
      <c r="D283" s="2" t="str">
        <f t="shared" si="3"/>
        <v>Error?</v>
      </c>
    </row>
    <row r="284" spans="1:4" x14ac:dyDescent="0.2">
      <c r="A284" s="5">
        <v>223</v>
      </c>
      <c r="B284" s="138">
        <f>'Assets-Liab 5-6'!N23</f>
        <v>1589271</v>
      </c>
      <c r="C284" s="2" t="s">
        <v>594</v>
      </c>
      <c r="D284" s="2" t="str">
        <f t="shared" si="3"/>
        <v>Error?</v>
      </c>
    </row>
    <row r="285" spans="1:4" x14ac:dyDescent="0.2">
      <c r="A285" s="5">
        <v>224</v>
      </c>
      <c r="B285" s="138">
        <f>'Assets-Liab 5-6'!N36</f>
        <v>1589271</v>
      </c>
      <c r="D285" s="2" t="str">
        <f t="shared" si="3"/>
        <v>Error?</v>
      </c>
    </row>
    <row r="286" spans="1:4" x14ac:dyDescent="0.2">
      <c r="A286" s="10">
        <v>225</v>
      </c>
      <c r="D286" s="2" t="str">
        <f t="shared" si="3"/>
        <v>OK</v>
      </c>
    </row>
    <row r="287" spans="1:4" x14ac:dyDescent="0.2">
      <c r="A287" s="5">
        <v>226</v>
      </c>
      <c r="B287" s="138">
        <f>'Assets-Liab 5-6'!N37</f>
        <v>1589271</v>
      </c>
      <c r="C287" s="2" t="s">
        <v>594</v>
      </c>
      <c r="D287" s="2" t="str">
        <f t="shared" si="3"/>
        <v>Error?</v>
      </c>
    </row>
    <row r="288" spans="1:4" x14ac:dyDescent="0.2">
      <c r="A288" s="5">
        <v>227</v>
      </c>
      <c r="B288" s="138">
        <f>'Assets-Liab 5-6'!N41</f>
        <v>1589271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2810600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33905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3179723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42576</v>
      </c>
      <c r="D722" s="2" t="str">
        <f t="shared" si="10"/>
        <v>Error?</v>
      </c>
    </row>
    <row r="723" spans="1:4" x14ac:dyDescent="0.2">
      <c r="A723" s="5">
        <v>662</v>
      </c>
      <c r="B723" s="138">
        <f>'Expenditures 15-22'!C38</f>
        <v>42325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84901</v>
      </c>
      <c r="C727" s="2" t="s">
        <v>594</v>
      </c>
      <c r="D727" s="2" t="str">
        <f t="shared" si="10"/>
        <v>Error?</v>
      </c>
    </row>
    <row r="728" spans="1:4" x14ac:dyDescent="0.2">
      <c r="A728" s="5">
        <v>667</v>
      </c>
      <c r="B728" s="138">
        <f>'Expenditures 15-22'!C44</f>
        <v>27601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27601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161431</v>
      </c>
      <c r="D733" s="2" t="str">
        <f t="shared" si="10"/>
        <v>Error?</v>
      </c>
    </row>
    <row r="734" spans="1:4" x14ac:dyDescent="0.2">
      <c r="A734" s="5">
        <v>673</v>
      </c>
      <c r="B734" s="138">
        <f>'Expenditures 15-22'!C53</f>
        <v>161431</v>
      </c>
      <c r="C734" s="2" t="s">
        <v>594</v>
      </c>
      <c r="D734" s="2" t="str">
        <f t="shared" si="10"/>
        <v>Error?</v>
      </c>
    </row>
    <row r="735" spans="1:4" x14ac:dyDescent="0.2">
      <c r="A735" s="5">
        <v>674</v>
      </c>
      <c r="B735" s="138">
        <f>'Expenditures 15-22'!C55</f>
        <v>82297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82297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103959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103959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460189</v>
      </c>
      <c r="C755" s="2" t="s">
        <v>594</v>
      </c>
      <c r="D755" s="2" t="str">
        <f t="shared" si="10"/>
        <v>Error?</v>
      </c>
    </row>
    <row r="756" spans="1:4" x14ac:dyDescent="0.2">
      <c r="A756" s="5">
        <v>695</v>
      </c>
      <c r="B756" s="138">
        <f>'Expenditures 15-22'!C75</f>
        <v>11025</v>
      </c>
      <c r="D756" s="2" t="str">
        <f t="shared" si="10"/>
        <v>Error?</v>
      </c>
    </row>
    <row r="757" spans="1:4" x14ac:dyDescent="0.2">
      <c r="A757" s="5">
        <v>696</v>
      </c>
      <c r="B757" s="138">
        <f>'Expenditures 15-22'!C114</f>
        <v>3650937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576309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4096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712831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5445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5445</v>
      </c>
      <c r="C785" s="2" t="s">
        <v>594</v>
      </c>
      <c r="D785" s="2" t="str">
        <f t="shared" si="11"/>
        <v>Error?</v>
      </c>
    </row>
    <row r="786" spans="1:4" x14ac:dyDescent="0.2">
      <c r="A786" s="5">
        <v>725</v>
      </c>
      <c r="B786" s="138">
        <f>'Expenditures 15-22'!D44</f>
        <v>5444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5444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50653</v>
      </c>
      <c r="D791" s="2" t="str">
        <f t="shared" si="11"/>
        <v>Error?</v>
      </c>
    </row>
    <row r="792" spans="1:4" x14ac:dyDescent="0.2">
      <c r="A792" s="5">
        <v>731</v>
      </c>
      <c r="B792" s="138">
        <f>'Expenditures 15-22'!D53</f>
        <v>50653</v>
      </c>
      <c r="C792" s="2" t="s">
        <v>594</v>
      </c>
      <c r="D792" s="2" t="str">
        <f t="shared" si="11"/>
        <v>Error?</v>
      </c>
    </row>
    <row r="793" spans="1:4" x14ac:dyDescent="0.2">
      <c r="A793" s="5">
        <v>732</v>
      </c>
      <c r="B793" s="138">
        <f>'Expenditures 15-22'!D55</f>
        <v>9439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9439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70981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783812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53354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9555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85815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5129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5129</v>
      </c>
      <c r="C843" s="2" t="s">
        <v>594</v>
      </c>
      <c r="D843" s="2" t="str">
        <f t="shared" si="12"/>
        <v>Error?</v>
      </c>
    </row>
    <row r="844" spans="1:4" x14ac:dyDescent="0.2">
      <c r="A844" s="5">
        <v>783</v>
      </c>
      <c r="B844" s="138">
        <f>'Expenditures 15-22'!E44</f>
        <v>5635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5635</v>
      </c>
      <c r="C847" s="2" t="s">
        <v>594</v>
      </c>
      <c r="D847" s="2" t="str">
        <f t="shared" si="12"/>
        <v>Error?</v>
      </c>
    </row>
    <row r="848" spans="1:4" x14ac:dyDescent="0.2">
      <c r="A848" s="5">
        <v>787</v>
      </c>
      <c r="B848" s="138">
        <f>'Expenditures 15-22'!E49</f>
        <v>13543</v>
      </c>
      <c r="D848" s="2" t="str">
        <f t="shared" si="12"/>
        <v>Error?</v>
      </c>
    </row>
    <row r="849" spans="1:4" x14ac:dyDescent="0.2">
      <c r="A849" s="5">
        <v>788</v>
      </c>
      <c r="B849" s="138">
        <f>'Expenditures 15-22'!E50</f>
        <v>4162</v>
      </c>
      <c r="D849" s="2" t="str">
        <f t="shared" si="12"/>
        <v>Error?</v>
      </c>
    </row>
    <row r="850" spans="1:4" x14ac:dyDescent="0.2">
      <c r="A850" s="5">
        <v>789</v>
      </c>
      <c r="B850" s="138">
        <f>'Expenditures 15-22'!E53</f>
        <v>17705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28469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251612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26536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41879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916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2306</v>
      </c>
      <c r="D907" s="2" t="str">
        <f t="shared" si="13"/>
        <v>Error?</v>
      </c>
    </row>
    <row r="908" spans="1:4" x14ac:dyDescent="0.2">
      <c r="A908" s="5">
        <v>847</v>
      </c>
      <c r="B908" s="138">
        <f>'Expenditures 15-22'!F53</f>
        <v>2306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61239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61239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64461</v>
      </c>
      <c r="C929" s="2" t="s">
        <v>594</v>
      </c>
      <c r="D929" s="2" t="str">
        <f t="shared" si="13"/>
        <v>Error?</v>
      </c>
    </row>
    <row r="930" spans="1:4" x14ac:dyDescent="0.2">
      <c r="A930" s="5">
        <v>869</v>
      </c>
      <c r="B930" s="138">
        <f>'Expenditures 15-22'!F75</f>
        <v>152</v>
      </c>
      <c r="D930" s="2" t="str">
        <f t="shared" si="13"/>
        <v>Error?</v>
      </c>
    </row>
    <row r="931" spans="1:4" x14ac:dyDescent="0.2">
      <c r="A931" s="5">
        <v>870</v>
      </c>
      <c r="B931" s="138">
        <f>'Expenditures 15-22'!F114</f>
        <v>106492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78762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78762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78762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13405</v>
      </c>
      <c r="D1022" s="2" t="str">
        <f t="shared" si="14"/>
        <v>Error?</v>
      </c>
    </row>
    <row r="1023" spans="1:4" x14ac:dyDescent="0.2">
      <c r="A1023" s="5">
        <v>962</v>
      </c>
      <c r="B1023" s="138">
        <f>'Expenditures 15-22'!H50</f>
        <v>1903</v>
      </c>
      <c r="D1023" s="2" t="str">
        <f t="shared" ref="D1023:D1086" si="15">IF(ISBLANK(B1023),"OK",IF(A1023-B1023=0,"OK","Error?"))</f>
        <v>Error?</v>
      </c>
    </row>
    <row r="1024" spans="1:4" x14ac:dyDescent="0.2">
      <c r="A1024" s="5">
        <v>963</v>
      </c>
      <c r="B1024" s="138">
        <f>'Expenditures 15-22'!H53</f>
        <v>15308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15308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15308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3545561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47556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4099010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48021</v>
      </c>
      <c r="C1110" s="2" t="s">
        <v>594</v>
      </c>
      <c r="D1110" s="2" t="str">
        <f t="shared" si="16"/>
        <v>Error?</v>
      </c>
    </row>
    <row r="1111" spans="1:4" x14ac:dyDescent="0.2">
      <c r="A1111" s="5">
        <v>1050</v>
      </c>
      <c r="B1111" s="138">
        <f>'Expenditures 15-22'!K38</f>
        <v>48370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96391</v>
      </c>
      <c r="C1115" s="2" t="s">
        <v>594</v>
      </c>
      <c r="D1115" s="2" t="str">
        <f t="shared" si="16"/>
        <v>Error?</v>
      </c>
    </row>
    <row r="1116" spans="1:4" x14ac:dyDescent="0.2">
      <c r="A1116" s="5">
        <v>1055</v>
      </c>
      <c r="B1116" s="138">
        <f>'Expenditures 15-22'!K44</f>
        <v>38680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38680</v>
      </c>
      <c r="C1119" s="2" t="s">
        <v>594</v>
      </c>
      <c r="D1119" s="2" t="str">
        <f t="shared" si="16"/>
        <v>Error?</v>
      </c>
    </row>
    <row r="1120" spans="1:4" x14ac:dyDescent="0.2">
      <c r="A1120" s="5">
        <v>1059</v>
      </c>
      <c r="B1120" s="138">
        <f>'Expenditures 15-22'!K49</f>
        <v>26948</v>
      </c>
      <c r="C1120" s="2" t="s">
        <v>594</v>
      </c>
      <c r="D1120" s="2" t="str">
        <f t="shared" si="16"/>
        <v>Error?</v>
      </c>
    </row>
    <row r="1121" spans="1:4" x14ac:dyDescent="0.2">
      <c r="A1121" s="5">
        <v>1060</v>
      </c>
      <c r="B1121" s="138">
        <f>'Expenditures 15-22'!K50</f>
        <v>220455</v>
      </c>
      <c r="C1121" s="2" t="s">
        <v>594</v>
      </c>
      <c r="D1121" s="2" t="str">
        <f t="shared" si="16"/>
        <v>Error?</v>
      </c>
    </row>
    <row r="1122" spans="1:4" x14ac:dyDescent="0.2">
      <c r="A1122" s="5">
        <v>1061</v>
      </c>
      <c r="B1122" s="138">
        <f>'Expenditures 15-22'!K53</f>
        <v>247403</v>
      </c>
      <c r="C1122" s="2" t="s">
        <v>594</v>
      </c>
      <c r="D1122" s="2" t="str">
        <f t="shared" si="16"/>
        <v>Error?</v>
      </c>
    </row>
    <row r="1123" spans="1:4" x14ac:dyDescent="0.2">
      <c r="A1123" s="5">
        <v>1062</v>
      </c>
      <c r="B1123" s="138">
        <f>'Expenditures 15-22'!K55</f>
        <v>91736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91736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165198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165198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639408</v>
      </c>
      <c r="C1143" s="2" t="s">
        <v>594</v>
      </c>
      <c r="D1143" s="2" t="str">
        <f t="shared" si="16"/>
        <v>Error?</v>
      </c>
    </row>
    <row r="1144" spans="1:4" x14ac:dyDescent="0.2">
      <c r="A1144" s="5">
        <v>1083</v>
      </c>
      <c r="B1144" s="138">
        <f>'Expenditures 15-22'!K75</f>
        <v>11177</v>
      </c>
      <c r="C1144" s="2" t="s">
        <v>594</v>
      </c>
      <c r="D1144" s="2" t="str">
        <f t="shared" si="16"/>
        <v>Error?</v>
      </c>
    </row>
    <row r="1145" spans="1:4" x14ac:dyDescent="0.2">
      <c r="A1145" s="5">
        <v>1084</v>
      </c>
      <c r="B1145" s="138">
        <f>'Expenditures 15-22'!K102</f>
        <v>137328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4886923</v>
      </c>
      <c r="C1152" s="2" t="s">
        <v>594</v>
      </c>
      <c r="D1152" s="2" t="str">
        <f t="shared" si="17"/>
        <v>Error?</v>
      </c>
    </row>
    <row r="1153" spans="1:4" x14ac:dyDescent="0.2">
      <c r="A1153" s="5">
        <v>1092</v>
      </c>
      <c r="B1153" s="138">
        <f>'Expenditures 15-22'!K115</f>
        <v>-761892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341867</v>
      </c>
      <c r="D1221" s="2" t="str">
        <f t="shared" si="18"/>
        <v>Error?</v>
      </c>
    </row>
    <row r="1222" spans="1:4" x14ac:dyDescent="0.2">
      <c r="A1222" s="10">
        <v>1161</v>
      </c>
      <c r="D1222" s="2" t="str">
        <f t="shared" si="18"/>
        <v>OK</v>
      </c>
    </row>
    <row r="1223" spans="1:4" x14ac:dyDescent="0.2">
      <c r="A1223" s="5">
        <v>1162</v>
      </c>
      <c r="B1223" s="138">
        <f>'Expenditures 15-22'!C127</f>
        <v>341867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341867</v>
      </c>
      <c r="C1225" s="2" t="s">
        <v>594</v>
      </c>
      <c r="D1225" s="2" t="str">
        <f t="shared" si="18"/>
        <v>Error?</v>
      </c>
    </row>
    <row r="1226" spans="1:4" x14ac:dyDescent="0.2">
      <c r="A1226" s="5">
        <v>1165</v>
      </c>
      <c r="B1226" s="138">
        <f>'Expenditures 15-22'!C151</f>
        <v>341867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55783</v>
      </c>
      <c r="D1229" s="2" t="str">
        <f t="shared" si="18"/>
        <v>Error?</v>
      </c>
    </row>
    <row r="1230" spans="1:4" x14ac:dyDescent="0.2">
      <c r="A1230" s="10">
        <v>1169</v>
      </c>
      <c r="D1230" s="2" t="str">
        <f t="shared" si="18"/>
        <v>OK</v>
      </c>
    </row>
    <row r="1231" spans="1:4" x14ac:dyDescent="0.2">
      <c r="A1231" s="5">
        <v>1170</v>
      </c>
      <c r="B1231" s="138">
        <f>'Expenditures 15-22'!D127</f>
        <v>55783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55783</v>
      </c>
      <c r="C1233" s="2" t="s">
        <v>594</v>
      </c>
      <c r="D1233" s="2" t="str">
        <f t="shared" si="18"/>
        <v>Error?</v>
      </c>
    </row>
    <row r="1234" spans="1:4" x14ac:dyDescent="0.2">
      <c r="A1234" s="5">
        <v>1173</v>
      </c>
      <c r="B1234" s="138">
        <f>'Expenditures 15-22'!D151</f>
        <v>55783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58687</v>
      </c>
      <c r="D1237" s="2" t="str">
        <f t="shared" si="18"/>
        <v>Error?</v>
      </c>
    </row>
    <row r="1238" spans="1:4" x14ac:dyDescent="0.2">
      <c r="A1238" s="10">
        <v>1177</v>
      </c>
      <c r="D1238" s="2" t="str">
        <f t="shared" si="18"/>
        <v>OK</v>
      </c>
    </row>
    <row r="1239" spans="1:4" x14ac:dyDescent="0.2">
      <c r="A1239" s="5">
        <v>1178</v>
      </c>
      <c r="B1239" s="138">
        <f>'Expenditures 15-22'!E127</f>
        <v>58687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58687</v>
      </c>
      <c r="C1241" s="2" t="s">
        <v>594</v>
      </c>
      <c r="D1241" s="2" t="str">
        <f t="shared" si="18"/>
        <v>Error?</v>
      </c>
    </row>
    <row r="1242" spans="1:4" x14ac:dyDescent="0.2">
      <c r="A1242" s="5">
        <v>1181</v>
      </c>
      <c r="B1242" s="138">
        <f>'Expenditures 15-22'!E151</f>
        <v>58687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213006</v>
      </c>
      <c r="D1245" s="2" t="str">
        <f t="shared" si="18"/>
        <v>Error?</v>
      </c>
    </row>
    <row r="1246" spans="1:4" x14ac:dyDescent="0.2">
      <c r="A1246" s="10">
        <v>1185</v>
      </c>
      <c r="D1246" s="2" t="str">
        <f t="shared" si="18"/>
        <v>OK</v>
      </c>
    </row>
    <row r="1247" spans="1:4" x14ac:dyDescent="0.2">
      <c r="A1247" s="5">
        <v>1186</v>
      </c>
      <c r="B1247" s="138">
        <f>'Expenditures 15-22'!F127</f>
        <v>213006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213006</v>
      </c>
      <c r="C1249" s="2" t="s">
        <v>594</v>
      </c>
      <c r="D1249" s="2" t="str">
        <f t="shared" si="18"/>
        <v>Error?</v>
      </c>
    </row>
    <row r="1250" spans="1:4" x14ac:dyDescent="0.2">
      <c r="A1250" s="5">
        <v>1189</v>
      </c>
      <c r="B1250" s="138">
        <f>'Expenditures 15-22'!F151</f>
        <v>213006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43358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43358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43358</v>
      </c>
      <c r="C1258" s="2" t="s">
        <v>594</v>
      </c>
      <c r="D1258" s="2" t="str">
        <f t="shared" si="18"/>
        <v>Error?</v>
      </c>
    </row>
    <row r="1259" spans="1:4" x14ac:dyDescent="0.2">
      <c r="A1259" s="5">
        <v>1198</v>
      </c>
      <c r="B1259" s="138">
        <f>'Expenditures 15-22'!G151</f>
        <v>43358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712701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712701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712701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712701</v>
      </c>
      <c r="C1288" s="2" t="s">
        <v>594</v>
      </c>
      <c r="D1288" s="2" t="str">
        <f t="shared" si="19"/>
        <v>Error?</v>
      </c>
    </row>
    <row r="1289" spans="1:4" x14ac:dyDescent="0.2">
      <c r="A1289" s="5">
        <v>1228</v>
      </c>
      <c r="B1289" s="138">
        <f>'Expenditures 15-22'!K152</f>
        <v>80865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59855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295000</v>
      </c>
      <c r="D1315" s="2" t="str">
        <f t="shared" si="19"/>
        <v>Error?</v>
      </c>
    </row>
    <row r="1316" spans="1:4" x14ac:dyDescent="0.2">
      <c r="A1316" s="5">
        <v>1255</v>
      </c>
      <c r="B1316" s="138">
        <f>'Expenditures 15-22'!H171</f>
        <v>292</v>
      </c>
      <c r="D1316" s="2" t="str">
        <f t="shared" si="19"/>
        <v>Error?</v>
      </c>
    </row>
    <row r="1317" spans="1:4" x14ac:dyDescent="0.2">
      <c r="A1317" s="5">
        <v>1256</v>
      </c>
      <c r="B1317" s="138">
        <f>'Expenditures 15-22'!H172</f>
        <v>355147</v>
      </c>
      <c r="C1317" s="2" t="s">
        <v>594</v>
      </c>
      <c r="D1317" s="2" t="str">
        <f t="shared" si="19"/>
        <v>Error?</v>
      </c>
    </row>
    <row r="1318" spans="1:4" x14ac:dyDescent="0.2">
      <c r="A1318" s="5">
        <v>1257</v>
      </c>
      <c r="B1318" s="138">
        <f>'Expenditures 15-22'!H174</f>
        <v>355147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59855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295000</v>
      </c>
      <c r="C1329" s="2" t="s">
        <v>594</v>
      </c>
      <c r="D1329" s="2" t="str">
        <f t="shared" si="19"/>
        <v>Error?</v>
      </c>
    </row>
    <row r="1330" spans="1:4" x14ac:dyDescent="0.2">
      <c r="A1330" s="5">
        <v>1269</v>
      </c>
      <c r="B1330" s="138">
        <f>'Expenditures 15-22'!K171</f>
        <v>292</v>
      </c>
      <c r="C1330" s="2" t="s">
        <v>594</v>
      </c>
      <c r="D1330" s="2" t="str">
        <f t="shared" si="19"/>
        <v>Error?</v>
      </c>
    </row>
    <row r="1331" spans="1:4" x14ac:dyDescent="0.2">
      <c r="A1331" s="5">
        <v>1270</v>
      </c>
      <c r="B1331" s="138">
        <f>'Expenditures 15-22'!K172</f>
        <v>355147</v>
      </c>
      <c r="C1331" s="2" t="s">
        <v>594</v>
      </c>
      <c r="D1331" s="2" t="str">
        <f t="shared" si="19"/>
        <v>Error?</v>
      </c>
    </row>
    <row r="1332" spans="1:4" x14ac:dyDescent="0.2">
      <c r="A1332" s="5">
        <v>1271</v>
      </c>
      <c r="B1332" s="138">
        <f>'Expenditures 15-22'!K174</f>
        <v>355147</v>
      </c>
      <c r="C1332" s="2" t="s">
        <v>594</v>
      </c>
      <c r="D1332" s="2" t="str">
        <f t="shared" si="19"/>
        <v>Error?</v>
      </c>
    </row>
    <row r="1333" spans="1:4" x14ac:dyDescent="0.2">
      <c r="A1333" s="5">
        <v>1272</v>
      </c>
      <c r="B1333" s="138">
        <f>'Expenditures 15-22'!K175</f>
        <v>3440</v>
      </c>
      <c r="C1333" s="2" t="s">
        <v>594</v>
      </c>
      <c r="D1333" s="2" t="str">
        <f t="shared" si="19"/>
        <v>Error?</v>
      </c>
    </row>
    <row r="1334" spans="1:4" x14ac:dyDescent="0.2">
      <c r="A1334" s="10">
        <v>1273</v>
      </c>
      <c r="D1334" s="2" t="str">
        <f t="shared" si="19"/>
        <v>OK</v>
      </c>
    </row>
    <row r="1335" spans="1:4" x14ac:dyDescent="0.2">
      <c r="A1335" s="5">
        <v>1274</v>
      </c>
      <c r="B1335" s="138">
        <f>'Expenditures 15-22'!C182</f>
        <v>243980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243980</v>
      </c>
      <c r="C1339" s="2" t="s">
        <v>594</v>
      </c>
      <c r="D1339" s="2" t="str">
        <f t="shared" si="19"/>
        <v>Error?</v>
      </c>
    </row>
    <row r="1340" spans="1:4" x14ac:dyDescent="0.2">
      <c r="A1340" s="5">
        <v>1279</v>
      </c>
      <c r="B1340" s="138">
        <f>'Expenditures 15-22'!C210</f>
        <v>243980</v>
      </c>
      <c r="C1340" s="2" t="s">
        <v>594</v>
      </c>
      <c r="D1340" s="2" t="str">
        <f t="shared" si="19"/>
        <v>Error?</v>
      </c>
    </row>
    <row r="1341" spans="1:4" x14ac:dyDescent="0.2">
      <c r="A1341" s="5">
        <v>1280</v>
      </c>
      <c r="B1341" s="138">
        <f>'Expenditures 15-22'!D182</f>
        <v>10334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10334</v>
      </c>
      <c r="C1345" s="2" t="s">
        <v>594</v>
      </c>
      <c r="D1345" s="2" t="str">
        <f t="shared" si="20"/>
        <v>Error?</v>
      </c>
    </row>
    <row r="1346" spans="1:4" x14ac:dyDescent="0.2">
      <c r="A1346" s="5">
        <v>1285</v>
      </c>
      <c r="B1346" s="138">
        <f>'Expenditures 15-22'!D210</f>
        <v>10334</v>
      </c>
      <c r="C1346" s="2" t="s">
        <v>594</v>
      </c>
      <c r="D1346" s="2" t="str">
        <f t="shared" si="20"/>
        <v>Error?</v>
      </c>
    </row>
    <row r="1347" spans="1:4" x14ac:dyDescent="0.2">
      <c r="A1347" s="5">
        <v>1286</v>
      </c>
      <c r="B1347" s="138">
        <f>'Expenditures 15-22'!E182</f>
        <v>23792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23792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23792</v>
      </c>
      <c r="C1353" s="2" t="s">
        <v>594</v>
      </c>
      <c r="D1353" s="2" t="str">
        <f t="shared" si="20"/>
        <v>Error?</v>
      </c>
    </row>
    <row r="1354" spans="1:4" x14ac:dyDescent="0.2">
      <c r="A1354" s="5">
        <v>1293</v>
      </c>
      <c r="B1354" s="138">
        <f>'Expenditures 15-22'!F182</f>
        <v>56628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56628</v>
      </c>
      <c r="C1358" s="2" t="s">
        <v>594</v>
      </c>
      <c r="D1358" s="2" t="str">
        <f t="shared" si="20"/>
        <v>Error?</v>
      </c>
    </row>
    <row r="1359" spans="1:4" x14ac:dyDescent="0.2">
      <c r="A1359" s="5">
        <v>1298</v>
      </c>
      <c r="B1359" s="138">
        <f>'Expenditures 15-22'!F210</f>
        <v>56628</v>
      </c>
      <c r="C1359" s="2" t="s">
        <v>594</v>
      </c>
      <c r="D1359" s="2" t="str">
        <f t="shared" si="20"/>
        <v>Error?</v>
      </c>
    </row>
    <row r="1360" spans="1:4" x14ac:dyDescent="0.2">
      <c r="A1360" s="5">
        <v>1299</v>
      </c>
      <c r="B1360" s="138">
        <f>'Expenditures 15-22'!G182</f>
        <v>93356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93356</v>
      </c>
      <c r="C1364" s="2" t="s">
        <v>594</v>
      </c>
      <c r="D1364" s="2" t="str">
        <f t="shared" si="20"/>
        <v>Error?</v>
      </c>
    </row>
    <row r="1365" spans="1:4" x14ac:dyDescent="0.2">
      <c r="A1365" s="5">
        <v>1304</v>
      </c>
      <c r="B1365" s="138">
        <f>'Expenditures 15-22'!G210</f>
        <v>93356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428090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428090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428090</v>
      </c>
      <c r="C1388" s="2" t="s">
        <v>594</v>
      </c>
      <c r="D1388" s="2" t="str">
        <f t="shared" si="20"/>
        <v>Error?</v>
      </c>
    </row>
    <row r="1389" spans="1:4" x14ac:dyDescent="0.2">
      <c r="A1389" s="5">
        <v>1328</v>
      </c>
      <c r="B1389" s="138">
        <f>'Expenditures 15-22'!K211</f>
        <v>26109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1233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91371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617</v>
      </c>
      <c r="D1412" s="2" t="str">
        <f t="shared" si="21"/>
        <v>Error?</v>
      </c>
    </row>
    <row r="1413" spans="1:4" x14ac:dyDescent="0.2">
      <c r="A1413" s="5">
        <v>1352</v>
      </c>
      <c r="B1413" s="138">
        <f>'Expenditures 15-22'!D234</f>
        <v>7783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8400</v>
      </c>
      <c r="C1417" s="2" t="s">
        <v>594</v>
      </c>
      <c r="D1417" s="2" t="str">
        <f t="shared" si="21"/>
        <v>Error?</v>
      </c>
    </row>
    <row r="1418" spans="1:4" x14ac:dyDescent="0.2">
      <c r="A1418" s="5">
        <v>1357</v>
      </c>
      <c r="B1418" s="138">
        <f>'Expenditures 15-22'!D240</f>
        <v>2492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2492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3187</v>
      </c>
      <c r="D1423" s="2" t="str">
        <f t="shared" si="21"/>
        <v>Error?</v>
      </c>
    </row>
    <row r="1424" spans="1:4" x14ac:dyDescent="0.2">
      <c r="A1424" s="5">
        <v>1363</v>
      </c>
      <c r="B1424" s="138">
        <f>'Expenditures 15-22'!D257</f>
        <v>3187</v>
      </c>
      <c r="C1424" s="2" t="s">
        <v>594</v>
      </c>
      <c r="D1424" s="2" t="str">
        <f t="shared" si="21"/>
        <v>Error?</v>
      </c>
    </row>
    <row r="1425" spans="1:4" x14ac:dyDescent="0.2">
      <c r="A1425" s="5">
        <v>1364</v>
      </c>
      <c r="B1425" s="138">
        <f>'Expenditures 15-22'!D259</f>
        <v>15358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15358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62881</v>
      </c>
      <c r="D1431" s="2" t="str">
        <f t="shared" si="21"/>
        <v>Error?</v>
      </c>
    </row>
    <row r="1432" spans="1:4" x14ac:dyDescent="0.2">
      <c r="A1432" s="5">
        <v>1371</v>
      </c>
      <c r="B1432" s="138">
        <f>'Expenditures 15-22'!D267</f>
        <v>34100</v>
      </c>
      <c r="D1432" s="2" t="str">
        <f t="shared" si="21"/>
        <v>Error?</v>
      </c>
    </row>
    <row r="1433" spans="1:4" x14ac:dyDescent="0.2">
      <c r="A1433" s="5">
        <v>1372</v>
      </c>
      <c r="B1433" s="138">
        <f>'Expenditures 15-22'!D268</f>
        <v>20767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117748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147185</v>
      </c>
      <c r="C1446" s="2" t="s">
        <v>594</v>
      </c>
      <c r="D1446" s="2" t="str">
        <f t="shared" si="21"/>
        <v>Error?</v>
      </c>
    </row>
    <row r="1447" spans="1:4" x14ac:dyDescent="0.2">
      <c r="A1447" s="5">
        <v>1386</v>
      </c>
      <c r="B1447" s="138">
        <f>'Expenditures 15-22'!D280</f>
        <v>1875</v>
      </c>
      <c r="D1447" s="2" t="str">
        <f t="shared" si="21"/>
        <v>Error?</v>
      </c>
    </row>
    <row r="1448" spans="1:4" x14ac:dyDescent="0.2">
      <c r="A1448" s="5">
        <v>1387</v>
      </c>
      <c r="B1448" s="138">
        <f>'Expenditures 15-22'!D295</f>
        <v>240431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1233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91371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617</v>
      </c>
      <c r="C1476" s="2" t="s">
        <v>594</v>
      </c>
      <c r="D1476" s="2" t="str">
        <f t="shared" si="22"/>
        <v>Error?</v>
      </c>
    </row>
    <row r="1477" spans="1:4" x14ac:dyDescent="0.2">
      <c r="A1477" s="5">
        <v>1416</v>
      </c>
      <c r="B1477" s="138">
        <f>'Expenditures 15-22'!K234</f>
        <v>7783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8400</v>
      </c>
      <c r="C1481" s="2" t="s">
        <v>594</v>
      </c>
      <c r="D1481" s="2" t="str">
        <f t="shared" si="22"/>
        <v>Error?</v>
      </c>
    </row>
    <row r="1482" spans="1:4" x14ac:dyDescent="0.2">
      <c r="A1482" s="5">
        <v>1421</v>
      </c>
      <c r="B1482" s="138">
        <f>'Expenditures 15-22'!K240</f>
        <v>2492</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2492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3187</v>
      </c>
      <c r="C1487" s="2" t="s">
        <v>594</v>
      </c>
      <c r="D1487" s="2" t="str">
        <f t="shared" si="22"/>
        <v>Error?</v>
      </c>
    </row>
    <row r="1488" spans="1:4" x14ac:dyDescent="0.2">
      <c r="A1488" s="5">
        <v>1427</v>
      </c>
      <c r="B1488" s="138">
        <f>'Expenditures 15-22'!K257</f>
        <v>3187</v>
      </c>
      <c r="C1488" s="2" t="s">
        <v>594</v>
      </c>
      <c r="D1488" s="2" t="str">
        <f t="shared" si="22"/>
        <v>Error?</v>
      </c>
    </row>
    <row r="1489" spans="1:4" x14ac:dyDescent="0.2">
      <c r="A1489" s="5">
        <v>1428</v>
      </c>
      <c r="B1489" s="138">
        <f>'Expenditures 15-22'!K259</f>
        <v>15358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15358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62881</v>
      </c>
      <c r="C1495" s="2" t="s">
        <v>594</v>
      </c>
      <c r="D1495" s="2" t="str">
        <f t="shared" si="22"/>
        <v>Error?</v>
      </c>
    </row>
    <row r="1496" spans="1:4" x14ac:dyDescent="0.2">
      <c r="A1496" s="5">
        <v>1435</v>
      </c>
      <c r="B1496" s="138">
        <f>'Expenditures 15-22'!K267</f>
        <v>34100</v>
      </c>
      <c r="C1496" s="2" t="s">
        <v>594</v>
      </c>
      <c r="D1496" s="2" t="str">
        <f t="shared" si="22"/>
        <v>Error?</v>
      </c>
    </row>
    <row r="1497" spans="1:4" x14ac:dyDescent="0.2">
      <c r="A1497" s="5">
        <v>1436</v>
      </c>
      <c r="B1497" s="138">
        <f>'Expenditures 15-22'!K268</f>
        <v>20767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117748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147185</v>
      </c>
      <c r="C1510" s="2" t="s">
        <v>594</v>
      </c>
      <c r="D1510" s="2" t="str">
        <f t="shared" si="22"/>
        <v>Error?</v>
      </c>
    </row>
    <row r="1511" spans="1:4" x14ac:dyDescent="0.2">
      <c r="A1511" s="5">
        <v>1450</v>
      </c>
      <c r="B1511" s="138">
        <f>'Expenditures 15-22'!K280</f>
        <v>1875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240431</v>
      </c>
      <c r="C1517" s="2" t="s">
        <v>594</v>
      </c>
      <c r="D1517" s="2" t="str">
        <f t="shared" si="22"/>
        <v>Error?</v>
      </c>
    </row>
    <row r="1518" spans="1:4" x14ac:dyDescent="0.2">
      <c r="A1518" s="5">
        <v>1457</v>
      </c>
      <c r="B1518" s="138">
        <f>'Expenditures 15-22'!K296</f>
        <v>18868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504541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342649</v>
      </c>
      <c r="C1630" s="2" t="s">
        <v>594</v>
      </c>
      <c r="D1630" s="2" t="str">
        <f t="shared" si="24"/>
        <v>Error?</v>
      </c>
    </row>
    <row r="1631" spans="1:4" x14ac:dyDescent="0.2">
      <c r="A1631" s="5">
        <v>1570</v>
      </c>
      <c r="B1631" s="138">
        <f>'Acct Summary 7-8'!D79</f>
        <v>518090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598955</v>
      </c>
      <c r="C1644" s="2" t="s">
        <v>594</v>
      </c>
      <c r="D1644" s="2" t="str">
        <f t="shared" si="24"/>
        <v>Error?</v>
      </c>
    </row>
    <row r="1645" spans="1:4" x14ac:dyDescent="0.2">
      <c r="A1645" s="5">
        <v>1584</v>
      </c>
      <c r="B1645" s="138">
        <f>'Acct Summary 7-8'!E79</f>
        <v>135264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138704</v>
      </c>
      <c r="C1658" s="2" t="s">
        <v>594</v>
      </c>
      <c r="D1658" s="2" t="str">
        <f t="shared" si="24"/>
        <v>Error?</v>
      </c>
    </row>
    <row r="1659" spans="1:4" x14ac:dyDescent="0.2">
      <c r="A1659" s="5">
        <v>1598</v>
      </c>
      <c r="B1659" s="138">
        <f>'Acct Summary 7-8'!F79</f>
        <v>544952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571061</v>
      </c>
      <c r="C1672" s="2" t="s">
        <v>594</v>
      </c>
      <c r="D1672" s="2" t="str">
        <f t="shared" si="25"/>
        <v>Error?</v>
      </c>
    </row>
    <row r="1673" spans="1:4" x14ac:dyDescent="0.2">
      <c r="A1673" s="5">
        <v>1612</v>
      </c>
      <c r="B1673" s="138">
        <f>'Acct Summary 7-8'!G79</f>
        <v>254995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273863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1744198</v>
      </c>
      <c r="C1744" s="2" t="s">
        <v>594</v>
      </c>
      <c r="D1744" s="2" t="str">
        <f t="shared" si="26"/>
        <v>Error?</v>
      </c>
    </row>
    <row r="1745" spans="1:5" x14ac:dyDescent="0.2">
      <c r="A1745" s="5">
        <v>1684</v>
      </c>
      <c r="B1745" s="138">
        <f>'Tax Sched 23'!B5</f>
        <v>622932</v>
      </c>
      <c r="C1745" s="2" t="s">
        <v>594</v>
      </c>
      <c r="D1745" s="2" t="str">
        <f t="shared" si="26"/>
        <v>Error?</v>
      </c>
    </row>
    <row r="1746" spans="1:5" x14ac:dyDescent="0.2">
      <c r="A1746" s="5">
        <v>1685</v>
      </c>
      <c r="B1746" s="138">
        <f>'Tax Sched 23'!B6</f>
        <v>354757</v>
      </c>
      <c r="C1746" s="2" t="s">
        <v>594</v>
      </c>
      <c r="D1746" s="2" t="str">
        <f t="shared" si="26"/>
        <v>Error?</v>
      </c>
    </row>
    <row r="1747" spans="1:5" x14ac:dyDescent="0.2">
      <c r="A1747" s="5">
        <v>1686</v>
      </c>
      <c r="B1747" s="138">
        <f>'Tax Sched 23'!B7</f>
        <v>186880</v>
      </c>
      <c r="C1747" s="2" t="s">
        <v>594</v>
      </c>
      <c r="D1747" s="2" t="str">
        <f t="shared" si="26"/>
        <v>Error?</v>
      </c>
    </row>
    <row r="1748" spans="1:5" x14ac:dyDescent="0.2">
      <c r="A1748" s="5">
        <v>1687</v>
      </c>
      <c r="B1748" s="138">
        <f>'Tax Sched 23'!B8</f>
        <v>101226</v>
      </c>
      <c r="C1748" s="2" t="s">
        <v>594</v>
      </c>
      <c r="D1748" s="2" t="str">
        <f t="shared" si="26"/>
        <v>Error?</v>
      </c>
    </row>
    <row r="1749" spans="1:5" x14ac:dyDescent="0.2">
      <c r="A1749" s="5">
        <v>1688</v>
      </c>
      <c r="B1749" s="138">
        <f>'Tax Sched 23'!B10</f>
        <v>77868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1065210</v>
      </c>
      <c r="C1752" s="2" t="s">
        <v>594</v>
      </c>
      <c r="D1752" s="2" t="str">
        <f t="shared" si="26"/>
        <v>Error?</v>
      </c>
    </row>
    <row r="1753" spans="1:5" x14ac:dyDescent="0.2">
      <c r="A1753" s="5">
        <v>1692</v>
      </c>
      <c r="B1753" s="138">
        <f>'Tax Sched 23'!B12</f>
        <v>1559</v>
      </c>
      <c r="C1753" s="2" t="s">
        <v>594</v>
      </c>
      <c r="D1753" s="2" t="str">
        <f t="shared" si="26"/>
        <v>Error?</v>
      </c>
    </row>
    <row r="1754" spans="1:5" x14ac:dyDescent="0.2">
      <c r="A1754" s="5">
        <v>1693</v>
      </c>
      <c r="B1754" s="138">
        <f>'Tax Sched 23'!B14</f>
        <v>31148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4403806</v>
      </c>
      <c r="C1759" s="2" t="s">
        <v>594</v>
      </c>
      <c r="D1759" s="2" t="str">
        <f t="shared" si="26"/>
        <v>Error?</v>
      </c>
    </row>
    <row r="1760" spans="1:5" x14ac:dyDescent="0.2">
      <c r="A1760" s="5">
        <v>1699</v>
      </c>
      <c r="B1760" s="138">
        <f>'Tax Sched 23'!D4</f>
        <v>1744198</v>
      </c>
      <c r="C1760" s="2" t="s">
        <v>594</v>
      </c>
      <c r="D1760" s="2" t="str">
        <f t="shared" si="26"/>
        <v>Error?</v>
      </c>
    </row>
    <row r="1761" spans="1:5" x14ac:dyDescent="0.2">
      <c r="A1761" s="5">
        <v>1700</v>
      </c>
      <c r="B1761" s="138">
        <f>'Tax Sched 23'!D5</f>
        <v>622932</v>
      </c>
      <c r="C1761" s="2" t="s">
        <v>594</v>
      </c>
      <c r="D1761" s="2" t="str">
        <f t="shared" si="26"/>
        <v>Error?</v>
      </c>
    </row>
    <row r="1762" spans="1:5" s="8" customFormat="1" x14ac:dyDescent="0.2">
      <c r="A1762" s="5">
        <v>1701</v>
      </c>
      <c r="B1762" s="138">
        <f>'Tax Sched 23'!D6</f>
        <v>354757</v>
      </c>
      <c r="C1762" s="2" t="s">
        <v>594</v>
      </c>
      <c r="D1762" s="2" t="str">
        <f t="shared" si="26"/>
        <v>Error?</v>
      </c>
      <c r="E1762" s="9"/>
    </row>
    <row r="1763" spans="1:5" x14ac:dyDescent="0.2">
      <c r="A1763" s="5">
        <v>1702</v>
      </c>
      <c r="B1763" s="138">
        <f>'Tax Sched 23'!D7</f>
        <v>186880</v>
      </c>
      <c r="C1763" s="2" t="s">
        <v>594</v>
      </c>
      <c r="D1763" s="2" t="str">
        <f t="shared" si="26"/>
        <v>Error?</v>
      </c>
    </row>
    <row r="1764" spans="1:5" x14ac:dyDescent="0.2">
      <c r="A1764" s="5">
        <v>1703</v>
      </c>
      <c r="B1764" s="138">
        <f>'Tax Sched 23'!D8</f>
        <v>101226</v>
      </c>
      <c r="C1764" s="2" t="s">
        <v>594</v>
      </c>
      <c r="D1764" s="2" t="str">
        <f t="shared" si="26"/>
        <v>Error?</v>
      </c>
    </row>
    <row r="1765" spans="1:5" x14ac:dyDescent="0.2">
      <c r="A1765" s="5">
        <v>1704</v>
      </c>
      <c r="B1765" s="138">
        <f>'Tax Sched 23'!D10</f>
        <v>77868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1065210</v>
      </c>
      <c r="C1768" s="2" t="s">
        <v>594</v>
      </c>
      <c r="D1768" s="2" t="str">
        <f t="shared" si="26"/>
        <v>Error?</v>
      </c>
    </row>
    <row r="1769" spans="1:5" x14ac:dyDescent="0.2">
      <c r="A1769" s="5">
        <v>1708</v>
      </c>
      <c r="B1769" s="138">
        <f>'Tax Sched 23'!D12</f>
        <v>1559</v>
      </c>
      <c r="C1769" s="2" t="s">
        <v>594</v>
      </c>
      <c r="D1769" s="2" t="str">
        <f t="shared" si="26"/>
        <v>Error?</v>
      </c>
    </row>
    <row r="1770" spans="1:5" x14ac:dyDescent="0.2">
      <c r="A1770" s="5">
        <v>1709</v>
      </c>
      <c r="B1770" s="138">
        <f>'Tax Sched 23'!D14</f>
        <v>31148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4403806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1780473</v>
      </c>
      <c r="C1792" s="2" t="s">
        <v>594</v>
      </c>
      <c r="D1792" s="2" t="str">
        <f t="shared" si="27"/>
        <v>Error?</v>
      </c>
    </row>
    <row r="1793" spans="1:4" x14ac:dyDescent="0.2">
      <c r="A1793" s="5">
        <v>1732</v>
      </c>
      <c r="B1793" s="138">
        <f>'Tax Sched 23'!F5</f>
        <v>635883</v>
      </c>
      <c r="C1793" s="2" t="s">
        <v>594</v>
      </c>
      <c r="D1793" s="2" t="str">
        <f t="shared" si="27"/>
        <v>Error?</v>
      </c>
    </row>
    <row r="1794" spans="1:4" x14ac:dyDescent="0.2">
      <c r="A1794" s="5">
        <v>1733</v>
      </c>
      <c r="B1794" s="138">
        <f>'Tax Sched 23'!F6</f>
        <v>351326</v>
      </c>
      <c r="C1794" s="2" t="s">
        <v>594</v>
      </c>
      <c r="D1794" s="2" t="str">
        <f t="shared" si="27"/>
        <v>Error?</v>
      </c>
    </row>
    <row r="1795" spans="1:4" x14ac:dyDescent="0.2">
      <c r="A1795" s="5">
        <v>1734</v>
      </c>
      <c r="B1795" s="138">
        <f>'Tax Sched 23'!F7</f>
        <v>190765</v>
      </c>
      <c r="C1795" s="2" t="s">
        <v>594</v>
      </c>
      <c r="D1795" s="2" t="str">
        <f t="shared" si="27"/>
        <v>Error?</v>
      </c>
    </row>
    <row r="1796" spans="1:4" x14ac:dyDescent="0.2">
      <c r="A1796" s="5">
        <v>1735</v>
      </c>
      <c r="B1796" s="138">
        <f>'Tax Sched 23'!F8</f>
        <v>79485</v>
      </c>
      <c r="C1796" s="2" t="s">
        <v>594</v>
      </c>
      <c r="D1796" s="2" t="str">
        <f t="shared" si="27"/>
        <v>Error?</v>
      </c>
    </row>
    <row r="1797" spans="1:4" x14ac:dyDescent="0.2">
      <c r="A1797" s="5">
        <v>1736</v>
      </c>
      <c r="B1797" s="138">
        <f>'Tax Sched 23'!F10</f>
        <v>79485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1170025</v>
      </c>
      <c r="C1800" s="2" t="s">
        <v>594</v>
      </c>
      <c r="D1800" s="2" t="str">
        <f t="shared" si="27"/>
        <v>Error?</v>
      </c>
    </row>
    <row r="1801" spans="1:4" x14ac:dyDescent="0.2">
      <c r="A1801" s="5">
        <v>1740</v>
      </c>
      <c r="B1801" s="138">
        <f>'Tax Sched 23'!F12</f>
        <v>79485</v>
      </c>
      <c r="C1801" s="2" t="s">
        <v>594</v>
      </c>
      <c r="D1801" s="2" t="str">
        <f t="shared" si="27"/>
        <v>Error?</v>
      </c>
    </row>
    <row r="1802" spans="1:4" x14ac:dyDescent="0.2">
      <c r="A1802" s="5">
        <v>1741</v>
      </c>
      <c r="B1802" s="138">
        <f>'Tax Sched 23'!F14</f>
        <v>31794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4597434</v>
      </c>
      <c r="C1807" s="2" t="s">
        <v>594</v>
      </c>
      <c r="D1807" s="2" t="str">
        <f t="shared" si="27"/>
        <v>Error?</v>
      </c>
    </row>
    <row r="1808" spans="1:4" x14ac:dyDescent="0.2">
      <c r="A1808" s="5">
        <v>1747</v>
      </c>
      <c r="B1808" s="138">
        <f>'Tax Sched 23'!E4</f>
        <v>1780473</v>
      </c>
      <c r="D1808" s="2" t="str">
        <f t="shared" si="27"/>
        <v>Error?</v>
      </c>
    </row>
    <row r="1809" spans="1:4" x14ac:dyDescent="0.2">
      <c r="A1809" s="5">
        <v>1748</v>
      </c>
      <c r="B1809" s="138">
        <f>'Tax Sched 23'!E5</f>
        <v>635883</v>
      </c>
      <c r="D1809" s="2" t="str">
        <f t="shared" si="27"/>
        <v>Error?</v>
      </c>
    </row>
    <row r="1810" spans="1:4" x14ac:dyDescent="0.2">
      <c r="A1810" s="5">
        <v>1749</v>
      </c>
      <c r="B1810" s="138">
        <f>'Tax Sched 23'!E6</f>
        <v>351326</v>
      </c>
      <c r="D1810" s="2" t="str">
        <f t="shared" si="27"/>
        <v>Error?</v>
      </c>
    </row>
    <row r="1811" spans="1:4" x14ac:dyDescent="0.2">
      <c r="A1811" s="5">
        <v>1750</v>
      </c>
      <c r="B1811" s="138">
        <f>'Tax Sched 23'!E7</f>
        <v>190765</v>
      </c>
      <c r="D1811" s="2" t="str">
        <f t="shared" si="27"/>
        <v>Error?</v>
      </c>
    </row>
    <row r="1812" spans="1:4" x14ac:dyDescent="0.2">
      <c r="A1812" s="5">
        <v>1751</v>
      </c>
      <c r="B1812" s="138">
        <f>'Tax Sched 23'!E8</f>
        <v>79485</v>
      </c>
      <c r="D1812" s="2" t="str">
        <f t="shared" si="27"/>
        <v>Error?</v>
      </c>
    </row>
    <row r="1813" spans="1:4" x14ac:dyDescent="0.2">
      <c r="A1813" s="5">
        <v>1752</v>
      </c>
      <c r="B1813" s="138">
        <f>'Tax Sched 23'!E10</f>
        <v>79485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1170025</v>
      </c>
      <c r="D1816" s="2" t="str">
        <f t="shared" si="27"/>
        <v>Error?</v>
      </c>
    </row>
    <row r="1817" spans="1:4" x14ac:dyDescent="0.2">
      <c r="A1817" s="5">
        <v>1756</v>
      </c>
      <c r="B1817" s="138">
        <f>'Tax Sched 23'!E12</f>
        <v>79485</v>
      </c>
      <c r="D1817" s="2" t="str">
        <f t="shared" si="27"/>
        <v>Error?</v>
      </c>
    </row>
    <row r="1818" spans="1:4" x14ac:dyDescent="0.2">
      <c r="A1818" s="5">
        <v>1757</v>
      </c>
      <c r="B1818" s="138">
        <f>'Tax Sched 23'!E14</f>
        <v>31794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4597434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31148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39</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31187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31187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855983</v>
      </c>
      <c r="D2008" s="2" t="str">
        <f t="shared" si="30"/>
        <v>Error?</v>
      </c>
    </row>
    <row r="2009" spans="1:4" x14ac:dyDescent="0.2">
      <c r="A2009" s="5">
        <v>1948</v>
      </c>
      <c r="B2009" s="138">
        <f>'Cap Outlay Deprec 26'!C8</f>
        <v>10755942</v>
      </c>
      <c r="D2009" s="2" t="str">
        <f t="shared" si="30"/>
        <v>Error?</v>
      </c>
    </row>
    <row r="2010" spans="1:4" x14ac:dyDescent="0.2">
      <c r="A2010" s="5">
        <v>1949</v>
      </c>
      <c r="B2010" s="138">
        <f>'Cap Outlay Deprec 26'!C10</f>
        <v>412704</v>
      </c>
      <c r="D2010" s="2" t="str">
        <f t="shared" si="30"/>
        <v>Error?</v>
      </c>
    </row>
    <row r="2011" spans="1:4" x14ac:dyDescent="0.2">
      <c r="A2011" s="5">
        <v>1950</v>
      </c>
      <c r="B2011" s="138">
        <f>'Cap Outlay Deprec 26'!C12</f>
        <v>1705550</v>
      </c>
      <c r="D2011" s="2" t="str">
        <f t="shared" si="30"/>
        <v>Error?</v>
      </c>
    </row>
    <row r="2012" spans="1:4" x14ac:dyDescent="0.2">
      <c r="A2012" s="5">
        <v>1951</v>
      </c>
      <c r="B2012" s="138">
        <f>'Cap Outlay Deprec 26'!C13</f>
        <v>820417</v>
      </c>
      <c r="D2012" s="2" t="str">
        <f t="shared" si="30"/>
        <v>Error?</v>
      </c>
    </row>
    <row r="2013" spans="1:4" x14ac:dyDescent="0.2">
      <c r="A2013" s="5">
        <v>1952</v>
      </c>
      <c r="B2013" s="138">
        <f>'Cap Outlay Deprec 26'!C16</f>
        <v>14550596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24541</v>
      </c>
      <c r="D2015" s="2" t="str">
        <f t="shared" si="30"/>
        <v>Error?</v>
      </c>
    </row>
    <row r="2016" spans="1:4" x14ac:dyDescent="0.2">
      <c r="A2016" s="5">
        <v>1955</v>
      </c>
      <c r="B2016" s="138">
        <f>'Cap Outlay Deprec 26'!D10</f>
        <v>12196</v>
      </c>
      <c r="D2016" s="2" t="str">
        <f t="shared" si="30"/>
        <v>Error?</v>
      </c>
    </row>
    <row r="2017" spans="1:4" x14ac:dyDescent="0.2">
      <c r="A2017" s="5">
        <v>1956</v>
      </c>
      <c r="B2017" s="138">
        <f>'Cap Outlay Deprec 26'!D12</f>
        <v>9317</v>
      </c>
      <c r="D2017" s="2" t="str">
        <f t="shared" si="30"/>
        <v>Error?</v>
      </c>
    </row>
    <row r="2018" spans="1:4" x14ac:dyDescent="0.2">
      <c r="A2018" s="5">
        <v>1957</v>
      </c>
      <c r="B2018" s="138">
        <f>'Cap Outlay Deprec 26'!D13</f>
        <v>93356</v>
      </c>
      <c r="D2018" s="2" t="str">
        <f t="shared" si="30"/>
        <v>Error?</v>
      </c>
    </row>
    <row r="2019" spans="1:4" x14ac:dyDescent="0.2">
      <c r="A2019" s="5">
        <v>1958</v>
      </c>
      <c r="B2019" s="138">
        <f>'Cap Outlay Deprec 26'!D16</f>
        <v>139410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855983</v>
      </c>
      <c r="C2026" s="2" t="s">
        <v>594</v>
      </c>
      <c r="D2026" s="2" t="str">
        <f t="shared" si="30"/>
        <v>Error?</v>
      </c>
    </row>
    <row r="2027" spans="1:4" x14ac:dyDescent="0.2">
      <c r="A2027" s="5">
        <v>1966</v>
      </c>
      <c r="B2027" s="138">
        <f>'Cap Outlay Deprec 26'!F8</f>
        <v>10780483</v>
      </c>
      <c r="C2027" s="2" t="s">
        <v>594</v>
      </c>
      <c r="D2027" s="2" t="str">
        <f t="shared" si="30"/>
        <v>Error?</v>
      </c>
    </row>
    <row r="2028" spans="1:4" x14ac:dyDescent="0.2">
      <c r="A2028" s="5">
        <v>1967</v>
      </c>
      <c r="B2028" s="138">
        <f>'Cap Outlay Deprec 26'!F10</f>
        <v>424900</v>
      </c>
      <c r="C2028" s="2" t="s">
        <v>594</v>
      </c>
      <c r="D2028" s="2" t="str">
        <f t="shared" si="30"/>
        <v>Error?</v>
      </c>
    </row>
    <row r="2029" spans="1:4" x14ac:dyDescent="0.2">
      <c r="A2029" s="5">
        <v>1968</v>
      </c>
      <c r="B2029" s="138">
        <f>'Cap Outlay Deprec 26'!F12</f>
        <v>1714867</v>
      </c>
      <c r="C2029" s="2" t="s">
        <v>594</v>
      </c>
      <c r="D2029" s="2" t="str">
        <f t="shared" si="30"/>
        <v>Error?</v>
      </c>
    </row>
    <row r="2030" spans="1:4" x14ac:dyDescent="0.2">
      <c r="A2030" s="5">
        <v>1969</v>
      </c>
      <c r="B2030" s="138">
        <f>'Cap Outlay Deprec 26'!F13</f>
        <v>913773</v>
      </c>
      <c r="C2030" s="2" t="s">
        <v>594</v>
      </c>
      <c r="D2030" s="2" t="str">
        <f t="shared" si="30"/>
        <v>Error?</v>
      </c>
    </row>
    <row r="2031" spans="1:4" x14ac:dyDescent="0.2">
      <c r="A2031" s="5">
        <v>1970</v>
      </c>
      <c r="B2031" s="138">
        <f>'Cap Outlay Deprec 26'!F16</f>
        <v>14690006</v>
      </c>
      <c r="C2031" s="2" t="s">
        <v>594</v>
      </c>
      <c r="D2031" s="2" t="str">
        <f t="shared" si="30"/>
        <v>Error?</v>
      </c>
    </row>
    <row r="2032" spans="1:4" x14ac:dyDescent="0.2">
      <c r="A2032" s="10">
        <v>1971</v>
      </c>
      <c r="D2032" s="2" t="str">
        <f t="shared" si="30"/>
        <v>OK</v>
      </c>
    </row>
    <row r="2033" spans="1:4" x14ac:dyDescent="0.2">
      <c r="A2033" s="5">
        <v>1972</v>
      </c>
      <c r="B2033" s="138">
        <f>'Cap Outlay Deprec 26'!H8</f>
        <v>4477534</v>
      </c>
      <c r="D2033" s="2" t="str">
        <f t="shared" si="30"/>
        <v>Error?</v>
      </c>
    </row>
    <row r="2034" spans="1:4" x14ac:dyDescent="0.2">
      <c r="A2034" s="5">
        <v>1973</v>
      </c>
      <c r="B2034" s="138">
        <f>'Cap Outlay Deprec 26'!H10</f>
        <v>263244</v>
      </c>
      <c r="D2034" s="2" t="str">
        <f t="shared" si="30"/>
        <v>Error?</v>
      </c>
    </row>
    <row r="2035" spans="1:4" x14ac:dyDescent="0.2">
      <c r="A2035" s="5">
        <v>1974</v>
      </c>
      <c r="B2035" s="138">
        <f>'Cap Outlay Deprec 26'!H12</f>
        <v>1413922</v>
      </c>
      <c r="D2035" s="2" t="str">
        <f t="shared" si="30"/>
        <v>Error?</v>
      </c>
    </row>
    <row r="2036" spans="1:4" x14ac:dyDescent="0.2">
      <c r="A2036" s="5">
        <v>1975</v>
      </c>
      <c r="B2036" s="138">
        <f>'Cap Outlay Deprec 26'!H13</f>
        <v>763578</v>
      </c>
      <c r="D2036" s="2" t="str">
        <f t="shared" si="30"/>
        <v>Error?</v>
      </c>
    </row>
    <row r="2037" spans="1:4" x14ac:dyDescent="0.2">
      <c r="A2037" s="5">
        <v>1976</v>
      </c>
      <c r="B2037" s="138">
        <f>'Cap Outlay Deprec 26'!H16</f>
        <v>6918278</v>
      </c>
      <c r="C2037" s="2" t="s">
        <v>594</v>
      </c>
      <c r="D2037" s="2" t="str">
        <f t="shared" si="30"/>
        <v>Error?</v>
      </c>
    </row>
    <row r="2038" spans="1:4" x14ac:dyDescent="0.2">
      <c r="A2038" s="10">
        <v>1977</v>
      </c>
      <c r="D2038" s="2" t="str">
        <f t="shared" si="30"/>
        <v>OK</v>
      </c>
    </row>
    <row r="2039" spans="1:4" x14ac:dyDescent="0.2">
      <c r="A2039" s="5">
        <v>1978</v>
      </c>
      <c r="B2039" s="138">
        <f>'Cap Outlay Deprec 26'!I8</f>
        <v>205032</v>
      </c>
      <c r="D2039" s="2" t="str">
        <f t="shared" si="30"/>
        <v>Error?</v>
      </c>
    </row>
    <row r="2040" spans="1:4" x14ac:dyDescent="0.2">
      <c r="A2040" s="5">
        <v>1979</v>
      </c>
      <c r="B2040" s="138">
        <f>'Cap Outlay Deprec 26'!I10</f>
        <v>17281</v>
      </c>
      <c r="D2040" s="2" t="str">
        <f t="shared" si="30"/>
        <v>Error?</v>
      </c>
    </row>
    <row r="2041" spans="1:4" x14ac:dyDescent="0.2">
      <c r="A2041" s="5">
        <v>1980</v>
      </c>
      <c r="B2041" s="138">
        <f>'Cap Outlay Deprec 26'!I12</f>
        <v>55221</v>
      </c>
      <c r="D2041" s="2" t="str">
        <f t="shared" si="30"/>
        <v>Error?</v>
      </c>
    </row>
    <row r="2042" spans="1:4" x14ac:dyDescent="0.2">
      <c r="A2042" s="5">
        <v>1981</v>
      </c>
      <c r="B2042" s="138">
        <f>'Cap Outlay Deprec 26'!I13</f>
        <v>24105</v>
      </c>
      <c r="D2042" s="2" t="str">
        <f t="shared" si="30"/>
        <v>Error?</v>
      </c>
    </row>
    <row r="2043" spans="1:4" x14ac:dyDescent="0.2">
      <c r="A2043" s="5">
        <v>1982</v>
      </c>
      <c r="B2043" s="138">
        <f>'Cap Outlay Deprec 26'!I16</f>
        <v>301639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4682566</v>
      </c>
      <c r="C2051" s="2" t="s">
        <v>594</v>
      </c>
      <c r="D2051" s="2" t="str">
        <f t="shared" si="31"/>
        <v>Error?</v>
      </c>
    </row>
    <row r="2052" spans="1:4" x14ac:dyDescent="0.2">
      <c r="A2052" s="5">
        <v>1991</v>
      </c>
      <c r="B2052" s="138">
        <f>'Cap Outlay Deprec 26'!K10</f>
        <v>280525</v>
      </c>
      <c r="C2052" s="2" t="s">
        <v>594</v>
      </c>
      <c r="D2052" s="2" t="str">
        <f t="shared" si="31"/>
        <v>Error?</v>
      </c>
    </row>
    <row r="2053" spans="1:4" x14ac:dyDescent="0.2">
      <c r="A2053" s="5">
        <v>1992</v>
      </c>
      <c r="B2053" s="138">
        <f>'Cap Outlay Deprec 26'!K12</f>
        <v>1469143</v>
      </c>
      <c r="C2053" s="2" t="s">
        <v>594</v>
      </c>
      <c r="D2053" s="2" t="str">
        <f t="shared" si="31"/>
        <v>Error?</v>
      </c>
    </row>
    <row r="2054" spans="1:4" x14ac:dyDescent="0.2">
      <c r="A2054" s="5">
        <v>1993</v>
      </c>
      <c r="B2054" s="138">
        <f>'Cap Outlay Deprec 26'!K13</f>
        <v>787683</v>
      </c>
      <c r="C2054" s="2" t="s">
        <v>594</v>
      </c>
      <c r="D2054" s="2" t="str">
        <f t="shared" si="31"/>
        <v>Error?</v>
      </c>
    </row>
    <row r="2055" spans="1:4" x14ac:dyDescent="0.2">
      <c r="A2055" s="5">
        <v>1994</v>
      </c>
      <c r="B2055" s="138">
        <f>'Cap Outlay Deprec 26'!K16</f>
        <v>7219917</v>
      </c>
      <c r="C2055" s="2" t="s">
        <v>594</v>
      </c>
      <c r="D2055" s="2" t="str">
        <f t="shared" si="31"/>
        <v>Error?</v>
      </c>
    </row>
    <row r="2056" spans="1:4" x14ac:dyDescent="0.2">
      <c r="A2056" s="5">
        <v>1995</v>
      </c>
      <c r="B2056" s="138">
        <f>'Cap Outlay Deprec 26'!L5</f>
        <v>855983</v>
      </c>
      <c r="C2056" s="2" t="s">
        <v>594</v>
      </c>
      <c r="D2056" s="2" t="str">
        <f t="shared" si="31"/>
        <v>Error?</v>
      </c>
    </row>
    <row r="2057" spans="1:4" x14ac:dyDescent="0.2">
      <c r="A2057" s="5">
        <v>1996</v>
      </c>
      <c r="B2057" s="138">
        <f>'Cap Outlay Deprec 26'!L8</f>
        <v>6097917</v>
      </c>
      <c r="C2057" s="2" t="s">
        <v>594</v>
      </c>
      <c r="D2057" s="2" t="str">
        <f t="shared" si="31"/>
        <v>Error?</v>
      </c>
    </row>
    <row r="2058" spans="1:4" x14ac:dyDescent="0.2">
      <c r="A2058" s="5">
        <v>1997</v>
      </c>
      <c r="B2058" s="138">
        <f>'Cap Outlay Deprec 26'!L10</f>
        <v>144375</v>
      </c>
      <c r="C2058" s="2" t="s">
        <v>594</v>
      </c>
      <c r="D2058" s="2" t="str">
        <f t="shared" si="31"/>
        <v>Error?</v>
      </c>
    </row>
    <row r="2059" spans="1:4" x14ac:dyDescent="0.2">
      <c r="A2059" s="5">
        <v>1998</v>
      </c>
      <c r="B2059" s="138">
        <f>'Cap Outlay Deprec 26'!L12</f>
        <v>245724</v>
      </c>
      <c r="C2059" s="2" t="s">
        <v>594</v>
      </c>
      <c r="D2059" s="2" t="str">
        <f t="shared" si="31"/>
        <v>Error?</v>
      </c>
    </row>
    <row r="2060" spans="1:4" x14ac:dyDescent="0.2">
      <c r="A2060" s="5">
        <v>1999</v>
      </c>
      <c r="B2060" s="138">
        <f>'Cap Outlay Deprec 26'!L13</f>
        <v>126090</v>
      </c>
      <c r="C2060" s="2" t="s">
        <v>594</v>
      </c>
      <c r="D2060" s="2" t="str">
        <f t="shared" si="31"/>
        <v>Error?</v>
      </c>
    </row>
    <row r="2061" spans="1:4" x14ac:dyDescent="0.2">
      <c r="A2061" s="5">
        <v>2000</v>
      </c>
      <c r="B2061" s="138">
        <f>'Cap Outlay Deprec 26'!L16</f>
        <v>7470089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137328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105051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2153668</v>
      </c>
      <c r="C2551" s="2" t="s">
        <v>594</v>
      </c>
      <c r="D2551" s="2" t="str">
        <f t="shared" si="38"/>
        <v>Error?</v>
      </c>
    </row>
    <row r="2552" spans="1:4" x14ac:dyDescent="0.2">
      <c r="A2552" s="10">
        <v>2491</v>
      </c>
      <c r="D2552" s="2" t="str">
        <f t="shared" si="38"/>
        <v>OK</v>
      </c>
    </row>
    <row r="2553" spans="1:4" x14ac:dyDescent="0.2">
      <c r="A2553" s="5">
        <v>2492</v>
      </c>
      <c r="B2553" s="138">
        <f>'Acct Summary 7-8'!C6</f>
        <v>1433196</v>
      </c>
      <c r="C2553" s="2" t="s">
        <v>594</v>
      </c>
      <c r="D2553" s="2" t="str">
        <f t="shared" si="38"/>
        <v>Error?</v>
      </c>
    </row>
    <row r="2554" spans="1:4" x14ac:dyDescent="0.2">
      <c r="A2554" s="5">
        <v>2493</v>
      </c>
      <c r="B2554" s="138">
        <f>'Acct Summary 7-8'!C7</f>
        <v>538167</v>
      </c>
      <c r="C2554" s="2" t="s">
        <v>594</v>
      </c>
      <c r="D2554" s="2" t="str">
        <f t="shared" si="38"/>
        <v>Error?</v>
      </c>
    </row>
    <row r="2555" spans="1:4" x14ac:dyDescent="0.2">
      <c r="A2555" s="5">
        <v>2494</v>
      </c>
      <c r="B2555" s="138">
        <f>'Acct Summary 7-8'!C8</f>
        <v>4125031</v>
      </c>
      <c r="C2555" s="2" t="s">
        <v>594</v>
      </c>
      <c r="D2555" s="2" t="str">
        <f t="shared" si="38"/>
        <v>Error?</v>
      </c>
    </row>
    <row r="2556" spans="1:4" x14ac:dyDescent="0.2">
      <c r="A2556" s="5">
        <v>2495</v>
      </c>
      <c r="B2556" s="138">
        <f>'Acct Summary 7-8'!C12</f>
        <v>4099010</v>
      </c>
      <c r="C2556" s="2" t="s">
        <v>594</v>
      </c>
      <c r="D2556" s="2" t="str">
        <f t="shared" si="38"/>
        <v>Error?</v>
      </c>
    </row>
    <row r="2557" spans="1:4" x14ac:dyDescent="0.2">
      <c r="A2557" s="5">
        <v>2496</v>
      </c>
      <c r="B2557" s="138">
        <f>'Acct Summary 7-8'!C13</f>
        <v>639408</v>
      </c>
      <c r="C2557" s="2" t="s">
        <v>594</v>
      </c>
      <c r="D2557" s="2" t="str">
        <f t="shared" si="38"/>
        <v>Error?</v>
      </c>
    </row>
    <row r="2558" spans="1:4" x14ac:dyDescent="0.2">
      <c r="A2558" s="5">
        <v>2497</v>
      </c>
      <c r="B2558" s="138">
        <f>'Acct Summary 7-8'!C14</f>
        <v>11177</v>
      </c>
      <c r="C2558" s="2" t="s">
        <v>594</v>
      </c>
      <c r="D2558" s="2" t="str">
        <f t="shared" si="38"/>
        <v>Error?</v>
      </c>
    </row>
    <row r="2559" spans="1:4" x14ac:dyDescent="0.2">
      <c r="A2559" s="5">
        <v>2498</v>
      </c>
      <c r="B2559" s="138">
        <f>'Acct Summary 7-8'!C15</f>
        <v>137328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4886923</v>
      </c>
      <c r="C2561" s="2" t="s">
        <v>594</v>
      </c>
      <c r="D2561" s="2" t="str">
        <f t="shared" si="39"/>
        <v>Error?</v>
      </c>
    </row>
    <row r="2562" spans="1:4" x14ac:dyDescent="0.2">
      <c r="A2562" s="5">
        <v>2501</v>
      </c>
      <c r="B2562" s="138">
        <f>'Acct Summary 7-8'!C20</f>
        <v>-761892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793566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793566</v>
      </c>
      <c r="C2568" s="2" t="s">
        <v>594</v>
      </c>
      <c r="D2568" s="2" t="str">
        <f t="shared" si="39"/>
        <v>Error?</v>
      </c>
    </row>
    <row r="2569" spans="1:4" x14ac:dyDescent="0.2">
      <c r="A2569" s="5">
        <v>2508</v>
      </c>
      <c r="B2569" s="138">
        <f>'Acct Summary 7-8'!D13</f>
        <v>712701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712701</v>
      </c>
      <c r="C2573" s="2" t="s">
        <v>594</v>
      </c>
      <c r="D2573" s="2" t="str">
        <f t="shared" si="39"/>
        <v>Error?</v>
      </c>
    </row>
    <row r="2574" spans="1:4" x14ac:dyDescent="0.2">
      <c r="A2574" s="5">
        <v>2513</v>
      </c>
      <c r="B2574" s="138">
        <f>'Acct Summary 7-8'!D20</f>
        <v>80865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212968</v>
      </c>
      <c r="C2591" s="2" t="s">
        <v>594</v>
      </c>
      <c r="D2591" s="2" t="str">
        <f t="shared" si="39"/>
        <v>Error?</v>
      </c>
    </row>
    <row r="2592" spans="1:4" x14ac:dyDescent="0.2">
      <c r="A2592" s="10">
        <v>2531</v>
      </c>
      <c r="D2592" s="2" t="str">
        <f t="shared" si="39"/>
        <v>OK</v>
      </c>
    </row>
    <row r="2593" spans="1:4" x14ac:dyDescent="0.2">
      <c r="A2593" s="5">
        <v>2532</v>
      </c>
      <c r="B2593" s="138">
        <f>'Acct Summary 7-8'!F6</f>
        <v>241231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454199</v>
      </c>
      <c r="C2595" s="2" t="s">
        <v>594</v>
      </c>
      <c r="D2595" s="2" t="str">
        <f t="shared" si="39"/>
        <v>Error?</v>
      </c>
    </row>
    <row r="2596" spans="1:4" x14ac:dyDescent="0.2">
      <c r="A2596" s="5">
        <v>2535</v>
      </c>
      <c r="B2596" s="138">
        <f>'Acct Summary 7-8'!F13</f>
        <v>428090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428090</v>
      </c>
      <c r="C2600" s="2" t="s">
        <v>594</v>
      </c>
      <c r="D2600" s="2" t="str">
        <f t="shared" si="39"/>
        <v>Error?</v>
      </c>
    </row>
    <row r="2601" spans="1:4" x14ac:dyDescent="0.2">
      <c r="A2601" s="5">
        <v>2540</v>
      </c>
      <c r="B2601" s="138">
        <f>'Acct Summary 7-8'!F20</f>
        <v>26109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259299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259299</v>
      </c>
      <c r="C2606" s="2" t="s">
        <v>594</v>
      </c>
      <c r="D2606" s="2" t="str">
        <f t="shared" si="39"/>
        <v>Error?</v>
      </c>
    </row>
    <row r="2607" spans="1:4" x14ac:dyDescent="0.2">
      <c r="A2607" s="5">
        <v>2546</v>
      </c>
      <c r="B2607" s="138">
        <f>'Acct Summary 7-8'!G12</f>
        <v>91371</v>
      </c>
      <c r="C2607" s="2" t="s">
        <v>594</v>
      </c>
      <c r="D2607" s="2" t="str">
        <f t="shared" si="39"/>
        <v>Error?</v>
      </c>
    </row>
    <row r="2608" spans="1:4" x14ac:dyDescent="0.2">
      <c r="A2608" s="5">
        <v>2547</v>
      </c>
      <c r="B2608" s="138">
        <f>'Acct Summary 7-8'!G13</f>
        <v>147185</v>
      </c>
      <c r="C2608" s="2" t="s">
        <v>594</v>
      </c>
      <c r="D2608" s="2" t="str">
        <f t="shared" si="39"/>
        <v>Error?</v>
      </c>
    </row>
    <row r="2609" spans="1:4" x14ac:dyDescent="0.2">
      <c r="A2609" s="5">
        <v>2548</v>
      </c>
      <c r="B2609" s="138">
        <f>'Acct Summary 7-8'!G14</f>
        <v>1875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240431</v>
      </c>
      <c r="C2612" s="2" t="s">
        <v>594</v>
      </c>
      <c r="D2612" s="2" t="str">
        <f t="shared" si="39"/>
        <v>Error?</v>
      </c>
    </row>
    <row r="2613" spans="1:4" x14ac:dyDescent="0.2">
      <c r="A2613" s="5">
        <v>2552</v>
      </c>
      <c r="B2613" s="138">
        <f>'Acct Summary 7-8'!G20</f>
        <v>18868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358587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358587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355147</v>
      </c>
      <c r="C2634" s="2" t="s">
        <v>594</v>
      </c>
      <c r="D2634" s="2" t="str">
        <f t="shared" si="40"/>
        <v>Error?</v>
      </c>
    </row>
    <row r="2635" spans="1:4" x14ac:dyDescent="0.2">
      <c r="A2635" s="5">
        <v>2574</v>
      </c>
      <c r="B2635" s="138">
        <f>'Acct Summary 7-8'!E17</f>
        <v>355147</v>
      </c>
      <c r="C2635" s="2" t="s">
        <v>594</v>
      </c>
      <c r="D2635" s="2" t="str">
        <f t="shared" si="40"/>
        <v>Error?</v>
      </c>
    </row>
    <row r="2636" spans="1:4" x14ac:dyDescent="0.2">
      <c r="A2636" s="5">
        <v>2575</v>
      </c>
      <c r="B2636" s="138">
        <f>'Acct Summary 7-8'!E20</f>
        <v>3440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137328</v>
      </c>
      <c r="C2789" s="2" t="s">
        <v>594</v>
      </c>
      <c r="D2789" s="2" t="str">
        <f t="shared" si="42"/>
        <v>Error?</v>
      </c>
    </row>
    <row r="2790" spans="1:4" x14ac:dyDescent="0.2">
      <c r="A2790" s="5">
        <v>2729</v>
      </c>
      <c r="B2790" s="138">
        <f>'Expenditures 15-22'!E102</f>
        <v>137328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1233733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1288022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73588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1288022</v>
      </c>
      <c r="D2912" s="2" t="str">
        <f t="shared" si="44"/>
        <v>Error?</v>
      </c>
    </row>
    <row r="2913" spans="1:4" x14ac:dyDescent="0.2">
      <c r="A2913" s="5">
        <v>2852</v>
      </c>
      <c r="B2913" s="138">
        <f>'Assets-Liab 5-6'!I41</f>
        <v>1288022</v>
      </c>
      <c r="C2913" s="2" t="s">
        <v>594</v>
      </c>
      <c r="D2913" s="2" t="str">
        <f t="shared" si="44"/>
        <v>Error?</v>
      </c>
    </row>
    <row r="2914" spans="1:4" x14ac:dyDescent="0.2">
      <c r="A2914" s="5">
        <v>2853</v>
      </c>
      <c r="B2914" s="138">
        <f>'Assets-Liab 5-6'!L33</f>
        <v>73588</v>
      </c>
      <c r="D2914" s="2" t="str">
        <f t="shared" si="44"/>
        <v>Error?</v>
      </c>
    </row>
    <row r="2915" spans="1:4" x14ac:dyDescent="0.2">
      <c r="A2915" s="10">
        <v>2854</v>
      </c>
      <c r="D2915" s="2" t="str">
        <f t="shared" si="44"/>
        <v>OK</v>
      </c>
    </row>
    <row r="2916" spans="1:4" x14ac:dyDescent="0.2">
      <c r="A2916" s="5">
        <v>2855</v>
      </c>
      <c r="B2916" s="138">
        <f>'Assets-Liab 5-6'!L34</f>
        <v>73588</v>
      </c>
      <c r="C2916" s="2" t="s">
        <v>594</v>
      </c>
      <c r="D2916" s="2" t="str">
        <f t="shared" si="44"/>
        <v>Error?</v>
      </c>
    </row>
    <row r="2917" spans="1:4" x14ac:dyDescent="0.2">
      <c r="A2917" s="5">
        <v>2856</v>
      </c>
      <c r="B2917" s="138">
        <f>'Assets-Liab 5-6'!L41</f>
        <v>73588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137328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137328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101048</v>
      </c>
      <c r="D3055" s="2" t="str">
        <f t="shared" si="46"/>
        <v>Error?</v>
      </c>
    </row>
    <row r="3056" spans="1:4" x14ac:dyDescent="0.2">
      <c r="A3056" s="5">
        <v>2995</v>
      </c>
      <c r="B3056" s="138">
        <f>'Expenditures 15-22'!D10</f>
        <v>16923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117971</v>
      </c>
      <c r="C3062" s="2" t="s">
        <v>594</v>
      </c>
      <c r="D3062" s="2" t="str">
        <f t="shared" si="46"/>
        <v>Error?</v>
      </c>
    </row>
    <row r="3063" spans="1:4" x14ac:dyDescent="0.2">
      <c r="A3063" s="10">
        <v>3002</v>
      </c>
      <c r="D3063" s="2" t="str">
        <f t="shared" si="46"/>
        <v>OK</v>
      </c>
    </row>
    <row r="3064" spans="1:4" x14ac:dyDescent="0.2">
      <c r="A3064" s="5">
        <v>3003</v>
      </c>
      <c r="B3064" s="138">
        <f>'Expenditures 15-22'!D219</f>
        <v>1014</v>
      </c>
      <c r="D3064" s="2" t="str">
        <f t="shared" si="46"/>
        <v>Error?</v>
      </c>
    </row>
    <row r="3065" spans="1:4" x14ac:dyDescent="0.2">
      <c r="A3065" s="5">
        <v>3004</v>
      </c>
      <c r="B3065" s="138">
        <f>'Expenditures 15-22'!K219</f>
        <v>1014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96548</v>
      </c>
      <c r="C3225" s="2" t="s">
        <v>594</v>
      </c>
      <c r="D3225" s="2" t="str">
        <f t="shared" si="49"/>
        <v>Error?</v>
      </c>
    </row>
    <row r="3226" spans="1:4" x14ac:dyDescent="0.2">
      <c r="A3226" s="5">
        <v>3165</v>
      </c>
      <c r="B3226" s="138">
        <f>'Acct Summary 7-8'!I8</f>
        <v>96548</v>
      </c>
      <c r="C3226" s="2" t="s">
        <v>594</v>
      </c>
      <c r="D3226" s="2" t="str">
        <f t="shared" si="49"/>
        <v>Error?</v>
      </c>
    </row>
    <row r="3227" spans="1:4" x14ac:dyDescent="0.2">
      <c r="A3227" s="5">
        <v>3166</v>
      </c>
      <c r="B3227" s="138">
        <f>'Acct Summary 7-8'!I20</f>
        <v>96548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600000</v>
      </c>
      <c r="C3232" s="2" t="s">
        <v>594</v>
      </c>
      <c r="D3232" s="2" t="str">
        <f t="shared" si="49"/>
        <v>Error?</v>
      </c>
    </row>
    <row r="3233" spans="1:4" x14ac:dyDescent="0.2">
      <c r="A3233" s="5">
        <v>3172</v>
      </c>
      <c r="B3233" s="138">
        <f>'Acct Summary 7-8'!C78</f>
        <v>-161892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80865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26109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18868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3440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600000</v>
      </c>
      <c r="C3318" s="2" t="s">
        <v>594</v>
      </c>
      <c r="D3318" s="2" t="str">
        <f t="shared" si="50"/>
        <v>Error?</v>
      </c>
    </row>
    <row r="3319" spans="1:4" x14ac:dyDescent="0.2">
      <c r="A3319" s="5">
        <v>3258</v>
      </c>
      <c r="B3319" s="138">
        <f>'Acct Summary 7-8'!I77</f>
        <v>-600000</v>
      </c>
      <c r="C3319" s="2" t="s">
        <v>594</v>
      </c>
      <c r="D3319" s="2" t="str">
        <f t="shared" si="50"/>
        <v>Error?</v>
      </c>
    </row>
    <row r="3320" spans="1:4" x14ac:dyDescent="0.2">
      <c r="A3320" s="5">
        <v>3259</v>
      </c>
      <c r="B3320" s="138">
        <f>'Acct Summary 7-8'!I78</f>
        <v>-503452</v>
      </c>
      <c r="C3320" s="2" t="s">
        <v>594</v>
      </c>
      <c r="D3320" s="2" t="str">
        <f t="shared" si="50"/>
        <v>Error?</v>
      </c>
    </row>
    <row r="3321" spans="1:4" x14ac:dyDescent="0.2">
      <c r="A3321" s="5">
        <v>3260</v>
      </c>
      <c r="B3321" s="138">
        <f>'Acct Summary 7-8'!I79</f>
        <v>1791474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1288022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168623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94559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21486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13358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298026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78938</v>
      </c>
      <c r="D3387" s="2" t="str">
        <f t="shared" si="51"/>
        <v>Error?</v>
      </c>
    </row>
    <row r="3388" spans="1:4" x14ac:dyDescent="0.2">
      <c r="A3388" s="5">
        <v>3327</v>
      </c>
      <c r="B3388" s="138">
        <f>'Expenditures 15-22'!D217</f>
        <v>4937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78938</v>
      </c>
      <c r="C3390" s="2" t="s">
        <v>594</v>
      </c>
      <c r="D3390" s="2" t="str">
        <f t="shared" si="51"/>
        <v>Error?</v>
      </c>
    </row>
    <row r="3391" spans="1:4" x14ac:dyDescent="0.2">
      <c r="A3391" s="5">
        <v>3330</v>
      </c>
      <c r="B3391" s="138">
        <f>'Expenditures 15-22'!K217</f>
        <v>4937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342649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598955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138704</v>
      </c>
      <c r="D3417" s="2" t="str">
        <f t="shared" si="52"/>
        <v>Error?</v>
      </c>
    </row>
    <row r="3418" spans="1:4" x14ac:dyDescent="0.2">
      <c r="A3418" s="10">
        <v>3357</v>
      </c>
      <c r="D3418" s="2" t="str">
        <f t="shared" si="52"/>
        <v>OK</v>
      </c>
    </row>
    <row r="3419" spans="1:4" x14ac:dyDescent="0.2">
      <c r="A3419" s="5">
        <v>3358</v>
      </c>
      <c r="B3419" s="138">
        <f>'Assets-Liab 5-6'!F4</f>
        <v>571061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273863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54289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73588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140160</v>
      </c>
      <c r="C3446" s="2" t="s">
        <v>594</v>
      </c>
      <c r="D3446" s="2" t="str">
        <f t="shared" si="52"/>
        <v>Error?</v>
      </c>
    </row>
    <row r="3447" spans="1:4" x14ac:dyDescent="0.2">
      <c r="A3447" s="5">
        <v>3386</v>
      </c>
      <c r="B3447" s="138">
        <f>'Tax Sched 23'!D16</f>
        <v>140160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119228</v>
      </c>
      <c r="C3449" s="2" t="s">
        <v>594</v>
      </c>
      <c r="D3449" s="2" t="str">
        <f t="shared" si="52"/>
        <v>Error?</v>
      </c>
    </row>
    <row r="3450" spans="1:4" x14ac:dyDescent="0.2">
      <c r="A3450" s="5">
        <v>3389</v>
      </c>
      <c r="B3450" s="138">
        <f>'Tax Sched 23'!E16</f>
        <v>119228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198334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198334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198334</v>
      </c>
      <c r="D3567" s="2" t="str">
        <f t="shared" si="54"/>
        <v>Error?</v>
      </c>
    </row>
    <row r="3568" spans="1:4" x14ac:dyDescent="0.2">
      <c r="A3568" s="5">
        <v>3507</v>
      </c>
      <c r="B3568" s="138">
        <f>'Assets-Liab 5-6'!K41</f>
        <v>198334</v>
      </c>
      <c r="C3568" s="2" t="s">
        <v>594</v>
      </c>
      <c r="D3568" s="2" t="str">
        <f t="shared" si="54"/>
        <v>Error?</v>
      </c>
    </row>
    <row r="3569" spans="1:4" x14ac:dyDescent="0.2">
      <c r="A3569" s="5">
        <v>3508</v>
      </c>
      <c r="B3569" s="138">
        <f>'Acct Summary 7-8'!K4</f>
        <v>4359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4359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4359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4359</v>
      </c>
      <c r="C3588" s="2" t="s">
        <v>594</v>
      </c>
      <c r="D3588" s="2" t="str">
        <f t="shared" si="55"/>
        <v>Error?</v>
      </c>
    </row>
    <row r="3589" spans="1:4" x14ac:dyDescent="0.2">
      <c r="A3589" s="5">
        <v>3528</v>
      </c>
      <c r="B3589" s="138">
        <f>'Acct Summary 7-8'!K79</f>
        <v>193975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198334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77868</v>
      </c>
      <c r="C3725" s="2" t="s">
        <v>594</v>
      </c>
      <c r="D3725" s="2" t="str">
        <f t="shared" si="57"/>
        <v>Error?</v>
      </c>
    </row>
    <row r="3726" spans="1:4" x14ac:dyDescent="0.2">
      <c r="A3726" s="5">
        <v>3665</v>
      </c>
      <c r="B3726" s="138">
        <f>'Tax Sched 23'!D13</f>
        <v>77868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79485</v>
      </c>
      <c r="C3728" s="2" t="s">
        <v>594</v>
      </c>
      <c r="D3728" s="2" t="str">
        <f t="shared" si="57"/>
        <v>Error?</v>
      </c>
    </row>
    <row r="3729" spans="1:4" x14ac:dyDescent="0.2">
      <c r="A3729" s="5">
        <v>3668</v>
      </c>
      <c r="B3729" s="138">
        <f>'Tax Sched 23'!E13</f>
        <v>79485</v>
      </c>
      <c r="D3729" s="2" t="str">
        <f t="shared" si="57"/>
        <v>Error?</v>
      </c>
    </row>
    <row r="3730" spans="1:4" x14ac:dyDescent="0.2">
      <c r="A3730" s="5">
        <v>3669</v>
      </c>
      <c r="B3730" s="138">
        <f>'ICR Computation 30'!E10</f>
        <v>61239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2784405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6909436</v>
      </c>
      <c r="C4122" s="2" t="s">
        <v>594</v>
      </c>
      <c r="D4122" s="2" t="str">
        <f t="shared" si="63"/>
        <v>Error?</v>
      </c>
    </row>
    <row r="4123" spans="1:4" x14ac:dyDescent="0.2">
      <c r="A4123" s="5">
        <v>4062</v>
      </c>
      <c r="B4123" s="138">
        <f>'Acct Summary 7-8'!D10</f>
        <v>793566</v>
      </c>
      <c r="C4123" s="2" t="s">
        <v>594</v>
      </c>
      <c r="D4123" s="2" t="str">
        <f t="shared" si="63"/>
        <v>Error?</v>
      </c>
    </row>
    <row r="4124" spans="1:4" x14ac:dyDescent="0.2">
      <c r="A4124" s="5">
        <v>4063</v>
      </c>
      <c r="B4124" s="138">
        <f>'Acct Summary 7-8'!E10</f>
        <v>358587</v>
      </c>
      <c r="C4124" s="2" t="s">
        <v>594</v>
      </c>
      <c r="D4124" s="2" t="str">
        <f t="shared" si="63"/>
        <v>Error?</v>
      </c>
    </row>
    <row r="4125" spans="1:4" x14ac:dyDescent="0.2">
      <c r="A4125" s="5">
        <v>4064</v>
      </c>
      <c r="B4125" s="138">
        <f>'Acct Summary 7-8'!F10</f>
        <v>454199</v>
      </c>
      <c r="C4125" s="2" t="s">
        <v>594</v>
      </c>
      <c r="D4125" s="2" t="str">
        <f t="shared" si="63"/>
        <v>Error?</v>
      </c>
    </row>
    <row r="4126" spans="1:4" x14ac:dyDescent="0.2">
      <c r="A4126" s="5">
        <v>4065</v>
      </c>
      <c r="B4126" s="138">
        <f>'Acct Summary 7-8'!G10</f>
        <v>259299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96548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4359</v>
      </c>
      <c r="C4130" s="2" t="s">
        <v>594</v>
      </c>
      <c r="D4130" s="2" t="str">
        <f t="shared" si="63"/>
        <v>Error?</v>
      </c>
    </row>
    <row r="4131" spans="1:4" x14ac:dyDescent="0.2">
      <c r="A4131" s="5">
        <v>4070</v>
      </c>
      <c r="B4131" s="138">
        <f>'Acct Summary 7-8'!C18</f>
        <v>2784405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7671328</v>
      </c>
      <c r="C4136" s="2" t="s">
        <v>594</v>
      </c>
      <c r="D4136" s="2" t="str">
        <f t="shared" si="63"/>
        <v>Error?</v>
      </c>
    </row>
    <row r="4137" spans="1:4" x14ac:dyDescent="0.2">
      <c r="A4137" s="5">
        <v>4076</v>
      </c>
      <c r="B4137" s="138">
        <f>'Acct Summary 7-8'!D19</f>
        <v>712701</v>
      </c>
      <c r="C4137" s="2" t="s">
        <v>594</v>
      </c>
      <c r="D4137" s="2" t="str">
        <f t="shared" si="63"/>
        <v>Error?</v>
      </c>
    </row>
    <row r="4138" spans="1:4" x14ac:dyDescent="0.2">
      <c r="A4138" s="5">
        <v>4077</v>
      </c>
      <c r="B4138" s="138">
        <f>'Acct Summary 7-8'!E19</f>
        <v>355147</v>
      </c>
      <c r="C4138" s="2" t="s">
        <v>594</v>
      </c>
      <c r="D4138" s="2" t="str">
        <f t="shared" si="63"/>
        <v>Error?</v>
      </c>
    </row>
    <row r="4139" spans="1:4" x14ac:dyDescent="0.2">
      <c r="A4139" s="5">
        <v>4078</v>
      </c>
      <c r="B4139" s="138">
        <f>'Acct Summary 7-8'!F19</f>
        <v>428090</v>
      </c>
      <c r="C4139" s="2" t="s">
        <v>594</v>
      </c>
      <c r="D4139" s="2" t="str">
        <f t="shared" si="63"/>
        <v>Error?</v>
      </c>
    </row>
    <row r="4140" spans="1:4" x14ac:dyDescent="0.2">
      <c r="A4140" s="5">
        <v>4079</v>
      </c>
      <c r="B4140" s="138">
        <f>'Acct Summary 7-8'!G19</f>
        <v>240431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1589271</v>
      </c>
      <c r="C4171" s="2" t="s">
        <v>594</v>
      </c>
      <c r="D4171" s="2" t="str">
        <f t="shared" si="64"/>
        <v>Error?</v>
      </c>
    </row>
    <row r="4172" spans="1:4" x14ac:dyDescent="0.2">
      <c r="A4172" s="5">
        <v>4111</v>
      </c>
      <c r="B4172" s="138">
        <f>'Short-Term Long-Term Debt 24'!J49</f>
        <v>1450567</v>
      </c>
      <c r="C4172" s="2" t="s">
        <v>594</v>
      </c>
      <c r="D4172" s="2" t="str">
        <f t="shared" si="64"/>
        <v>Error?</v>
      </c>
    </row>
    <row r="4173" spans="1:4" x14ac:dyDescent="0.2">
      <c r="A4173" s="5">
        <v>4112</v>
      </c>
      <c r="B4173" s="138">
        <f>'Short-Term Long-Term Debt 24'!H49</f>
        <v>295000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24271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1120</v>
      </c>
      <c r="C4265" s="2" t="s">
        <v>594</v>
      </c>
      <c r="D4265" s="2" t="str">
        <f t="shared" si="65"/>
        <v>Error?</v>
      </c>
      <c r="E4265" s="128"/>
    </row>
    <row r="4266" spans="1:5" x14ac:dyDescent="0.2">
      <c r="A4266" s="12">
        <v>4205</v>
      </c>
      <c r="B4266" s="138">
        <f>('FP Info 3'!F10)*100000</f>
        <v>400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1640.0000000000002</v>
      </c>
      <c r="C4268" s="2" t="s">
        <v>594</v>
      </c>
      <c r="D4268" s="2" t="str">
        <f t="shared" si="65"/>
        <v>Error?</v>
      </c>
    </row>
    <row r="4269" spans="1:5" x14ac:dyDescent="0.2">
      <c r="A4269" s="12">
        <v>4208</v>
      </c>
      <c r="B4269" s="138">
        <f>'FP Info 3'!J16</f>
        <v>2800687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5853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30081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17707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158970806</v>
      </c>
      <c r="D4995" s="2" t="str">
        <f t="shared" si="77"/>
        <v>Error?</v>
      </c>
    </row>
    <row r="4996" spans="1:4" x14ac:dyDescent="0.2">
      <c r="A4996" s="12">
        <v>4935</v>
      </c>
      <c r="B4996" s="138">
        <f>'FP Info 3'!H31</f>
        <v>10968985.614</v>
      </c>
      <c r="D4996" s="2" t="str">
        <f t="shared" si="77"/>
        <v>Error?</v>
      </c>
    </row>
    <row r="4997" spans="1:4" x14ac:dyDescent="0.2">
      <c r="A4997" s="12">
        <v>4936</v>
      </c>
      <c r="B4997" s="138">
        <f>'FP Info 3'!H37</f>
        <v>1589271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77868</v>
      </c>
      <c r="D5026" s="2" t="str">
        <f t="shared" si="77"/>
        <v>Error?</v>
      </c>
    </row>
    <row r="5027" spans="1:4" x14ac:dyDescent="0.2">
      <c r="A5027" s="5">
        <v>4966</v>
      </c>
      <c r="B5027" s="138">
        <f>'Revenues 9-14'!F104</f>
        <v>7176</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1744198</v>
      </c>
      <c r="D5061" s="2" t="str">
        <f t="shared" si="78"/>
        <v>Error?</v>
      </c>
    </row>
    <row r="5062" spans="1:4" x14ac:dyDescent="0.2">
      <c r="A5062" s="10">
        <v>5001</v>
      </c>
      <c r="D5062" s="2" t="str">
        <f t="shared" si="78"/>
        <v>OK</v>
      </c>
    </row>
    <row r="5063" spans="1:4" x14ac:dyDescent="0.2">
      <c r="A5063" s="5">
        <v>5002</v>
      </c>
      <c r="B5063" s="138">
        <f>'Revenues 9-14'!C7</f>
        <v>31148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1853214</v>
      </c>
      <c r="C5066" s="2" t="s">
        <v>594</v>
      </c>
      <c r="D5066" s="2" t="str">
        <f t="shared" si="78"/>
        <v>Error?</v>
      </c>
    </row>
    <row r="5067" spans="1:4" x14ac:dyDescent="0.2">
      <c r="A5067" s="5">
        <v>5006</v>
      </c>
      <c r="B5067" s="138">
        <f>'Revenues 9-14'!C14</f>
        <v>2326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180804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183130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2100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23763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25863</v>
      </c>
      <c r="C5087" s="2" t="s">
        <v>594</v>
      </c>
      <c r="D5087" s="2" t="str">
        <f t="shared" si="78"/>
        <v>Error?</v>
      </c>
    </row>
    <row r="5088" spans="1:4" x14ac:dyDescent="0.2">
      <c r="A5088" s="5">
        <v>5027</v>
      </c>
      <c r="B5088" s="138">
        <f>'Revenues 9-14'!C65</f>
        <v>11514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11514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5547</v>
      </c>
      <c r="C5096" s="2" t="s">
        <v>594</v>
      </c>
      <c r="D5096" s="2" t="str">
        <f t="shared" si="78"/>
        <v>Error?</v>
      </c>
    </row>
    <row r="5097" spans="1:4" x14ac:dyDescent="0.2">
      <c r="A5097" s="5">
        <v>5036</v>
      </c>
      <c r="B5097" s="138">
        <f>'Revenues 9-14'!C77</f>
        <v>7968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13593</v>
      </c>
      <c r="C5102" s="2" t="s">
        <v>594</v>
      </c>
      <c r="D5102" s="2" t="str">
        <f t="shared" si="78"/>
        <v>Error?</v>
      </c>
    </row>
    <row r="5103" spans="1:4" x14ac:dyDescent="0.2">
      <c r="A5103" s="5">
        <v>5042</v>
      </c>
      <c r="B5103" s="138">
        <f>'Revenues 9-14'!C84</f>
        <v>53016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53016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7791</v>
      </c>
      <c r="C5120" s="2" t="s">
        <v>594</v>
      </c>
      <c r="D5120" s="2" t="str">
        <f t="shared" si="79"/>
        <v>Error?</v>
      </c>
    </row>
    <row r="5121" spans="1:4" x14ac:dyDescent="0.2">
      <c r="A5121" s="5">
        <v>5060</v>
      </c>
      <c r="B5121" s="138">
        <f>'Revenues 9-14'!C109</f>
        <v>2153668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1327994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1327994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50139</v>
      </c>
      <c r="D5134" s="2" t="str">
        <f t="shared" si="79"/>
        <v>Error?</v>
      </c>
    </row>
    <row r="5135" spans="1:4" x14ac:dyDescent="0.2">
      <c r="A5135" s="5">
        <v>5074</v>
      </c>
      <c r="B5135" s="138">
        <f>'Revenues 9-14'!C126</f>
        <v>53239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103651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1551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105202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1433196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95034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26965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121999</v>
      </c>
      <c r="C5246" s="2" t="s">
        <v>594</v>
      </c>
      <c r="D5246" s="2" t="str">
        <f t="shared" si="80"/>
        <v>Error?</v>
      </c>
    </row>
    <row r="5247" spans="1:4" x14ac:dyDescent="0.2">
      <c r="A5247" s="5">
        <v>5186</v>
      </c>
      <c r="B5247" s="138">
        <f>'Revenues 9-14'!C203</f>
        <v>104795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104795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646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162701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163347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538167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538167</v>
      </c>
      <c r="C5326" s="2" t="s">
        <v>594</v>
      </c>
      <c r="D5326" s="2" t="str">
        <f t="shared" si="82"/>
        <v>Error?</v>
      </c>
    </row>
    <row r="5327" spans="1:4" x14ac:dyDescent="0.2">
      <c r="A5327" s="5">
        <v>5266</v>
      </c>
      <c r="B5327" s="138">
        <f>'Revenues 9-14'!C275</f>
        <v>4125031</v>
      </c>
      <c r="C5327" s="2" t="s">
        <v>594</v>
      </c>
      <c r="D5327" s="2" t="str">
        <f t="shared" si="82"/>
        <v>Error?</v>
      </c>
    </row>
    <row r="5328" spans="1:4" x14ac:dyDescent="0.2">
      <c r="A5328" s="5">
        <v>5267</v>
      </c>
      <c r="B5328" s="138">
        <f>'Revenues 9-14'!D5</f>
        <v>622932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622932</v>
      </c>
      <c r="C5334" s="2" t="s">
        <v>594</v>
      </c>
      <c r="D5334" s="2" t="str">
        <f t="shared" si="82"/>
        <v>Error?</v>
      </c>
    </row>
    <row r="5335" spans="1:4" x14ac:dyDescent="0.2">
      <c r="A5335" s="5">
        <v>5274</v>
      </c>
      <c r="B5335" s="138">
        <f>'Revenues 9-14'!D14</f>
        <v>782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782</v>
      </c>
      <c r="C5339" s="2" t="s">
        <v>594</v>
      </c>
      <c r="D5339" s="2" t="str">
        <f t="shared" si="82"/>
        <v>Error?</v>
      </c>
    </row>
    <row r="5340" spans="1:4" x14ac:dyDescent="0.2">
      <c r="A5340" s="5">
        <v>5279</v>
      </c>
      <c r="B5340" s="138">
        <f>'Revenues 9-14'!D65</f>
        <v>11364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11364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158488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158488</v>
      </c>
      <c r="C5355" s="2" t="s">
        <v>594</v>
      </c>
      <c r="D5355" s="2" t="str">
        <f t="shared" si="82"/>
        <v>Error?</v>
      </c>
    </row>
    <row r="5356" spans="1:4" x14ac:dyDescent="0.2">
      <c r="A5356" s="5">
        <v>5295</v>
      </c>
      <c r="B5356" s="138">
        <f>'Revenues 9-14'!D109</f>
        <v>793566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793566</v>
      </c>
      <c r="C5508" s="2" t="s">
        <v>594</v>
      </c>
      <c r="D5508" s="2" t="str">
        <f t="shared" si="85"/>
        <v>Error?</v>
      </c>
    </row>
    <row r="5509" spans="1:4" x14ac:dyDescent="0.2">
      <c r="A5509" s="5">
        <v>5448</v>
      </c>
      <c r="B5509" s="138">
        <f>'Revenues 9-14'!E5</f>
        <v>354757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354757</v>
      </c>
      <c r="C5513" s="2" t="s">
        <v>594</v>
      </c>
      <c r="D5513" s="2" t="str">
        <f t="shared" si="85"/>
        <v>Error?</v>
      </c>
    </row>
    <row r="5514" spans="1:4" x14ac:dyDescent="0.2">
      <c r="A5514" s="5">
        <v>5453</v>
      </c>
      <c r="B5514" s="138">
        <f>'Revenues 9-14'!E14</f>
        <v>445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445</v>
      </c>
      <c r="C5518" s="2" t="s">
        <v>594</v>
      </c>
      <c r="D5518" s="2" t="str">
        <f t="shared" si="85"/>
        <v>Error?</v>
      </c>
    </row>
    <row r="5519" spans="1:4" x14ac:dyDescent="0.2">
      <c r="A5519" s="5">
        <v>5458</v>
      </c>
      <c r="B5519" s="138">
        <f>'Revenues 9-14'!E65</f>
        <v>3025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3025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360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360</v>
      </c>
      <c r="C5526" s="2" t="s">
        <v>594</v>
      </c>
      <c r="D5526" s="2" t="str">
        <f t="shared" si="85"/>
        <v>Error?</v>
      </c>
    </row>
    <row r="5527" spans="1:4" x14ac:dyDescent="0.2">
      <c r="A5527" s="5">
        <v>5466</v>
      </c>
      <c r="B5527" s="138">
        <f>'Revenues 9-14'!E109</f>
        <v>358587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358587</v>
      </c>
      <c r="C5552" s="2" t="s">
        <v>594</v>
      </c>
      <c r="D5552" s="2" t="str">
        <f t="shared" si="85"/>
        <v>Error?</v>
      </c>
    </row>
    <row r="5553" spans="1:4" x14ac:dyDescent="0.2">
      <c r="A5553" s="5">
        <v>5492</v>
      </c>
      <c r="B5553" s="138">
        <f>'Revenues 9-14'!F5</f>
        <v>186880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186880</v>
      </c>
      <c r="C5557" s="2" t="s">
        <v>594</v>
      </c>
      <c r="D5557" s="2" t="str">
        <f t="shared" si="85"/>
        <v>Error?</v>
      </c>
    </row>
    <row r="5558" spans="1:4" x14ac:dyDescent="0.2">
      <c r="A5558" s="5">
        <v>5497</v>
      </c>
      <c r="B5558" s="138">
        <f>'Revenues 9-14'!F14</f>
        <v>235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5082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5082</v>
      </c>
      <c r="C5579" s="2" t="s">
        <v>594</v>
      </c>
      <c r="D5579" s="2" t="str">
        <f t="shared" si="86"/>
        <v>Error?</v>
      </c>
    </row>
    <row r="5580" spans="1:4" x14ac:dyDescent="0.2">
      <c r="A5580" s="5">
        <v>5519</v>
      </c>
      <c r="B5580" s="138">
        <f>'Revenues 9-14'!F65</f>
        <v>8779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8779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4816</v>
      </c>
      <c r="D5586" s="2" t="str">
        <f t="shared" si="86"/>
        <v>Error?</v>
      </c>
    </row>
    <row r="5587" spans="1:4" x14ac:dyDescent="0.2">
      <c r="A5587" s="5">
        <v>5526</v>
      </c>
      <c r="B5587" s="138">
        <f>'Revenues 9-14'!F108</f>
        <v>11992</v>
      </c>
      <c r="C5587" s="2" t="s">
        <v>594</v>
      </c>
      <c r="D5587" s="2" t="str">
        <f t="shared" si="86"/>
        <v>Error?</v>
      </c>
    </row>
    <row r="5588" spans="1:4" x14ac:dyDescent="0.2">
      <c r="A5588" s="5">
        <v>5527</v>
      </c>
      <c r="B5588" s="138">
        <f>'Revenues 9-14'!F109</f>
        <v>212968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150205</v>
      </c>
      <c r="D5615" s="2" t="str">
        <f t="shared" si="86"/>
        <v>Error?</v>
      </c>
    </row>
    <row r="5616" spans="1:4" x14ac:dyDescent="0.2">
      <c r="A5616" s="10">
        <v>5555</v>
      </c>
      <c r="D5616" s="2" t="str">
        <f t="shared" si="86"/>
        <v>OK</v>
      </c>
    </row>
    <row r="5617" spans="1:4" x14ac:dyDescent="0.2">
      <c r="A5617" s="5">
        <v>5556</v>
      </c>
      <c r="B5617" s="138">
        <f>'Revenues 9-14'!F152</f>
        <v>91026</v>
      </c>
      <c r="D5617" s="2" t="str">
        <f t="shared" si="86"/>
        <v>Error?</v>
      </c>
    </row>
    <row r="5618" spans="1:4" x14ac:dyDescent="0.2">
      <c r="A5618" s="5">
        <v>5557</v>
      </c>
      <c r="B5618" s="138">
        <f>'Revenues 9-14'!F154</f>
        <v>241231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241231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241231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454199</v>
      </c>
      <c r="C5720" s="2" t="s">
        <v>594</v>
      </c>
      <c r="D5720" s="2" t="str">
        <f t="shared" si="88"/>
        <v>Error?</v>
      </c>
    </row>
    <row r="5721" spans="1:4" x14ac:dyDescent="0.2">
      <c r="A5721" s="5">
        <v>5660</v>
      </c>
      <c r="B5721" s="138">
        <f>'Revenues 9-14'!G5</f>
        <v>101226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140160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241386</v>
      </c>
      <c r="C5725" s="2" t="s">
        <v>594</v>
      </c>
      <c r="D5725" s="2" t="str">
        <f t="shared" si="88"/>
        <v>Error?</v>
      </c>
    </row>
    <row r="5726" spans="1:4" x14ac:dyDescent="0.2">
      <c r="A5726" s="5">
        <v>5665</v>
      </c>
      <c r="B5726" s="138">
        <f>'Revenues 9-14'!G14</f>
        <v>303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13303</v>
      </c>
      <c r="C5730" s="2" t="s">
        <v>594</v>
      </c>
      <c r="D5730" s="2" t="str">
        <f t="shared" si="88"/>
        <v>Error?</v>
      </c>
    </row>
    <row r="5731" spans="1:4" x14ac:dyDescent="0.2">
      <c r="A5731" s="5">
        <v>5670</v>
      </c>
      <c r="B5731" s="138">
        <f>'Revenues 9-14'!G65</f>
        <v>4610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259299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77868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77868</v>
      </c>
      <c r="C5918" s="2" t="s">
        <v>594</v>
      </c>
      <c r="D5918" s="2" t="str">
        <f t="shared" si="91"/>
        <v>Error?</v>
      </c>
    </row>
    <row r="5919" spans="1:4" x14ac:dyDescent="0.2">
      <c r="A5919" s="5">
        <v>5858</v>
      </c>
      <c r="B5919" s="138">
        <f>'Revenues 9-14'!I14</f>
        <v>98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98</v>
      </c>
      <c r="C5923" s="2" t="s">
        <v>594</v>
      </c>
      <c r="D5923" s="2" t="str">
        <f t="shared" si="91"/>
        <v>Error?</v>
      </c>
    </row>
    <row r="5924" spans="1:4" x14ac:dyDescent="0.2">
      <c r="A5924" s="5">
        <v>5863</v>
      </c>
      <c r="B5924" s="138">
        <f>'Revenues 9-14'!I65</f>
        <v>18582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18582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96548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1559</v>
      </c>
      <c r="C5987" s="2" t="s">
        <v>594</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594</v>
      </c>
      <c r="D5992" s="2" t="str">
        <f t="shared" si="92"/>
        <v>Error?</v>
      </c>
    </row>
    <row r="5993" spans="1:4" x14ac:dyDescent="0.2">
      <c r="A5993" s="5">
        <v>5932</v>
      </c>
      <c r="B5993" s="138">
        <f>'Revenues 9-14'!K65</f>
        <v>2798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2798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4359</v>
      </c>
      <c r="C6023" s="2" t="s">
        <v>594</v>
      </c>
      <c r="D6023" s="2" t="str">
        <f t="shared" si="93"/>
        <v>Error?</v>
      </c>
    </row>
    <row r="6024" spans="1:5" x14ac:dyDescent="0.2">
      <c r="A6024" s="5">
        <v>5963</v>
      </c>
      <c r="B6024" s="138">
        <f>'Revenues 9-14'!G109</f>
        <v>259299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96548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4359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28431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721.63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11893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11893</v>
      </c>
      <c r="D6215" s="2" t="str">
        <f t="shared" si="96"/>
        <v>Error?</v>
      </c>
      <c r="E6215" s="2" t="s">
        <v>199</v>
      </c>
    </row>
    <row r="6216" spans="1:5" x14ac:dyDescent="0.2">
      <c r="A6216">
        <v>6155</v>
      </c>
      <c r="B6216" s="138">
        <f>'Assets-Liab 5-6'!J41</f>
        <v>11893</v>
      </c>
      <c r="D6216" s="2" t="str">
        <f t="shared" si="96"/>
        <v>Error?</v>
      </c>
      <c r="E6216" s="2" t="s">
        <v>199</v>
      </c>
    </row>
    <row r="6217" spans="1:5" x14ac:dyDescent="0.2">
      <c r="A6217">
        <v>6156</v>
      </c>
      <c r="B6217" s="138">
        <f>'Assets-Liab 5-6'!J4</f>
        <v>11893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1075619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1075619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1075619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1067989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1067989</v>
      </c>
      <c r="D6229" s="2" t="str">
        <f t="shared" si="96"/>
        <v>Error?</v>
      </c>
      <c r="E6229" s="2" t="s">
        <v>199</v>
      </c>
    </row>
    <row r="6230" spans="1:5" x14ac:dyDescent="0.2">
      <c r="A6230">
        <v>6169</v>
      </c>
      <c r="B6230" s="138">
        <f>'Acct Summary 7-8'!J20</f>
        <v>7630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7630</v>
      </c>
      <c r="D6263" s="2" t="str">
        <f t="shared" si="96"/>
        <v>Error?</v>
      </c>
      <c r="E6263" s="2" t="s">
        <v>199</v>
      </c>
    </row>
    <row r="6264" spans="1:5" x14ac:dyDescent="0.2">
      <c r="A6264">
        <v>6203</v>
      </c>
      <c r="B6264" s="138">
        <f>'Acct Summary 7-8'!J79</f>
        <v>4263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11893</v>
      </c>
      <c r="D6266" s="2" t="str">
        <f t="shared" si="96"/>
        <v>Error?</v>
      </c>
      <c r="E6266" s="2" t="s">
        <v>199</v>
      </c>
    </row>
    <row r="6267" spans="1:5" x14ac:dyDescent="0.2">
      <c r="A6267">
        <v>6206</v>
      </c>
      <c r="B6267" s="138">
        <f>'Acct Summary 7-8'!C82</f>
        <v>-161892</v>
      </c>
      <c r="D6267" s="2" t="str">
        <f t="shared" si="96"/>
        <v>Error?</v>
      </c>
      <c r="E6267" s="2" t="s">
        <v>199</v>
      </c>
    </row>
    <row r="6268" spans="1:5" x14ac:dyDescent="0.2">
      <c r="A6268">
        <v>6207</v>
      </c>
      <c r="B6268" s="138">
        <f>'Acct Summary 7-8'!D82</f>
        <v>80865</v>
      </c>
      <c r="D6268" s="2" t="str">
        <f t="shared" si="96"/>
        <v>Error?</v>
      </c>
      <c r="E6268" s="2" t="s">
        <v>199</v>
      </c>
    </row>
    <row r="6269" spans="1:5" x14ac:dyDescent="0.2">
      <c r="A6269">
        <v>6208</v>
      </c>
      <c r="B6269" s="138">
        <f>'Acct Summary 7-8'!E82</f>
        <v>3440</v>
      </c>
      <c r="D6269" s="2" t="str">
        <f t="shared" si="96"/>
        <v>Error?</v>
      </c>
      <c r="E6269" s="2" t="s">
        <v>199</v>
      </c>
    </row>
    <row r="6270" spans="1:5" x14ac:dyDescent="0.2">
      <c r="A6270">
        <v>6209</v>
      </c>
      <c r="B6270" s="138">
        <f>'Acct Summary 7-8'!F82</f>
        <v>26109</v>
      </c>
      <c r="D6270" s="2" t="str">
        <f t="shared" si="96"/>
        <v>Error?</v>
      </c>
      <c r="E6270" s="2" t="s">
        <v>199</v>
      </c>
    </row>
    <row r="6271" spans="1:5" x14ac:dyDescent="0.2">
      <c r="A6271">
        <v>6210</v>
      </c>
      <c r="B6271" s="138">
        <f>'Acct Summary 7-8'!G82</f>
        <v>18868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-503452</v>
      </c>
      <c r="D6273" s="2" t="str">
        <f t="shared" si="97"/>
        <v>Error?</v>
      </c>
      <c r="E6273" s="2" t="s">
        <v>199</v>
      </c>
    </row>
    <row r="6274" spans="1:5" x14ac:dyDescent="0.2">
      <c r="A6274">
        <v>6213</v>
      </c>
      <c r="B6274" s="138">
        <f>'Acct Summary 7-8'!J82</f>
        <v>7630</v>
      </c>
      <c r="D6274" s="2" t="str">
        <f t="shared" si="97"/>
        <v>Error?</v>
      </c>
      <c r="E6274" s="2" t="s">
        <v>199</v>
      </c>
    </row>
    <row r="6275" spans="1:5" x14ac:dyDescent="0.2">
      <c r="A6275">
        <v>6214</v>
      </c>
      <c r="B6275" s="138">
        <f>'Acct Summary 7-8'!K82</f>
        <v>4359</v>
      </c>
      <c r="D6275" s="2" t="str">
        <f t="shared" si="97"/>
        <v>Error?</v>
      </c>
      <c r="E6275" s="2" t="s">
        <v>199</v>
      </c>
    </row>
    <row r="6276" spans="1:5" x14ac:dyDescent="0.2">
      <c r="A6276">
        <v>6215</v>
      </c>
      <c r="B6276" s="138">
        <f>'Acct Summary 7-8'!C83</f>
        <v>-0.47247182977332491</v>
      </c>
      <c r="D6276" s="2" t="str">
        <f t="shared" si="97"/>
        <v>Error?</v>
      </c>
      <c r="E6276" s="2" t="s">
        <v>199</v>
      </c>
    </row>
    <row r="6277" spans="1:5" x14ac:dyDescent="0.2">
      <c r="A6277">
        <v>6216</v>
      </c>
      <c r="B6277" s="138">
        <f>'Acct Summary 7-8'!D83</f>
        <v>0.1350101426651418</v>
      </c>
      <c r="D6277" s="2" t="str">
        <f t="shared" si="97"/>
        <v>Error?</v>
      </c>
      <c r="E6277" s="2" t="s">
        <v>199</v>
      </c>
    </row>
    <row r="6278" spans="1:5" x14ac:dyDescent="0.2">
      <c r="A6278">
        <v>6217</v>
      </c>
      <c r="B6278" s="138">
        <f>'Acct Summary 7-8'!E83</f>
        <v>2.4801015111316185E-2</v>
      </c>
      <c r="D6278" s="2" t="str">
        <f t="shared" si="97"/>
        <v>Error?</v>
      </c>
      <c r="E6278" s="2" t="s">
        <v>199</v>
      </c>
    </row>
    <row r="6279" spans="1:5" x14ac:dyDescent="0.2">
      <c r="A6279">
        <v>6218</v>
      </c>
      <c r="B6279" s="138">
        <f>'Acct Summary 7-8'!F83</f>
        <v>4.5720159492593608E-2</v>
      </c>
      <c r="D6279" s="2" t="str">
        <f t="shared" si="97"/>
        <v>Error?</v>
      </c>
      <c r="E6279" s="2" t="s">
        <v>199</v>
      </c>
    </row>
    <row r="6280" spans="1:5" x14ac:dyDescent="0.2">
      <c r="A6280">
        <v>6219</v>
      </c>
      <c r="B6280" s="138">
        <f>'Acct Summary 7-8'!G83</f>
        <v>6.8895761749487888E-2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-0.39087220559897268</v>
      </c>
      <c r="D6282" s="2" t="str">
        <f t="shared" si="97"/>
        <v>Error?</v>
      </c>
      <c r="E6282" s="2" t="s">
        <v>199</v>
      </c>
    </row>
    <row r="6283" spans="1:5" x14ac:dyDescent="0.2">
      <c r="A6283">
        <v>6222</v>
      </c>
      <c r="B6283" s="138">
        <f>'Acct Summary 7-8'!J83</f>
        <v>0.64155385520894648</v>
      </c>
      <c r="D6283" s="2" t="str">
        <f t="shared" si="97"/>
        <v>Error?</v>
      </c>
      <c r="E6283" s="2" t="s">
        <v>199</v>
      </c>
    </row>
    <row r="6284" spans="1:5" x14ac:dyDescent="0.2">
      <c r="A6284">
        <v>6223</v>
      </c>
      <c r="B6284" s="138">
        <f>'Acct Summary 7-8'!K83</f>
        <v>2.1978077384613832E-2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1065210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1065210</v>
      </c>
      <c r="D6301" s="2" t="str">
        <f t="shared" si="97"/>
        <v>Error?</v>
      </c>
      <c r="E6301" s="2" t="s">
        <v>199</v>
      </c>
    </row>
    <row r="6302" spans="1:5" x14ac:dyDescent="0.2">
      <c r="A6302">
        <v>6241</v>
      </c>
      <c r="B6302" s="138">
        <f>'Revenues 9-14'!J14</f>
        <v>1337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1337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9072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9072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1075619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56447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78773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11123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1067989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1075619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4030</v>
      </c>
      <c r="D7073" s="2" t="str">
        <f t="shared" si="109"/>
        <v>Error?</v>
      </c>
    </row>
    <row r="7074" spans="1:4" x14ac:dyDescent="0.2">
      <c r="A7074">
        <v>7013</v>
      </c>
      <c r="B7074" s="138">
        <f>'Expenditures 15-22'!K216</f>
        <v>4030</v>
      </c>
      <c r="D7074" s="2" t="str">
        <f t="shared" si="109"/>
        <v>Error?</v>
      </c>
    </row>
    <row r="7075" spans="1:4" x14ac:dyDescent="0.2">
      <c r="A7075">
        <v>7014</v>
      </c>
      <c r="B7075" s="138">
        <f>'Expenditures 15-22'!D218</f>
        <v>1219</v>
      </c>
      <c r="D7075" s="2" t="str">
        <f t="shared" si="109"/>
        <v>Error?</v>
      </c>
    </row>
    <row r="7076" spans="1:4" x14ac:dyDescent="0.2">
      <c r="A7076">
        <v>7015</v>
      </c>
      <c r="B7076" s="138">
        <f>'Expenditures 15-22'!K218</f>
        <v>1219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83265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83265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80857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80857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350000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350000</v>
      </c>
      <c r="D7171" s="2" t="str">
        <f t="shared" si="111"/>
        <v>Error?</v>
      </c>
    </row>
    <row r="7172" spans="1:4" x14ac:dyDescent="0.2">
      <c r="A7172">
        <v>7111</v>
      </c>
      <c r="B7172" s="138">
        <f>'Expenditures 15-22'!C325</f>
        <v>430000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430000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123867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123867</v>
      </c>
      <c r="D7198" s="2" t="str">
        <f t="shared" si="111"/>
        <v>Error?</v>
      </c>
    </row>
    <row r="7199" spans="1:4" x14ac:dyDescent="0.2">
      <c r="A7199">
        <v>7138</v>
      </c>
      <c r="B7199" s="138">
        <f>'Expenditures 15-22'!C330</f>
        <v>430000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637989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1067989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637989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1067989</v>
      </c>
      <c r="D7224" s="2" t="str">
        <f t="shared" si="111"/>
        <v>Error?</v>
      </c>
    </row>
    <row r="7225" spans="1:4" x14ac:dyDescent="0.2">
      <c r="A7225">
        <v>7164</v>
      </c>
      <c r="B7225" s="138">
        <f>'Expenditures 15-22'!K343</f>
        <v>7630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18921</v>
      </c>
      <c r="D7246" s="2" t="str">
        <f t="shared" si="112"/>
        <v>Error?</v>
      </c>
    </row>
    <row r="7247" spans="1:4" x14ac:dyDescent="0.2">
      <c r="A7247">
        <f t="shared" si="113"/>
        <v>7186</v>
      </c>
      <c r="B7247" s="138">
        <f>'Expenditures 15-22'!E7</f>
        <v>1420</v>
      </c>
      <c r="D7247" s="2" t="str">
        <f t="shared" si="112"/>
        <v>Error?</v>
      </c>
    </row>
    <row r="7248" spans="1:4" x14ac:dyDescent="0.2">
      <c r="A7248">
        <f t="shared" si="113"/>
        <v>7187</v>
      </c>
      <c r="B7248" s="138">
        <f>'Expenditures 15-22'!F7</f>
        <v>1985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9100</v>
      </c>
      <c r="D7251" s="2" t="str">
        <f t="shared" si="112"/>
        <v>Error?</v>
      </c>
    </row>
    <row r="7252" spans="1:4" x14ac:dyDescent="0.2">
      <c r="A7252">
        <f t="shared" si="113"/>
        <v>7191</v>
      </c>
      <c r="B7252" s="138">
        <f>'Expenditures 15-22'!D9</f>
        <v>2023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301639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31187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600000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94385</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83527</v>
      </c>
      <c r="D7797" s="2" t="str">
        <f t="shared" si="127"/>
        <v>Error?</v>
      </c>
      <c r="E7797" s="4" t="s">
        <v>2020</v>
      </c>
    </row>
    <row r="7798" spans="1:5" x14ac:dyDescent="0.2">
      <c r="A7798">
        <v>7737</v>
      </c>
      <c r="B7798" s="138">
        <f>'Contracts Paid in CY 29'!F141</f>
        <v>56639</v>
      </c>
      <c r="D7798" s="2" t="str">
        <f t="shared" si="127"/>
        <v>Error?</v>
      </c>
      <c r="E7798" s="4" t="s">
        <v>2020</v>
      </c>
    </row>
    <row r="7799" spans="1:5" x14ac:dyDescent="0.2">
      <c r="A7799">
        <v>7738</v>
      </c>
      <c r="B7799" s="138">
        <f>'Contracts Paid in CY 29'!G141</f>
        <v>26888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3" t="str">
        <f>COVER!A17</f>
        <v>Freeburg CCSD 70</v>
      </c>
      <c r="B7" s="2414"/>
      <c r="C7" s="2414"/>
      <c r="D7" s="2451"/>
      <c r="E7" s="2452">
        <f>COVER!A13</f>
        <v>50082070004</v>
      </c>
      <c r="F7" s="2453"/>
      <c r="G7" s="2420" t="str">
        <f>COVER!T23</f>
        <v>065-023476</v>
      </c>
      <c r="H7" s="2421"/>
      <c r="I7" s="2421"/>
      <c r="J7" s="2421"/>
      <c r="K7" s="2421"/>
      <c r="L7" s="242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3"/>
      <c r="B9" s="2424"/>
      <c r="C9" s="2424"/>
      <c r="D9" s="2424"/>
      <c r="E9" s="2424"/>
      <c r="F9" s="2425"/>
      <c r="G9" s="2426" t="str">
        <f>COVER!T13</f>
        <v>SCHEFFEL BOYLE</v>
      </c>
      <c r="H9" s="2427"/>
      <c r="I9" s="2427"/>
      <c r="J9" s="2427"/>
      <c r="K9" s="2427"/>
      <c r="L9" s="2428"/>
    </row>
    <row r="10" spans="1:29" ht="13.5" customHeight="1" x14ac:dyDescent="0.2">
      <c r="A10" s="2410" t="str">
        <f>COVER!A38</f>
        <v>TOMI DIEFENBACH</v>
      </c>
      <c r="B10" s="2411"/>
      <c r="C10" s="2411"/>
      <c r="D10" s="2411"/>
      <c r="E10" s="2411"/>
      <c r="F10" s="2412"/>
      <c r="G10" s="2426" t="str">
        <f>COVER!T17</f>
        <v>222 EAST MAIN ST.</v>
      </c>
      <c r="H10" s="2439"/>
      <c r="I10" s="2439"/>
      <c r="J10" s="2439"/>
      <c r="K10" s="2439"/>
      <c r="L10" s="2440"/>
    </row>
    <row r="11" spans="1:29" ht="13.5" customHeight="1" x14ac:dyDescent="0.2">
      <c r="A11" s="1185" t="s">
        <v>1599</v>
      </c>
      <c r="B11" s="1186"/>
      <c r="C11" s="1187"/>
      <c r="D11" s="1192"/>
      <c r="E11" s="1187"/>
      <c r="F11" s="1191"/>
      <c r="G11" s="2426" t="str">
        <f>COVER!T19</f>
        <v>BELLEVILLE</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brian.otten@scheffelboyle.com</v>
      </c>
      <c r="J13" s="2448"/>
      <c r="K13" s="2448"/>
      <c r="L13" s="2449"/>
    </row>
    <row r="14" spans="1:29" ht="13.5" customHeight="1" x14ac:dyDescent="0.2">
      <c r="A14" s="2426" t="str">
        <f>COVER!A19</f>
        <v>400 SOUTH BELLEVILLE STREET</v>
      </c>
      <c r="B14" s="2439"/>
      <c r="C14" s="2439"/>
      <c r="D14" s="2439"/>
      <c r="E14" s="2439"/>
      <c r="F14" s="2440"/>
      <c r="G14" s="1196" t="s">
        <v>1247</v>
      </c>
      <c r="H14" s="1194"/>
      <c r="I14" s="1194"/>
      <c r="J14" s="1194"/>
      <c r="K14" s="1194"/>
      <c r="L14" s="1195"/>
    </row>
    <row r="15" spans="1:29" ht="13.5" customHeight="1" x14ac:dyDescent="0.2">
      <c r="A15" s="2426" t="str">
        <f>COVER!A21</f>
        <v xml:space="preserve">FREEBURG  </v>
      </c>
      <c r="B15" s="2439"/>
      <c r="C15" s="2439"/>
      <c r="D15" s="2439"/>
      <c r="E15" s="2439"/>
      <c r="F15" s="2440"/>
      <c r="G15" s="2436" t="str">
        <f>COVER!T15</f>
        <v>BRIAN OTTEN</v>
      </c>
      <c r="H15" s="2437"/>
      <c r="I15" s="2437"/>
      <c r="J15" s="2437"/>
      <c r="K15" s="2437"/>
      <c r="L15" s="2438"/>
    </row>
    <row r="16" spans="1:29" ht="12.2" customHeight="1" x14ac:dyDescent="0.2">
      <c r="A16" s="2416">
        <f>COVER!A25</f>
        <v>62243</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6" t="s">
        <v>1246</v>
      </c>
      <c r="H17" s="1194"/>
      <c r="I17" s="1194"/>
      <c r="J17" s="1194"/>
      <c r="K17" s="1198" t="s">
        <v>1245</v>
      </c>
      <c r="L17" s="1191"/>
      <c r="M17" s="1184"/>
    </row>
    <row r="18" spans="1:13" ht="12.2" customHeight="1" x14ac:dyDescent="0.2">
      <c r="A18" s="2410"/>
      <c r="B18" s="2411"/>
      <c r="C18" s="2411"/>
      <c r="D18" s="2411"/>
      <c r="E18" s="2411"/>
      <c r="F18" s="2412"/>
      <c r="G18" s="2413" t="str">
        <f>COVER!T21</f>
        <v>618-277-8100</v>
      </c>
      <c r="H18" s="2414"/>
      <c r="I18" s="2414"/>
      <c r="J18" s="2414"/>
      <c r="K18" s="2413" t="str">
        <f>COVER!X21</f>
        <v>618-277-9307</v>
      </c>
      <c r="L18" s="241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4" t="str">
        <f>'Single Audit Cover'!A7</f>
        <v>Freeburg CCSD 70</v>
      </c>
      <c r="B1" s="2450"/>
      <c r="C1" s="2450"/>
      <c r="D1" s="2450"/>
    </row>
    <row r="2" spans="1:11" s="1215" customFormat="1" ht="12.75" x14ac:dyDescent="0.2">
      <c r="A2" s="2455">
        <f>'Single Audit Cover'!E7</f>
        <v>50082070004</v>
      </c>
      <c r="B2" s="2456"/>
      <c r="C2" s="2456"/>
      <c r="D2" s="2456"/>
    </row>
    <row r="3" spans="1:11" s="1215" customFormat="1" ht="12.75" x14ac:dyDescent="0.2">
      <c r="A3" s="2454" t="s">
        <v>1593</v>
      </c>
      <c r="B3" s="2450"/>
      <c r="C3" s="2450"/>
      <c r="D3" s="245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8" t="str">
        <f>'Single Audit Cover'!A7</f>
        <v>Freeburg CCSD 70</v>
      </c>
      <c r="B1" s="2458"/>
      <c r="C1" s="2458"/>
      <c r="D1" s="2458"/>
      <c r="E1" s="2458"/>
    </row>
    <row r="2" spans="1:5" x14ac:dyDescent="0.2">
      <c r="A2" s="2459">
        <f>'Single Audit Cover'!E7</f>
        <v>50082070004</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60" t="s">
        <v>1305</v>
      </c>
    </row>
    <row r="10" spans="1:5" x14ac:dyDescent="0.2">
      <c r="A10" s="1261" t="s">
        <v>1304</v>
      </c>
      <c r="B10" s="1262" t="s">
        <v>1303</v>
      </c>
      <c r="C10" s="1262"/>
      <c r="D10" s="1263">
        <f>SUM('Acct Summary 7-8'!C7:K7)</f>
        <v>538167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28431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-30081</v>
      </c>
    </row>
    <row r="19" spans="1:4" ht="13.5" thickBot="1" x14ac:dyDescent="0.25">
      <c r="A19" s="1265" t="s">
        <v>1297</v>
      </c>
      <c r="D19" s="1266">
        <f>SUM(D10:D17)</f>
        <v>536517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0"/>
      <c r="B24" s="2460"/>
      <c r="D24" s="1268"/>
    </row>
    <row r="25" spans="1:4" x14ac:dyDescent="0.2">
      <c r="A25" s="2457"/>
      <c r="B25" s="2457"/>
      <c r="D25" s="1268"/>
    </row>
    <row r="26" spans="1:4" x14ac:dyDescent="0.2">
      <c r="A26" s="2457"/>
      <c r="B26" s="2457"/>
      <c r="D26" s="1268"/>
    </row>
    <row r="27" spans="1:4" x14ac:dyDescent="0.2">
      <c r="A27" s="2457"/>
      <c r="B27" s="2457"/>
      <c r="D27" s="1268"/>
    </row>
    <row r="28" spans="1:4" x14ac:dyDescent="0.2">
      <c r="A28" s="2457"/>
      <c r="B28" s="2457"/>
      <c r="D28" s="1268"/>
    </row>
    <row r="29" spans="1:4" x14ac:dyDescent="0.2">
      <c r="A29" s="2457"/>
      <c r="B29" s="2457"/>
      <c r="D29" s="1268"/>
    </row>
    <row r="30" spans="1:4" x14ac:dyDescent="0.2">
      <c r="A30" s="2457"/>
      <c r="B30" s="2457"/>
      <c r="D30" s="1268"/>
    </row>
    <row r="32" spans="1:4" x14ac:dyDescent="0.2">
      <c r="A32" s="1260" t="s">
        <v>1295</v>
      </c>
      <c r="D32" s="1263">
        <f>SUM(D19:D30)</f>
        <v>536517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7"/>
      <c r="B40" s="2457"/>
      <c r="D40" s="1268"/>
    </row>
    <row r="41" spans="1:4" x14ac:dyDescent="0.2">
      <c r="A41" s="2457"/>
      <c r="B41" s="2457"/>
      <c r="D41" s="1271"/>
    </row>
    <row r="42" spans="1:4" x14ac:dyDescent="0.2">
      <c r="A42" s="2457"/>
      <c r="B42" s="2457"/>
      <c r="D42" s="1271"/>
    </row>
    <row r="43" spans="1:4" x14ac:dyDescent="0.2">
      <c r="A43" s="2457"/>
      <c r="B43" s="2457"/>
      <c r="D43" s="1271"/>
    </row>
    <row r="44" spans="1:4" x14ac:dyDescent="0.2">
      <c r="A44" s="2457"/>
      <c r="B44" s="2457"/>
      <c r="D44" s="1271"/>
    </row>
    <row r="45" spans="1:4" x14ac:dyDescent="0.2">
      <c r="A45" s="2457"/>
      <c r="B45" s="2457"/>
      <c r="D45" s="1271"/>
    </row>
    <row r="47" spans="1:4" x14ac:dyDescent="0.2">
      <c r="B47" s="1272" t="s">
        <v>1289</v>
      </c>
      <c r="C47" s="1272"/>
      <c r="D47" s="1273">
        <f>SUM(D35:D45)</f>
        <v>0</v>
      </c>
    </row>
    <row r="49" spans="2:4" x14ac:dyDescent="0.2">
      <c r="B49" s="1272" t="s">
        <v>1288</v>
      </c>
      <c r="C49" s="1272"/>
      <c r="D49" s="1273">
        <f>D32-D47</f>
        <v>536517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Freeburg CCSD 70</v>
      </c>
      <c r="B1" s="2463"/>
      <c r="C1" s="2463"/>
      <c r="D1" s="2463"/>
      <c r="E1" s="2463"/>
      <c r="F1" s="2463"/>
    </row>
    <row r="2" spans="1:7" ht="13.5" customHeight="1" x14ac:dyDescent="0.2">
      <c r="A2" s="2464">
        <f>'Single Audit Cover'!E7</f>
        <v>50082070004</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1832</v>
      </c>
      <c r="B7" s="2462"/>
      <c r="C7" s="2462"/>
      <c r="D7" s="2462"/>
      <c r="E7" s="2462"/>
      <c r="F7" s="246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2" t="s">
        <v>1834</v>
      </c>
      <c r="B13" s="2462"/>
      <c r="C13" s="2462"/>
      <c r="D13" s="2462"/>
      <c r="E13" s="2462"/>
      <c r="F13" s="2462"/>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c r="C17" s="1285"/>
      <c r="D17" s="2467"/>
      <c r="E17" s="2467"/>
      <c r="F17" s="2467"/>
    </row>
    <row r="18" spans="1:6" ht="20.65" customHeight="1" x14ac:dyDescent="0.2">
      <c r="A18" s="1283"/>
      <c r="B18" s="1284"/>
      <c r="C18" s="1285"/>
      <c r="D18" s="2467"/>
      <c r="E18" s="2467"/>
      <c r="F18" s="2467"/>
    </row>
    <row r="19" spans="1:6" ht="20.65" customHeight="1" x14ac:dyDescent="0.2">
      <c r="A19" s="1283"/>
      <c r="B19" s="1284"/>
      <c r="C19" s="1285"/>
      <c r="D19" s="2467"/>
      <c r="E19" s="2467"/>
      <c r="F19" s="2467"/>
    </row>
    <row r="20" spans="1:6" ht="20.65" customHeight="1" x14ac:dyDescent="0.2">
      <c r="A20" s="1283"/>
      <c r="B20" s="1284"/>
      <c r="C20" s="1285"/>
      <c r="D20" s="2467"/>
      <c r="E20" s="2467"/>
      <c r="F20" s="2467"/>
    </row>
    <row r="21" spans="1:6" ht="20.65" customHeight="1" x14ac:dyDescent="0.2">
      <c r="A21" s="1283"/>
      <c r="B21" s="1284"/>
      <c r="C21" s="1285"/>
      <c r="D21" s="2467"/>
      <c r="E21" s="2467"/>
      <c r="F21" s="2467"/>
    </row>
    <row r="22" spans="1:6" ht="20.65" customHeight="1" x14ac:dyDescent="0.2">
      <c r="A22" s="1283"/>
      <c r="B22" s="1284"/>
      <c r="C22" s="1285"/>
      <c r="D22" s="2467"/>
      <c r="E22" s="2467"/>
      <c r="F22" s="2467"/>
    </row>
    <row r="23" spans="1:6" ht="20.65" customHeight="1" x14ac:dyDescent="0.2">
      <c r="A23" s="1283"/>
      <c r="B23" s="1284"/>
      <c r="C23" s="1285"/>
      <c r="D23" s="2467"/>
      <c r="E23" s="2467"/>
      <c r="F23" s="2467"/>
    </row>
    <row r="24" spans="1:6" ht="20.65" customHeight="1" x14ac:dyDescent="0.2">
      <c r="A24" s="1283"/>
      <c r="B24" s="1284"/>
      <c r="C24" s="1285"/>
      <c r="D24" s="2467"/>
      <c r="E24" s="2467"/>
      <c r="F24" s="2467"/>
    </row>
    <row r="25" spans="1:6" ht="20.65" customHeight="1" x14ac:dyDescent="0.2">
      <c r="A25" s="1283"/>
      <c r="B25" s="1284"/>
      <c r="C25" s="1285"/>
      <c r="D25" s="2467"/>
      <c r="E25" s="2467"/>
      <c r="F25" s="2467"/>
    </row>
    <row r="26" spans="1:6" ht="20.65" customHeight="1" x14ac:dyDescent="0.2">
      <c r="A26" s="1283"/>
      <c r="B26" s="1284"/>
      <c r="C26" s="1285"/>
      <c r="D26" s="2467"/>
      <c r="E26" s="2467"/>
      <c r="F26" s="2467"/>
    </row>
    <row r="27" spans="1:6" ht="20.65" customHeight="1" x14ac:dyDescent="0.2">
      <c r="A27" s="1283"/>
      <c r="B27" s="1284"/>
      <c r="C27" s="1285"/>
      <c r="D27" s="2467"/>
      <c r="E27" s="2467"/>
      <c r="F27" s="2467"/>
    </row>
    <row r="28" spans="1:6" ht="20.65" customHeight="1" x14ac:dyDescent="0.2">
      <c r="A28" s="1283"/>
      <c r="B28" s="1284"/>
      <c r="C28" s="1285"/>
      <c r="D28" s="2467"/>
      <c r="E28" s="2467"/>
      <c r="F28" s="2467"/>
    </row>
    <row r="29" spans="1:6" ht="20.65" customHeight="1" x14ac:dyDescent="0.2">
      <c r="A29" s="1283"/>
      <c r="B29" s="1284"/>
      <c r="C29" s="1285"/>
      <c r="D29" s="2467"/>
      <c r="E29" s="2467"/>
      <c r="F29" s="246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1" t="s">
        <v>1835</v>
      </c>
      <c r="B32" s="2471"/>
      <c r="C32" s="2471"/>
      <c r="D32" s="2471"/>
      <c r="E32" s="2471"/>
      <c r="F32" s="247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2">
        <f>+C33+C34</f>
        <v>0</v>
      </c>
      <c r="F34" s="247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4" t="s">
        <v>1672</v>
      </c>
      <c r="C49" s="2474"/>
      <c r="D49" s="2474"/>
      <c r="E49" s="1399"/>
    </row>
    <row r="50" spans="1:5" s="1300" customFormat="1" ht="3.75" customHeight="1" x14ac:dyDescent="0.2">
      <c r="A50" s="1299"/>
      <c r="B50" s="1870"/>
      <c r="C50" s="1870"/>
      <c r="D50" s="1870"/>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Freeburg CCSD 70</v>
      </c>
      <c r="C1" s="2475"/>
      <c r="D1" s="2475"/>
      <c r="E1" s="2475"/>
      <c r="F1" s="2475"/>
      <c r="G1" s="2475"/>
      <c r="H1" s="2475"/>
      <c r="I1" s="2475"/>
      <c r="J1" s="2475"/>
      <c r="K1" s="2475"/>
      <c r="L1" s="2475"/>
      <c r="M1" s="2475"/>
    </row>
    <row r="2" spans="2:14" ht="15" x14ac:dyDescent="0.2">
      <c r="B2" s="2464">
        <f>'Single Audit Cover'!E7</f>
        <v>50082070004</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2078</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Freeburg CCSD 70</v>
      </c>
      <c r="C1" s="2483"/>
      <c r="D1" s="2483"/>
      <c r="E1" s="2483"/>
      <c r="F1" s="2483"/>
      <c r="G1" s="2483"/>
      <c r="H1" s="2483"/>
      <c r="I1" s="2483"/>
      <c r="J1" s="1422"/>
    </row>
    <row r="2" spans="2:10" s="317" customFormat="1" ht="12.75" customHeight="1" x14ac:dyDescent="0.2">
      <c r="B2" s="2484">
        <f>'Single Audit Cover'!E7</f>
        <v>50082070004</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c r="E29" s="2489"/>
      <c r="F29" s="2489"/>
      <c r="G29" s="2489"/>
      <c r="H29" s="2489"/>
      <c r="I29" s="248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0" t="s">
        <v>1854</v>
      </c>
      <c r="D37" s="2491"/>
      <c r="E37" s="2491"/>
      <c r="F37" s="2492"/>
      <c r="G37" s="2490" t="s">
        <v>1674</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96" t="s">
        <v>1675</v>
      </c>
      <c r="D43" s="2497"/>
      <c r="E43" s="2497"/>
      <c r="F43" s="2498"/>
      <c r="G43" s="2499">
        <f>SUM(G38:I42)</f>
        <v>0</v>
      </c>
      <c r="H43" s="2499"/>
      <c r="I43" s="2499"/>
    </row>
    <row r="44" spans="2:9" ht="12.75" customHeight="1" x14ac:dyDescent="0.2"/>
    <row r="45" spans="2:9" ht="12.75" customHeight="1" x14ac:dyDescent="0.2">
      <c r="B45" s="1435" t="s">
        <v>1952</v>
      </c>
      <c r="D45" s="2500">
        <v>0</v>
      </c>
      <c r="E45" s="250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2"/>
      <c r="F49" s="2502"/>
      <c r="G49" s="250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Freeburg CCSD 70</v>
      </c>
      <c r="C1" s="2482"/>
      <c r="D1" s="2482"/>
      <c r="E1" s="2482"/>
      <c r="F1" s="2482"/>
      <c r="G1" s="2482"/>
      <c r="H1" s="2482"/>
      <c r="I1" s="2482"/>
      <c r="J1" s="2482"/>
      <c r="K1" s="2482"/>
      <c r="L1" s="1374"/>
      <c r="M1" s="1374"/>
    </row>
    <row r="2" spans="1:13" ht="12" customHeight="1" x14ac:dyDescent="0.2">
      <c r="B2" s="2484">
        <f>'Single Audit Cover'!E7</f>
        <v>50082070004</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377"/>
      <c r="M3" s="1377"/>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4"/>
      <c r="C14" s="2504"/>
      <c r="D14" s="2504"/>
      <c r="E14" s="2504"/>
      <c r="F14" s="2504"/>
      <c r="G14" s="2504"/>
      <c r="H14" s="2504"/>
      <c r="I14" s="2504"/>
      <c r="J14" s="2504"/>
      <c r="K14" s="250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4"/>
      <c r="C17" s="2504"/>
      <c r="D17" s="2504"/>
      <c r="E17" s="2504"/>
      <c r="F17" s="2504"/>
      <c r="G17" s="2504"/>
      <c r="H17" s="2504"/>
      <c r="I17" s="2504"/>
      <c r="J17" s="2504"/>
      <c r="K17" s="250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8"/>
      <c r="C20" s="2508"/>
      <c r="D20" s="2504"/>
      <c r="E20" s="2504"/>
      <c r="F20" s="2504"/>
      <c r="G20" s="2504"/>
      <c r="H20" s="2504"/>
      <c r="I20" s="2504"/>
      <c r="J20" s="2504"/>
      <c r="K20" s="250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4"/>
      <c r="C23" s="2504"/>
      <c r="D23" s="2504"/>
      <c r="E23" s="2504"/>
      <c r="F23" s="2504"/>
      <c r="G23" s="2504"/>
      <c r="H23" s="2504"/>
      <c r="I23" s="2504"/>
      <c r="J23" s="2504"/>
      <c r="K23" s="250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4"/>
      <c r="C26" s="2504"/>
      <c r="D26" s="2504"/>
      <c r="E26" s="2504"/>
      <c r="F26" s="2504"/>
      <c r="G26" s="2504"/>
      <c r="H26" s="2504"/>
      <c r="I26" s="2504"/>
      <c r="J26" s="2504"/>
      <c r="K26" s="250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3"/>
      <c r="C29" s="2503"/>
      <c r="D29" s="2504"/>
      <c r="E29" s="2504"/>
      <c r="F29" s="2504"/>
      <c r="G29" s="2504"/>
      <c r="H29" s="2504"/>
      <c r="I29" s="2504"/>
      <c r="J29" s="2504"/>
      <c r="K29" s="250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3"/>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Freeburg CCSD 70</v>
      </c>
      <c r="C1" s="2509"/>
      <c r="D1" s="2509"/>
      <c r="E1" s="2509"/>
      <c r="F1" s="2509"/>
      <c r="G1" s="2509"/>
      <c r="H1" s="2509"/>
      <c r="I1" s="2509"/>
      <c r="J1" s="2509"/>
      <c r="K1" s="2509"/>
      <c r="L1" s="1465"/>
    </row>
    <row r="2" spans="1:12" ht="12.75" customHeight="1" x14ac:dyDescent="0.2">
      <c r="B2" s="2510">
        <f>'Single Audit Cover'!E7</f>
        <v>50082070004</v>
      </c>
      <c r="C2" s="2510"/>
      <c r="D2" s="2510"/>
      <c r="E2" s="2510"/>
      <c r="F2" s="2510"/>
      <c r="G2" s="2510"/>
      <c r="H2" s="2510"/>
      <c r="I2" s="2510"/>
      <c r="J2" s="2510"/>
      <c r="K2" s="2510"/>
      <c r="L2" s="1466"/>
    </row>
    <row r="3" spans="1:12" ht="12.75" customHeight="1" x14ac:dyDescent="0.2">
      <c r="B3" s="2505" t="s">
        <v>1347</v>
      </c>
      <c r="C3" s="2505"/>
      <c r="D3" s="2505"/>
      <c r="E3" s="2505"/>
      <c r="F3" s="2505"/>
      <c r="G3" s="2505"/>
      <c r="H3" s="2505"/>
      <c r="I3" s="2505"/>
      <c r="J3" s="2505"/>
      <c r="K3" s="2505"/>
      <c r="L3" s="1377"/>
    </row>
    <row r="4" spans="1:12" ht="12.75" customHeight="1" x14ac:dyDescent="0.2">
      <c r="B4" s="2505" t="str">
        <f>'Single Audit Cover'!A4</f>
        <v>Year Ending June 30, 2018</v>
      </c>
      <c r="C4" s="2505"/>
      <c r="D4" s="2505"/>
      <c r="E4" s="2505"/>
      <c r="F4" s="2505"/>
      <c r="G4" s="2505"/>
      <c r="H4" s="2505"/>
      <c r="I4" s="2505"/>
      <c r="J4" s="2505"/>
      <c r="K4" s="2505"/>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2"/>
      <c r="E14" s="2512"/>
      <c r="F14" s="2512"/>
      <c r="H14" s="1475" t="s">
        <v>1370</v>
      </c>
      <c r="I14" s="2513"/>
      <c r="J14" s="2513"/>
      <c r="K14" s="251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3"/>
      <c r="E16" s="2513"/>
      <c r="F16" s="2513"/>
      <c r="G16" s="2513"/>
      <c r="H16" s="2513"/>
      <c r="I16" s="2513"/>
      <c r="J16" s="2513"/>
      <c r="K16" s="2513"/>
      <c r="L16" s="322"/>
    </row>
    <row r="17" spans="2:12" ht="13.5" customHeight="1" x14ac:dyDescent="0.2">
      <c r="B17" s="1387" t="s">
        <v>1368</v>
      </c>
      <c r="C17" s="1387"/>
      <c r="D17" s="2514"/>
      <c r="E17" s="2514"/>
      <c r="F17" s="2514"/>
      <c r="G17" s="2514"/>
      <c r="H17" s="2514"/>
      <c r="I17" s="2514"/>
      <c r="J17" s="2514"/>
      <c r="K17" s="251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4"/>
      <c r="C20" s="2504"/>
      <c r="D20" s="2504"/>
      <c r="E20" s="2504"/>
      <c r="F20" s="2504"/>
      <c r="G20" s="2504"/>
      <c r="H20" s="2504"/>
      <c r="I20" s="2504"/>
      <c r="J20" s="2504"/>
      <c r="K20" s="250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Freeburg CCSD 70</v>
      </c>
      <c r="C1" s="2482"/>
      <c r="D1" s="2482"/>
      <c r="E1" s="1491"/>
    </row>
    <row r="2" spans="2:5" s="1282" customFormat="1" ht="12.75" customHeight="1" x14ac:dyDescent="0.2">
      <c r="B2" s="2484">
        <f>'Single Audit Cover'!E7</f>
        <v>50082070004</v>
      </c>
      <c r="C2" s="2484"/>
      <c r="D2" s="2484"/>
      <c r="E2" s="1492"/>
    </row>
    <row r="3" spans="2:5" ht="12.75" customHeight="1" x14ac:dyDescent="0.2">
      <c r="B3" s="2505" t="s">
        <v>1869</v>
      </c>
      <c r="C3" s="2505"/>
      <c r="D3" s="2505"/>
      <c r="E3" s="1274"/>
    </row>
    <row r="4" spans="2:5" s="1282" customFormat="1" ht="12.75" customHeight="1" x14ac:dyDescent="0.2">
      <c r="B4" s="2515" t="str">
        <f>'Single Audit Cover'!A4</f>
        <v>Year Ending June 30, 2018</v>
      </c>
      <c r="C4" s="2515"/>
      <c r="D4" s="251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158970806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1.12E-2</v>
      </c>
      <c r="E10" s="356" t="s">
        <v>1062</v>
      </c>
      <c r="F10" s="355">
        <v>4.0000000000000001E-3</v>
      </c>
      <c r="G10" s="356" t="s">
        <v>1062</v>
      </c>
      <c r="H10" s="355">
        <v>1.1999999999999999E-3</v>
      </c>
      <c r="I10" s="356" t="s">
        <v>1063</v>
      </c>
      <c r="J10" s="1754">
        <f>ROUND(D10+F10+H10,5)</f>
        <v>1.6400000000000001E-2</v>
      </c>
      <c r="K10" s="222"/>
      <c r="L10" s="355">
        <v>5.0000000000000001E-4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5469344</v>
      </c>
      <c r="E16" s="356"/>
      <c r="F16" s="1755">
        <f>SUM('Acct Summary 7-8'!C17,'Acct Summary 7-8'!D17,'Acct Summary 7-8'!F17)</f>
        <v>6027714</v>
      </c>
      <c r="G16" s="356"/>
      <c r="H16" s="1755">
        <f>SUM(D16-F16)</f>
        <v>-558370</v>
      </c>
      <c r="I16" s="222"/>
      <c r="J16" s="1755">
        <f>SUM('Acct Summary 7-8'!C81,'Acct Summary 7-8'!D81,'Acct Summary 7-8'!F81,'Acct Summary 7-8'!I81)</f>
        <v>2800687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10968985.614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1589271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21" sqref="F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Freeburg CCSD 70</v>
      </c>
      <c r="E7" s="391"/>
      <c r="G7" s="252"/>
      <c r="H7" s="387"/>
      <c r="I7" s="387"/>
      <c r="J7" s="387"/>
      <c r="K7" s="387"/>
      <c r="L7" s="329"/>
      <c r="M7" s="329"/>
      <c r="N7" s="329"/>
      <c r="O7" s="329"/>
      <c r="P7" s="329"/>
    </row>
    <row r="8" spans="1:18" ht="12.75" x14ac:dyDescent="0.2">
      <c r="A8" s="329"/>
      <c r="B8" s="329"/>
      <c r="C8" s="389" t="s">
        <v>1187</v>
      </c>
      <c r="D8" s="392">
        <f>COVER!A13</f>
        <v>50082070004</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2800687</v>
      </c>
      <c r="I12" s="404"/>
      <c r="J12" s="404"/>
      <c r="K12" s="405">
        <f>TRUNC((H12/H13*100000),5)/100000</f>
        <v>0.51207000319999996</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5469344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6027714</v>
      </c>
      <c r="I17" s="404"/>
      <c r="J17" s="416"/>
      <c r="K17" s="405">
        <f>TRUNC((H17/H18*100000),5)/100000</f>
        <v>1.1020908540000001</v>
      </c>
      <c r="L17" s="406"/>
      <c r="M17" s="417" t="s">
        <v>1233</v>
      </c>
      <c r="O17" s="418" t="str">
        <f>IF(AND(O16="2", J20 &gt; 2),"1",IF(AND(O16 = "1", J20 &gt; 2),"2",IF(AND(O16="1", J20 &gt;1),"1","0")))</f>
        <v>1</v>
      </c>
      <c r="P17" s="218"/>
    </row>
    <row r="18" spans="1:18" s="408" customFormat="1" ht="11.25" x14ac:dyDescent="0.2">
      <c r="A18" s="218"/>
      <c r="B18" s="401"/>
      <c r="C18" s="2130" t="s">
        <v>1384</v>
      </c>
      <c r="D18" s="2131"/>
      <c r="E18" s="218"/>
      <c r="F18" s="419" t="s">
        <v>827</v>
      </c>
      <c r="G18" s="402"/>
      <c r="H18" s="403">
        <f>SUM('Acct Summary 7-8'!C8+'Acct Summary 7-8'!D8+'Acct Summary 7-8'!F8+'Acct Summary 7-8'!I8)+H19</f>
        <v>5469344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4.0363066999999999</v>
      </c>
      <c r="K20" s="405">
        <f>IF(K17&lt;=1,"0",IF(AND(O16="2", J20 &gt; 2),TRUNC(((K12-0.1)/(K17-1)*100),5)/100,IF(AND(O16 = "1", J20 &gt; 2),TRUNC(((K12-0.1)/(K17-1)*100),5)/100,IF(AND(O16="1", J20 &gt;1),TRUNC(((K12-0.1)/(K17-1)*100),5)/100,""))))</f>
        <v>4.0363066999999999</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2800687</v>
      </c>
      <c r="I24" s="422"/>
      <c r="J24" s="422"/>
      <c r="K24" s="423">
        <f>TRUNC(((H24/H25*100000)/100000),2)</f>
        <v>167.26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16743.650000000001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2216053.0356399999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1589271</v>
      </c>
      <c r="I32" s="420"/>
      <c r="J32" s="420"/>
      <c r="K32" s="423">
        <f>TRUNC(100-((((H32/H33*100))*100)/100),2)</f>
        <v>85.51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10968985.614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8" colorId="8" zoomScale="110" zoomScaleNormal="110" workbookViewId="0">
      <selection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1"/>
      <c r="D3" s="1582"/>
      <c r="E3" s="1582"/>
      <c r="F3" s="1582"/>
      <c r="G3" s="1582"/>
      <c r="H3" s="1582"/>
      <c r="I3" s="1582"/>
      <c r="J3" s="1582"/>
      <c r="K3" s="1582"/>
      <c r="L3" s="1582"/>
      <c r="M3" s="1583"/>
      <c r="N3" s="1584"/>
    </row>
    <row r="4" spans="1:14" ht="13.5" customHeight="1" x14ac:dyDescent="0.2">
      <c r="A4" s="463" t="s">
        <v>1750</v>
      </c>
      <c r="B4" s="464"/>
      <c r="C4" s="465">
        <v>342649</v>
      </c>
      <c r="D4" s="466">
        <v>598955</v>
      </c>
      <c r="E4" s="466">
        <v>138704</v>
      </c>
      <c r="F4" s="466">
        <v>571061</v>
      </c>
      <c r="G4" s="466">
        <v>273863</v>
      </c>
      <c r="H4" s="466"/>
      <c r="I4" s="466">
        <v>54289</v>
      </c>
      <c r="J4" s="467">
        <v>11893</v>
      </c>
      <c r="K4" s="466">
        <v>198334</v>
      </c>
      <c r="L4" s="466">
        <v>73588</v>
      </c>
      <c r="M4" s="468"/>
      <c r="N4" s="469"/>
    </row>
    <row r="5" spans="1:14" x14ac:dyDescent="0.2">
      <c r="A5" s="463" t="s">
        <v>1049</v>
      </c>
      <c r="B5" s="470">
        <v>120</v>
      </c>
      <c r="C5" s="465"/>
      <c r="D5" s="466"/>
      <c r="E5" s="466"/>
      <c r="F5" s="466"/>
      <c r="G5" s="466"/>
      <c r="H5" s="466"/>
      <c r="I5" s="466">
        <v>1233733</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342649</v>
      </c>
      <c r="D13" s="1759">
        <f t="shared" ref="D13:L13" si="0">SUM(D4:D12)</f>
        <v>598955</v>
      </c>
      <c r="E13" s="1759">
        <f t="shared" si="0"/>
        <v>138704</v>
      </c>
      <c r="F13" s="1759">
        <f t="shared" si="0"/>
        <v>571061</v>
      </c>
      <c r="G13" s="1759">
        <f t="shared" si="0"/>
        <v>273863</v>
      </c>
      <c r="H13" s="1759">
        <f t="shared" si="0"/>
        <v>0</v>
      </c>
      <c r="I13" s="1759">
        <f t="shared" si="0"/>
        <v>1288022</v>
      </c>
      <c r="J13" s="1759">
        <f t="shared" si="0"/>
        <v>11893</v>
      </c>
      <c r="K13" s="1759">
        <f t="shared" si="0"/>
        <v>198334</v>
      </c>
      <c r="L13" s="1759">
        <f t="shared" si="0"/>
        <v>73588</v>
      </c>
      <c r="M13" s="468"/>
      <c r="N13" s="469"/>
    </row>
    <row r="14" spans="1:14" ht="18" customHeight="1" thickTop="1" x14ac:dyDescent="0.2">
      <c r="A14" s="2139" t="s">
        <v>149</v>
      </c>
      <c r="B14" s="214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855983</v>
      </c>
      <c r="N16" s="484"/>
    </row>
    <row r="17" spans="1:14" s="485" customFormat="1" ht="12.75" customHeight="1" x14ac:dyDescent="0.2">
      <c r="A17" s="482" t="s">
        <v>1470</v>
      </c>
      <c r="B17" s="483">
        <v>230</v>
      </c>
      <c r="C17" s="477"/>
      <c r="D17" s="477"/>
      <c r="E17" s="477"/>
      <c r="F17" s="477"/>
      <c r="G17" s="477"/>
      <c r="H17" s="477"/>
      <c r="I17" s="477"/>
      <c r="J17" s="477"/>
      <c r="K17" s="477"/>
      <c r="L17" s="477"/>
      <c r="M17" s="467">
        <v>10780483</v>
      </c>
      <c r="N17" s="484"/>
    </row>
    <row r="18" spans="1:14" s="485" customFormat="1" ht="12.75" customHeight="1" x14ac:dyDescent="0.2">
      <c r="A18" s="482" t="s">
        <v>1471</v>
      </c>
      <c r="B18" s="483">
        <v>240</v>
      </c>
      <c r="C18" s="477"/>
      <c r="D18" s="477"/>
      <c r="E18" s="477"/>
      <c r="F18" s="477"/>
      <c r="G18" s="477"/>
      <c r="H18" s="477"/>
      <c r="I18" s="477"/>
      <c r="J18" s="477"/>
      <c r="K18" s="477"/>
      <c r="L18" s="477"/>
      <c r="M18" s="467">
        <v>424900</v>
      </c>
      <c r="N18" s="484"/>
    </row>
    <row r="19" spans="1:14" s="485" customFormat="1" ht="12.75" customHeight="1" x14ac:dyDescent="0.2">
      <c r="A19" s="482" t="s">
        <v>1472</v>
      </c>
      <c r="B19" s="483">
        <v>250</v>
      </c>
      <c r="C19" s="477"/>
      <c r="D19" s="477"/>
      <c r="E19" s="477"/>
      <c r="F19" s="477"/>
      <c r="G19" s="477"/>
      <c r="H19" s="477"/>
      <c r="I19" s="477"/>
      <c r="J19" s="477"/>
      <c r="K19" s="477"/>
      <c r="L19" s="477"/>
      <c r="M19" s="467">
        <v>2628640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138704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1450567</v>
      </c>
    </row>
    <row r="23" spans="1:14" ht="13.5" customHeight="1" thickBot="1" x14ac:dyDescent="0.25">
      <c r="A23" s="1758" t="s">
        <v>664</v>
      </c>
      <c r="B23" s="1763"/>
      <c r="C23" s="468"/>
      <c r="D23" s="468"/>
      <c r="E23" s="468"/>
      <c r="F23" s="468"/>
      <c r="G23" s="468"/>
      <c r="H23" s="468"/>
      <c r="I23" s="468"/>
      <c r="J23" s="468"/>
      <c r="K23" s="468"/>
      <c r="L23" s="468"/>
      <c r="M23" s="1710">
        <f>SUM(M15:M22)</f>
        <v>14690006</v>
      </c>
      <c r="N23" s="1710">
        <f>SUM(N21:N22)</f>
        <v>1589271</v>
      </c>
    </row>
    <row r="24" spans="1:14" ht="18" customHeight="1" thickTop="1" x14ac:dyDescent="0.2">
      <c r="A24" s="2141" t="s">
        <v>619</v>
      </c>
      <c r="B24" s="214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73588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73588</v>
      </c>
      <c r="M34" s="468"/>
      <c r="N34" s="480"/>
    </row>
    <row r="35" spans="1:14" ht="18" customHeight="1" thickTop="1" x14ac:dyDescent="0.2">
      <c r="A35" s="2143" t="s">
        <v>550</v>
      </c>
      <c r="B35" s="214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1589271</v>
      </c>
    </row>
    <row r="37" spans="1:14" ht="13.5" thickBot="1" x14ac:dyDescent="0.25">
      <c r="A37" s="1758" t="s">
        <v>674</v>
      </c>
      <c r="B37" s="1763"/>
      <c r="C37" s="477"/>
      <c r="D37" s="477"/>
      <c r="E37" s="477"/>
      <c r="F37" s="477"/>
      <c r="G37" s="477"/>
      <c r="H37" s="477"/>
      <c r="I37" s="477"/>
      <c r="J37" s="477"/>
      <c r="K37" s="477"/>
      <c r="L37" s="480"/>
      <c r="M37" s="468"/>
      <c r="N37" s="1710">
        <f>SUM(N36:N36)</f>
        <v>1589271</v>
      </c>
    </row>
    <row r="38" spans="1:14" s="329" customFormat="1" ht="13.5" customHeight="1" thickTop="1" x14ac:dyDescent="0.2">
      <c r="A38" s="496" t="s">
        <v>440</v>
      </c>
      <c r="B38" s="483">
        <v>714</v>
      </c>
      <c r="C38" s="466"/>
      <c r="D38" s="466">
        <v>0</v>
      </c>
      <c r="E38" s="466"/>
      <c r="F38" s="466"/>
      <c r="G38" s="466">
        <v>105051</v>
      </c>
      <c r="H38" s="466"/>
      <c r="I38" s="466"/>
      <c r="J38" s="467">
        <v>0</v>
      </c>
      <c r="K38" s="466">
        <v>0</v>
      </c>
      <c r="L38" s="481"/>
      <c r="M38" s="497"/>
      <c r="N38" s="497"/>
    </row>
    <row r="39" spans="1:14" s="329" customFormat="1" ht="13.5" customHeight="1" x14ac:dyDescent="0.2">
      <c r="A39" s="496" t="s">
        <v>360</v>
      </c>
      <c r="B39" s="483">
        <v>730</v>
      </c>
      <c r="C39" s="466">
        <v>342649</v>
      </c>
      <c r="D39" s="466">
        <v>598955</v>
      </c>
      <c r="E39" s="466">
        <v>138704</v>
      </c>
      <c r="F39" s="466">
        <v>571061</v>
      </c>
      <c r="G39" s="466">
        <v>168812</v>
      </c>
      <c r="H39" s="466"/>
      <c r="I39" s="466">
        <v>1288022</v>
      </c>
      <c r="J39" s="467">
        <v>11893</v>
      </c>
      <c r="K39" s="466">
        <v>198334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14690006</v>
      </c>
      <c r="N40" s="497"/>
    </row>
    <row r="41" spans="1:14" ht="13.5" customHeight="1" thickBot="1" x14ac:dyDescent="0.25">
      <c r="A41" s="1758" t="s">
        <v>676</v>
      </c>
      <c r="B41" s="1728"/>
      <c r="C41" s="1710">
        <f>(SUM(C34,C37,C38,C39))</f>
        <v>342649</v>
      </c>
      <c r="D41" s="1710">
        <f t="shared" ref="D41:L41" si="2">SUM(D34,D37,D38:D39)</f>
        <v>598955</v>
      </c>
      <c r="E41" s="1710">
        <f t="shared" si="2"/>
        <v>138704</v>
      </c>
      <c r="F41" s="1710">
        <f t="shared" si="2"/>
        <v>571061</v>
      </c>
      <c r="G41" s="1710">
        <f t="shared" si="2"/>
        <v>273863</v>
      </c>
      <c r="H41" s="1710">
        <f t="shared" si="2"/>
        <v>0</v>
      </c>
      <c r="I41" s="1710">
        <f t="shared" si="2"/>
        <v>1288022</v>
      </c>
      <c r="J41" s="1710">
        <f t="shared" si="2"/>
        <v>11893</v>
      </c>
      <c r="K41" s="1710">
        <f t="shared" si="2"/>
        <v>198334</v>
      </c>
      <c r="L41" s="1710">
        <f t="shared" si="2"/>
        <v>73588</v>
      </c>
      <c r="M41" s="1710">
        <f>SUM(M40)</f>
        <v>14690006</v>
      </c>
      <c r="N41" s="1710">
        <f>SUM(N37)</f>
        <v>1589271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7" sqref="A7:D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5"/>
      <c r="D3" s="1596"/>
      <c r="E3" s="1596"/>
      <c r="F3" s="1596"/>
      <c r="G3" s="1596"/>
      <c r="H3" s="1596"/>
      <c r="I3" s="1596"/>
      <c r="J3" s="1596"/>
      <c r="K3" s="1597"/>
      <c r="L3" s="506"/>
    </row>
    <row r="4" spans="1:13" ht="15.75" customHeight="1" x14ac:dyDescent="0.2">
      <c r="A4" s="1954" t="s">
        <v>1579</v>
      </c>
      <c r="B4" s="1955">
        <v>1000</v>
      </c>
      <c r="C4" s="1764">
        <f>'Revenues 9-14'!C109</f>
        <v>2153668</v>
      </c>
      <c r="D4" s="1764">
        <f>'Revenues 9-14'!D109</f>
        <v>793566</v>
      </c>
      <c r="E4" s="1764">
        <f>'Revenues 9-14'!E109</f>
        <v>358587</v>
      </c>
      <c r="F4" s="1764">
        <f>'Revenues 9-14'!F109</f>
        <v>212968</v>
      </c>
      <c r="G4" s="1764">
        <f>'Revenues 9-14'!G109</f>
        <v>259299</v>
      </c>
      <c r="H4" s="1764">
        <f>'Revenues 9-14'!H109</f>
        <v>0</v>
      </c>
      <c r="I4" s="1764">
        <f>'Revenues 9-14'!I109</f>
        <v>96548</v>
      </c>
      <c r="J4" s="1764">
        <f>'Revenues 9-14'!J109</f>
        <v>1075619</v>
      </c>
      <c r="K4" s="1764">
        <f>'Revenues 9-14'!K109</f>
        <v>4359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1433196</v>
      </c>
      <c r="D6" s="1765">
        <f>'Revenues 9-14'!D173</f>
        <v>0</v>
      </c>
      <c r="E6" s="1765">
        <f>'Revenues 9-14'!E173</f>
        <v>0</v>
      </c>
      <c r="F6" s="1765">
        <f>'Revenues 9-14'!F173</f>
        <v>241231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538167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4125031</v>
      </c>
      <c r="D8" s="1710">
        <f t="shared" ref="D8:K8" si="0">SUM(D4:D7)</f>
        <v>793566</v>
      </c>
      <c r="E8" s="1710">
        <f t="shared" si="0"/>
        <v>358587</v>
      </c>
      <c r="F8" s="1710">
        <f t="shared" si="0"/>
        <v>454199</v>
      </c>
      <c r="G8" s="1710">
        <f t="shared" si="0"/>
        <v>259299</v>
      </c>
      <c r="H8" s="1710">
        <f t="shared" si="0"/>
        <v>0</v>
      </c>
      <c r="I8" s="1710">
        <f t="shared" si="0"/>
        <v>96548</v>
      </c>
      <c r="J8" s="1710">
        <f t="shared" si="0"/>
        <v>1075619</v>
      </c>
      <c r="K8" s="1710">
        <f t="shared" si="0"/>
        <v>4359</v>
      </c>
      <c r="L8" s="347"/>
    </row>
    <row r="9" spans="1:13" ht="15.75" thickTop="1" x14ac:dyDescent="0.2">
      <c r="A9" s="514" t="s">
        <v>1752</v>
      </c>
      <c r="B9" s="515">
        <v>3998</v>
      </c>
      <c r="C9" s="481">
        <v>2784405</v>
      </c>
      <c r="D9" s="516"/>
      <c r="E9" s="481"/>
      <c r="F9" s="481"/>
      <c r="G9" s="517"/>
      <c r="H9" s="481"/>
      <c r="I9" s="509" t="s">
        <v>1231</v>
      </c>
      <c r="J9" s="478"/>
      <c r="K9" s="481"/>
      <c r="L9" s="347"/>
    </row>
    <row r="10" spans="1:13" s="519" customFormat="1" ht="13.5" thickBot="1" x14ac:dyDescent="0.25">
      <c r="A10" s="1758" t="s">
        <v>1235</v>
      </c>
      <c r="B10" s="1731"/>
      <c r="C10" s="1710">
        <f>SUM(C8:C9)</f>
        <v>6909436</v>
      </c>
      <c r="D10" s="1710">
        <f t="shared" ref="D10:K10" si="1">SUM(D8:D9)</f>
        <v>793566</v>
      </c>
      <c r="E10" s="1710">
        <f t="shared" si="1"/>
        <v>358587</v>
      </c>
      <c r="F10" s="1710">
        <f t="shared" si="1"/>
        <v>454199</v>
      </c>
      <c r="G10" s="1710">
        <f t="shared" si="1"/>
        <v>259299</v>
      </c>
      <c r="H10" s="1710">
        <f t="shared" si="1"/>
        <v>0</v>
      </c>
      <c r="I10" s="1710">
        <f t="shared" si="1"/>
        <v>96548</v>
      </c>
      <c r="J10" s="1710">
        <f t="shared" si="1"/>
        <v>1075619</v>
      </c>
      <c r="K10" s="1710">
        <f t="shared" si="1"/>
        <v>4359</v>
      </c>
      <c r="L10" s="518"/>
    </row>
    <row r="11" spans="1:13" s="519" customFormat="1" ht="16.7" customHeight="1" thickTop="1" x14ac:dyDescent="0.2">
      <c r="A11" s="2139" t="s">
        <v>1238</v>
      </c>
      <c r="B11" s="2140"/>
      <c r="C11" s="1592"/>
      <c r="D11" s="1593"/>
      <c r="E11" s="1593"/>
      <c r="F11" s="1593"/>
      <c r="G11" s="1593"/>
      <c r="H11" s="1593"/>
      <c r="I11" s="1593"/>
      <c r="J11" s="1593"/>
      <c r="K11" s="1594"/>
      <c r="L11" s="518"/>
    </row>
    <row r="12" spans="1:13" ht="15.75" customHeight="1" x14ac:dyDescent="0.2">
      <c r="A12" s="1598" t="s">
        <v>476</v>
      </c>
      <c r="B12" s="1600">
        <v>1000</v>
      </c>
      <c r="C12" s="1764">
        <f>'Expenditures 15-22'!K33</f>
        <v>4099010</v>
      </c>
      <c r="D12" s="520" t="s">
        <v>1231</v>
      </c>
      <c r="E12" s="468" t="s">
        <v>1231</v>
      </c>
      <c r="F12" s="468" t="s">
        <v>1231</v>
      </c>
      <c r="G12" s="1764">
        <f>'Expenditures 15-22'!K229</f>
        <v>91371</v>
      </c>
      <c r="H12" s="521"/>
      <c r="I12" s="468" t="s">
        <v>1231</v>
      </c>
      <c r="J12" s="468" t="s">
        <v>1231</v>
      </c>
      <c r="K12" s="521" t="s">
        <v>1231</v>
      </c>
      <c r="L12" s="347"/>
    </row>
    <row r="13" spans="1:13" ht="15.75" customHeight="1" x14ac:dyDescent="0.2">
      <c r="A13" s="1598" t="s">
        <v>477</v>
      </c>
      <c r="B13" s="1600">
        <v>2000</v>
      </c>
      <c r="C13" s="1765">
        <f>'Expenditures 15-22'!K74</f>
        <v>639408</v>
      </c>
      <c r="D13" s="1765">
        <f>'Expenditures 15-22'!K129</f>
        <v>712701</v>
      </c>
      <c r="E13" s="469" t="s">
        <v>1231</v>
      </c>
      <c r="F13" s="1765">
        <f>'Expenditures 15-22'!K184</f>
        <v>428090</v>
      </c>
      <c r="G13" s="1765">
        <f>'Expenditures 15-22'!K279</f>
        <v>147185</v>
      </c>
      <c r="H13" s="1765">
        <f>'Expenditures 15-22'!K303</f>
        <v>0</v>
      </c>
      <c r="I13" s="468" t="s">
        <v>1231</v>
      </c>
      <c r="J13" s="1765">
        <f>'Expenditures 15-22'!K330</f>
        <v>1067989</v>
      </c>
      <c r="K13" s="1769">
        <f>'Expenditures 15-22'!K352</f>
        <v>0</v>
      </c>
      <c r="L13" s="347"/>
    </row>
    <row r="14" spans="1:13" ht="15.75" customHeight="1" x14ac:dyDescent="0.2">
      <c r="A14" s="1598" t="s">
        <v>469</v>
      </c>
      <c r="B14" s="1600">
        <v>3000</v>
      </c>
      <c r="C14" s="1765">
        <f>'Expenditures 15-22'!K75</f>
        <v>11177</v>
      </c>
      <c r="D14" s="1765">
        <f>'Expenditures 15-22'!K130</f>
        <v>0</v>
      </c>
      <c r="E14" s="520" t="s">
        <v>1231</v>
      </c>
      <c r="F14" s="1765">
        <f>'Expenditures 15-22'!K185</f>
        <v>0</v>
      </c>
      <c r="G14" s="1765">
        <f>'Expenditures 15-22'!K280</f>
        <v>1875</v>
      </c>
      <c r="H14" s="512"/>
      <c r="I14" s="468" t="s">
        <v>1231</v>
      </c>
      <c r="J14" s="468" t="s">
        <v>1231</v>
      </c>
      <c r="K14" s="512" t="s">
        <v>1231</v>
      </c>
      <c r="L14" s="347"/>
    </row>
    <row r="15" spans="1:13" ht="15.75" customHeight="1" x14ac:dyDescent="0.2">
      <c r="A15" s="1598" t="s">
        <v>109</v>
      </c>
      <c r="B15" s="1600">
        <v>4000</v>
      </c>
      <c r="C15" s="1765">
        <f>'Expenditures 15-22'!K102</f>
        <v>137328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355147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4886923</v>
      </c>
      <c r="D17" s="1710">
        <f t="shared" si="2"/>
        <v>712701</v>
      </c>
      <c r="E17" s="1710">
        <f t="shared" si="2"/>
        <v>355147</v>
      </c>
      <c r="F17" s="1710">
        <f t="shared" si="2"/>
        <v>428090</v>
      </c>
      <c r="G17" s="1710">
        <f t="shared" si="2"/>
        <v>240431</v>
      </c>
      <c r="H17" s="1710">
        <f t="shared" si="2"/>
        <v>0</v>
      </c>
      <c r="I17" s="468"/>
      <c r="J17" s="1710">
        <f>SUM(J12:J16)</f>
        <v>1067989</v>
      </c>
      <c r="K17" s="1710">
        <f>SUM(K12:K16)</f>
        <v>0</v>
      </c>
      <c r="L17" s="347"/>
    </row>
    <row r="18" spans="1:12" ht="15" customHeight="1" thickTop="1" x14ac:dyDescent="0.2">
      <c r="A18" s="1766" t="s">
        <v>1753</v>
      </c>
      <c r="B18" s="1767">
        <v>4180</v>
      </c>
      <c r="C18" s="1764">
        <f t="shared" ref="C18:H18" si="3">C9</f>
        <v>2784405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7671328</v>
      </c>
      <c r="D19" s="1710">
        <f t="shared" si="4"/>
        <v>712701</v>
      </c>
      <c r="E19" s="1710">
        <f t="shared" si="4"/>
        <v>355147</v>
      </c>
      <c r="F19" s="1710">
        <f t="shared" si="4"/>
        <v>428090</v>
      </c>
      <c r="G19" s="1710">
        <f t="shared" si="4"/>
        <v>240431</v>
      </c>
      <c r="H19" s="1710">
        <f t="shared" si="4"/>
        <v>0</v>
      </c>
      <c r="I19" s="468"/>
      <c r="J19" s="1710">
        <f>SUM(J17:J18)</f>
        <v>1067989</v>
      </c>
      <c r="K19" s="1710">
        <f>SUM(K17:K18)</f>
        <v>0</v>
      </c>
      <c r="L19" s="347"/>
    </row>
    <row r="20" spans="1:12" ht="16.5" thickTop="1" thickBot="1" x14ac:dyDescent="0.25">
      <c r="A20" s="2155" t="s">
        <v>1754</v>
      </c>
      <c r="B20" s="2156"/>
      <c r="C20" s="1768">
        <f>C8-C17</f>
        <v>-761892</v>
      </c>
      <c r="D20" s="1768">
        <f t="shared" ref="D20:K20" si="5">D8-D17</f>
        <v>80865</v>
      </c>
      <c r="E20" s="1768">
        <f t="shared" si="5"/>
        <v>3440</v>
      </c>
      <c r="F20" s="1768">
        <f t="shared" si="5"/>
        <v>26109</v>
      </c>
      <c r="G20" s="1768">
        <f t="shared" si="5"/>
        <v>18868</v>
      </c>
      <c r="H20" s="1768">
        <f t="shared" si="5"/>
        <v>0</v>
      </c>
      <c r="I20" s="1768">
        <f t="shared" si="5"/>
        <v>96548</v>
      </c>
      <c r="J20" s="1768">
        <f t="shared" si="5"/>
        <v>7630</v>
      </c>
      <c r="K20" s="1768">
        <f t="shared" si="5"/>
        <v>4359</v>
      </c>
      <c r="L20" s="347"/>
    </row>
    <row r="21" spans="1:12" ht="16.7" customHeight="1" thickTop="1" x14ac:dyDescent="0.2">
      <c r="A21" s="2167" t="s">
        <v>616</v>
      </c>
      <c r="B21" s="2168"/>
      <c r="C21" s="1592"/>
      <c r="D21" s="1593"/>
      <c r="E21" s="1593"/>
      <c r="F21" s="1593"/>
      <c r="G21" s="1593"/>
      <c r="H21" s="1593"/>
      <c r="I21" s="1593"/>
      <c r="J21" s="1593"/>
      <c r="K21" s="1594"/>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600000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9" t="s">
        <v>392</v>
      </c>
      <c r="B44" s="2170"/>
      <c r="C44" s="1725">
        <f>SUM(C24:C43)</f>
        <v>600000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600000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5">
        <f t="shared" ref="C76:K76" si="7">SUM(C47:C75)</f>
        <v>0</v>
      </c>
      <c r="D76" s="1725">
        <f t="shared" si="7"/>
        <v>0</v>
      </c>
      <c r="E76" s="1725">
        <f t="shared" si="7"/>
        <v>0</v>
      </c>
      <c r="F76" s="1725">
        <f t="shared" si="7"/>
        <v>0</v>
      </c>
      <c r="G76" s="1725">
        <f t="shared" si="7"/>
        <v>0</v>
      </c>
      <c r="H76" s="1725">
        <f t="shared" si="7"/>
        <v>0</v>
      </c>
      <c r="I76" s="1725">
        <f t="shared" si="7"/>
        <v>600000</v>
      </c>
      <c r="J76" s="1725">
        <f t="shared" si="7"/>
        <v>0</v>
      </c>
      <c r="K76" s="1725">
        <f t="shared" si="7"/>
        <v>0</v>
      </c>
      <c r="L76" s="524"/>
    </row>
    <row r="77" spans="1:12" ht="14.25" thickTop="1" thickBot="1" x14ac:dyDescent="0.25">
      <c r="A77" s="2147" t="s">
        <v>1239</v>
      </c>
      <c r="B77" s="2148"/>
      <c r="C77" s="1725">
        <f t="shared" ref="C77:K77" si="8">C44-C76</f>
        <v>600000</v>
      </c>
      <c r="D77" s="1725">
        <f t="shared" si="8"/>
        <v>0</v>
      </c>
      <c r="E77" s="1725">
        <f t="shared" si="8"/>
        <v>0</v>
      </c>
      <c r="F77" s="1725">
        <f t="shared" si="8"/>
        <v>0</v>
      </c>
      <c r="G77" s="1725">
        <f t="shared" si="8"/>
        <v>0</v>
      </c>
      <c r="H77" s="1725">
        <f t="shared" si="8"/>
        <v>0</v>
      </c>
      <c r="I77" s="1725">
        <f t="shared" si="8"/>
        <v>-600000</v>
      </c>
      <c r="J77" s="1725">
        <f t="shared" si="8"/>
        <v>0</v>
      </c>
      <c r="K77" s="1725">
        <f t="shared" si="8"/>
        <v>0</v>
      </c>
      <c r="L77" s="347"/>
    </row>
    <row r="78" spans="1:12" ht="21.75" customHeight="1" thickTop="1" thickBot="1" x14ac:dyDescent="0.25">
      <c r="A78" s="2151" t="s">
        <v>618</v>
      </c>
      <c r="B78" s="2152"/>
      <c r="C78" s="1724">
        <f t="shared" ref="C78:K78" si="9">C20+C77</f>
        <v>-161892</v>
      </c>
      <c r="D78" s="1724">
        <f t="shared" si="9"/>
        <v>80865</v>
      </c>
      <c r="E78" s="1724">
        <f t="shared" si="9"/>
        <v>3440</v>
      </c>
      <c r="F78" s="1724">
        <f t="shared" si="9"/>
        <v>26109</v>
      </c>
      <c r="G78" s="1724">
        <f t="shared" si="9"/>
        <v>18868</v>
      </c>
      <c r="H78" s="1724">
        <f t="shared" si="9"/>
        <v>0</v>
      </c>
      <c r="I78" s="1724">
        <f t="shared" si="9"/>
        <v>-503452</v>
      </c>
      <c r="J78" s="1724">
        <f t="shared" si="9"/>
        <v>7630</v>
      </c>
      <c r="K78" s="1724">
        <f t="shared" si="9"/>
        <v>4359</v>
      </c>
      <c r="L78" s="533"/>
    </row>
    <row r="79" spans="1:12" ht="13.5" thickTop="1" x14ac:dyDescent="0.2">
      <c r="A79" s="1516" t="s">
        <v>2073</v>
      </c>
      <c r="B79" s="534"/>
      <c r="C79" s="478">
        <v>504541</v>
      </c>
      <c r="D79" s="535">
        <v>518090</v>
      </c>
      <c r="E79" s="535">
        <v>135264</v>
      </c>
      <c r="F79" s="535">
        <v>544952</v>
      </c>
      <c r="G79" s="535">
        <v>254995</v>
      </c>
      <c r="H79" s="535">
        <v>0</v>
      </c>
      <c r="I79" s="535">
        <v>1791474</v>
      </c>
      <c r="J79" s="535">
        <v>4263</v>
      </c>
      <c r="K79" s="535">
        <v>193975</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10">
        <f>(SUM(C78:C80))</f>
        <v>342649</v>
      </c>
      <c r="D81" s="1710">
        <f>SUM(D78:D80)</f>
        <v>598955</v>
      </c>
      <c r="E81" s="1710">
        <f t="shared" ref="E81:K81" si="10">SUM(E78:E80)</f>
        <v>138704</v>
      </c>
      <c r="F81" s="1710">
        <f t="shared" si="10"/>
        <v>571061</v>
      </c>
      <c r="G81" s="1710">
        <f t="shared" si="10"/>
        <v>273863</v>
      </c>
      <c r="H81" s="1710">
        <f t="shared" si="10"/>
        <v>0</v>
      </c>
      <c r="I81" s="1710">
        <f t="shared" si="10"/>
        <v>1288022</v>
      </c>
      <c r="J81" s="1710">
        <f t="shared" si="10"/>
        <v>11893</v>
      </c>
      <c r="K81" s="1710">
        <f t="shared" si="10"/>
        <v>198334</v>
      </c>
      <c r="L81" s="347"/>
    </row>
    <row r="82" spans="1:12" ht="0.75" customHeight="1" thickTop="1" thickBot="1" x14ac:dyDescent="0.25">
      <c r="A82" s="536" t="s">
        <v>361</v>
      </c>
      <c r="B82" s="537"/>
      <c r="C82" s="538">
        <f>(C81-C79)</f>
        <v>-161892</v>
      </c>
      <c r="D82" s="538">
        <f t="shared" ref="D82:K82" si="11">(D81-D79)</f>
        <v>80865</v>
      </c>
      <c r="E82" s="538">
        <f t="shared" si="11"/>
        <v>3440</v>
      </c>
      <c r="F82" s="538">
        <f t="shared" si="11"/>
        <v>26109</v>
      </c>
      <c r="G82" s="538">
        <f t="shared" si="11"/>
        <v>18868</v>
      </c>
      <c r="H82" s="538">
        <f t="shared" si="11"/>
        <v>0</v>
      </c>
      <c r="I82" s="538">
        <f t="shared" si="11"/>
        <v>-503452</v>
      </c>
      <c r="J82" s="538">
        <f t="shared" si="11"/>
        <v>7630</v>
      </c>
      <c r="K82" s="538">
        <f t="shared" si="11"/>
        <v>4359</v>
      </c>
    </row>
    <row r="83" spans="1:12" ht="14.25" hidden="1" thickTop="1" thickBot="1" x14ac:dyDescent="0.25">
      <c r="A83" s="539" t="s">
        <v>362</v>
      </c>
      <c r="B83" s="464"/>
      <c r="C83" s="540">
        <f>C82/C81</f>
        <v>-0.47247182977332491</v>
      </c>
      <c r="D83" s="540">
        <f t="shared" ref="D83:K83" si="12">D82/D81</f>
        <v>0.1350101426651418</v>
      </c>
      <c r="E83" s="540">
        <f t="shared" si="12"/>
        <v>2.4801015111316185E-2</v>
      </c>
      <c r="F83" s="540">
        <f t="shared" si="12"/>
        <v>4.5720159492593608E-2</v>
      </c>
      <c r="G83" s="540">
        <f t="shared" si="12"/>
        <v>6.8895761749487888E-2</v>
      </c>
      <c r="H83" s="540" t="e">
        <f t="shared" si="12"/>
        <v>#DIV/0!</v>
      </c>
      <c r="I83" s="540">
        <f t="shared" si="12"/>
        <v>-0.39087220559897268</v>
      </c>
      <c r="J83" s="540">
        <f t="shared" si="12"/>
        <v>0.64155385520894648</v>
      </c>
      <c r="K83" s="540">
        <f t="shared" si="12"/>
        <v>2.1978077384613832E-2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1744198</v>
      </c>
      <c r="D5" s="481">
        <v>622932</v>
      </c>
      <c r="E5" s="466">
        <v>354757</v>
      </c>
      <c r="F5" s="548">
        <v>186880</v>
      </c>
      <c r="G5" s="466">
        <v>101226</v>
      </c>
      <c r="H5" s="466"/>
      <c r="I5" s="466">
        <v>77868</v>
      </c>
      <c r="J5" s="467">
        <v>1065210</v>
      </c>
      <c r="K5" s="466">
        <v>1559</v>
      </c>
    </row>
    <row r="6" spans="1:12" ht="15" x14ac:dyDescent="0.2">
      <c r="A6" s="463" t="s">
        <v>1761</v>
      </c>
      <c r="B6" s="470">
        <v>1130</v>
      </c>
      <c r="C6" s="466">
        <v>77868</v>
      </c>
      <c r="D6" s="466"/>
      <c r="E6" s="475"/>
      <c r="F6" s="475"/>
      <c r="G6" s="468"/>
      <c r="H6" s="468"/>
      <c r="I6" s="468"/>
      <c r="J6" s="468"/>
      <c r="K6" s="468"/>
    </row>
    <row r="7" spans="1:12" x14ac:dyDescent="0.2">
      <c r="A7" s="463" t="s">
        <v>112</v>
      </c>
      <c r="B7" s="549">
        <v>1140</v>
      </c>
      <c r="C7" s="466">
        <v>31148</v>
      </c>
      <c r="D7" s="466"/>
      <c r="E7" s="468"/>
      <c r="F7" s="467"/>
      <c r="G7" s="467"/>
      <c r="H7" s="467"/>
      <c r="I7" s="468"/>
      <c r="J7" s="468"/>
      <c r="K7" s="468"/>
    </row>
    <row r="8" spans="1:12" x14ac:dyDescent="0.2">
      <c r="A8" s="463" t="s">
        <v>433</v>
      </c>
      <c r="B8" s="470">
        <v>1150</v>
      </c>
      <c r="C8" s="475"/>
      <c r="D8" s="475"/>
      <c r="E8" s="477"/>
      <c r="F8" s="477"/>
      <c r="G8" s="481">
        <v>140160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1853214</v>
      </c>
      <c r="D12" s="1729">
        <f t="shared" si="0"/>
        <v>622932</v>
      </c>
      <c r="E12" s="1729">
        <f t="shared" si="0"/>
        <v>354757</v>
      </c>
      <c r="F12" s="1729">
        <f t="shared" si="0"/>
        <v>186880</v>
      </c>
      <c r="G12" s="1729">
        <f t="shared" si="0"/>
        <v>241386</v>
      </c>
      <c r="H12" s="1729">
        <f t="shared" si="0"/>
        <v>0</v>
      </c>
      <c r="I12" s="1729">
        <f t="shared" si="0"/>
        <v>77868</v>
      </c>
      <c r="J12" s="1729">
        <f t="shared" si="0"/>
        <v>1065210</v>
      </c>
      <c r="K12" s="1710">
        <f t="shared" si="0"/>
        <v>1559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2326</v>
      </c>
      <c r="D14" s="466">
        <v>782</v>
      </c>
      <c r="E14" s="466">
        <v>445</v>
      </c>
      <c r="F14" s="466">
        <v>235</v>
      </c>
      <c r="G14" s="466">
        <v>303</v>
      </c>
      <c r="H14" s="466">
        <v>0</v>
      </c>
      <c r="I14" s="466">
        <v>98</v>
      </c>
      <c r="J14" s="467">
        <v>1337</v>
      </c>
      <c r="K14" s="466">
        <v>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180804</v>
      </c>
      <c r="D16" s="466"/>
      <c r="E16" s="466"/>
      <c r="F16" s="466"/>
      <c r="G16" s="466">
        <v>13000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183130</v>
      </c>
      <c r="D18" s="1732">
        <f t="shared" ref="D18:K18" si="1">SUM(D14:D17)</f>
        <v>782</v>
      </c>
      <c r="E18" s="1732">
        <f t="shared" si="1"/>
        <v>445</v>
      </c>
      <c r="F18" s="1732">
        <f t="shared" si="1"/>
        <v>235</v>
      </c>
      <c r="G18" s="1732">
        <f t="shared" si="1"/>
        <v>13303</v>
      </c>
      <c r="H18" s="1732">
        <f t="shared" si="1"/>
        <v>0</v>
      </c>
      <c r="I18" s="1732">
        <f t="shared" si="1"/>
        <v>98</v>
      </c>
      <c r="J18" s="1732">
        <f t="shared" si="1"/>
        <v>1337</v>
      </c>
      <c r="K18" s="1733">
        <f t="shared" si="1"/>
        <v>2</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2100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23763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25863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5082</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5082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11514</v>
      </c>
      <c r="D65" s="466">
        <v>11364</v>
      </c>
      <c r="E65" s="466">
        <v>3025</v>
      </c>
      <c r="F65" s="467">
        <v>8779</v>
      </c>
      <c r="G65" s="466">
        <v>4610</v>
      </c>
      <c r="H65" s="466"/>
      <c r="I65" s="466">
        <v>18582</v>
      </c>
      <c r="J65" s="467">
        <v>9072</v>
      </c>
      <c r="K65" s="466">
        <v>2798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11514</v>
      </c>
      <c r="D67" s="1710">
        <f t="shared" ref="D67:K67" si="2">SUM(D65:D66)</f>
        <v>11364</v>
      </c>
      <c r="E67" s="1710">
        <f t="shared" si="2"/>
        <v>3025</v>
      </c>
      <c r="F67" s="1710">
        <f t="shared" si="2"/>
        <v>8779</v>
      </c>
      <c r="G67" s="1710">
        <f t="shared" si="2"/>
        <v>4610</v>
      </c>
      <c r="H67" s="1710">
        <f t="shared" si="2"/>
        <v>0</v>
      </c>
      <c r="I67" s="1710">
        <f t="shared" si="2"/>
        <v>18582</v>
      </c>
      <c r="J67" s="1710">
        <f t="shared" si="2"/>
        <v>9072</v>
      </c>
      <c r="K67" s="1710">
        <f t="shared" si="2"/>
        <v>2798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5547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5547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7968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5625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13593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53016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53016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158488</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7791</v>
      </c>
      <c r="D99" s="466"/>
      <c r="E99" s="466">
        <v>360</v>
      </c>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v>7176</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v>4816</v>
      </c>
      <c r="G107" s="466"/>
      <c r="H107" s="466"/>
      <c r="I107" s="466"/>
      <c r="J107" s="467"/>
      <c r="K107" s="466"/>
    </row>
    <row r="108" spans="1:12" ht="12.75" customHeight="1" thickBot="1" x14ac:dyDescent="0.25">
      <c r="A108" s="1730" t="s">
        <v>508</v>
      </c>
      <c r="B108" s="1734"/>
      <c r="C108" s="1729">
        <f>SUM(C95:C107)</f>
        <v>7791</v>
      </c>
      <c r="D108" s="1729">
        <f t="shared" ref="D108:K108" si="3">SUM(D95:D107)</f>
        <v>158488</v>
      </c>
      <c r="E108" s="1729">
        <f t="shared" si="3"/>
        <v>360</v>
      </c>
      <c r="F108" s="1729">
        <f t="shared" si="3"/>
        <v>11992</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2153668</v>
      </c>
      <c r="D109" s="1737">
        <f t="shared" si="4"/>
        <v>793566</v>
      </c>
      <c r="E109" s="1737">
        <f t="shared" si="4"/>
        <v>358587</v>
      </c>
      <c r="F109" s="1737">
        <f t="shared" si="4"/>
        <v>212968</v>
      </c>
      <c r="G109" s="1737">
        <f t="shared" si="4"/>
        <v>259299</v>
      </c>
      <c r="H109" s="1737">
        <f t="shared" si="4"/>
        <v>0</v>
      </c>
      <c r="I109" s="1737">
        <f t="shared" si="4"/>
        <v>96548</v>
      </c>
      <c r="J109" s="1737">
        <f t="shared" si="4"/>
        <v>1075619</v>
      </c>
      <c r="K109" s="1724">
        <f t="shared" si="4"/>
        <v>4359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1327994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1327994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50139</v>
      </c>
      <c r="D125" s="561"/>
      <c r="E125" s="468"/>
      <c r="F125" s="466"/>
      <c r="G125" s="468"/>
      <c r="H125" s="468"/>
      <c r="I125" s="468"/>
      <c r="J125" s="468"/>
      <c r="K125" s="468"/>
    </row>
    <row r="126" spans="1:11" ht="12.75" customHeight="1" x14ac:dyDescent="0.2">
      <c r="A126" s="463" t="s">
        <v>922</v>
      </c>
      <c r="B126" s="562">
        <v>3110</v>
      </c>
      <c r="C126" s="551">
        <v>53239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273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103651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1551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150205</v>
      </c>
      <c r="G151" s="467"/>
      <c r="H151" s="468"/>
      <c r="I151" s="468"/>
      <c r="J151" s="468"/>
      <c r="K151" s="468"/>
    </row>
    <row r="152" spans="1:11" ht="12.75" customHeight="1" x14ac:dyDescent="0.2">
      <c r="A152" s="463" t="s">
        <v>1117</v>
      </c>
      <c r="B152" s="562">
        <v>3510</v>
      </c>
      <c r="C152" s="551"/>
      <c r="D152" s="466"/>
      <c r="E152" s="561"/>
      <c r="F152" s="466">
        <v>91026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241231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3" t="s">
        <v>418</v>
      </c>
      <c r="B172" s="2174"/>
      <c r="C172" s="1744">
        <f t="shared" ref="C172:K172" si="6">SUM(C131,C140,C144,C145:C149,C154,C155:C170,C171)</f>
        <v>105202</v>
      </c>
      <c r="D172" s="1744">
        <f t="shared" si="6"/>
        <v>0</v>
      </c>
      <c r="E172" s="1744">
        <f t="shared" si="6"/>
        <v>0</v>
      </c>
      <c r="F172" s="1744">
        <f t="shared" si="6"/>
        <v>241231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1433196</v>
      </c>
      <c r="D173" s="1737">
        <f>SUM(D121,D172)</f>
        <v>0</v>
      </c>
      <c r="E173" s="1737">
        <f>SUM(E121,E172)</f>
        <v>0</v>
      </c>
      <c r="F173" s="1737">
        <f t="shared" ref="F173:K173" si="7">SUM(F121,F172)</f>
        <v>241231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1" t="s">
        <v>818</v>
      </c>
      <c r="B184" s="218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95034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26965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121999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104795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104795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646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162701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163347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v>94385</v>
      </c>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17707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5853</v>
      </c>
      <c r="D270" s="576"/>
      <c r="E270" s="468"/>
      <c r="F270" s="576"/>
      <c r="G270" s="576"/>
      <c r="H270" s="468"/>
      <c r="I270" s="468"/>
      <c r="J270" s="468"/>
      <c r="K270" s="468"/>
    </row>
    <row r="271" spans="1:11" ht="12.75" customHeight="1" thickTop="1" thickBot="1" x14ac:dyDescent="0.25">
      <c r="A271" s="463" t="s">
        <v>395</v>
      </c>
      <c r="B271" s="470">
        <v>4992</v>
      </c>
      <c r="C271" s="575">
        <v>30081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538167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538167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4125031</v>
      </c>
      <c r="D275" s="1737">
        <f t="shared" si="12"/>
        <v>793566</v>
      </c>
      <c r="E275" s="1737">
        <f t="shared" si="12"/>
        <v>358587</v>
      </c>
      <c r="F275" s="1737">
        <f t="shared" si="12"/>
        <v>454199</v>
      </c>
      <c r="G275" s="1737">
        <f t="shared" si="12"/>
        <v>259299</v>
      </c>
      <c r="H275" s="1737">
        <f t="shared" si="12"/>
        <v>0</v>
      </c>
      <c r="I275" s="1737">
        <f t="shared" si="12"/>
        <v>96548</v>
      </c>
      <c r="J275" s="1737">
        <f t="shared" si="12"/>
        <v>1075619</v>
      </c>
      <c r="K275" s="1724">
        <f t="shared" si="12"/>
        <v>4359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4" activePane="bottomLeft" state="frozen"/>
      <selection activeCell="A7" sqref="A7:D7"/>
      <selection pane="bottomLeft" activeCell="C292" sqref="C29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2810600</v>
      </c>
      <c r="D5" s="466">
        <v>576309</v>
      </c>
      <c r="E5" s="466">
        <v>53354</v>
      </c>
      <c r="F5" s="466">
        <v>26536</v>
      </c>
      <c r="G5" s="466">
        <v>78762</v>
      </c>
      <c r="H5" s="466"/>
      <c r="I5" s="467"/>
      <c r="J5" s="467"/>
      <c r="K5" s="1693">
        <f>SUM(C5:J5)</f>
        <v>3545561</v>
      </c>
      <c r="L5" s="466">
        <v>3440058</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56447</v>
      </c>
      <c r="D7" s="467">
        <v>18921</v>
      </c>
      <c r="E7" s="467">
        <v>1420</v>
      </c>
      <c r="F7" s="467">
        <v>1985</v>
      </c>
      <c r="G7" s="467"/>
      <c r="H7" s="467"/>
      <c r="I7" s="467"/>
      <c r="J7" s="467"/>
      <c r="K7" s="1693">
        <f t="shared" ref="K7:K32" si="0">SUM(C7:J7)</f>
        <v>78773</v>
      </c>
      <c r="L7" s="466">
        <v>120710</v>
      </c>
    </row>
    <row r="8" spans="1:14" x14ac:dyDescent="0.2">
      <c r="A8" s="1526" t="s">
        <v>166</v>
      </c>
      <c r="B8" s="615">
        <v>1200</v>
      </c>
      <c r="C8" s="466">
        <v>168623</v>
      </c>
      <c r="D8" s="466">
        <v>94559</v>
      </c>
      <c r="E8" s="466">
        <v>21486</v>
      </c>
      <c r="F8" s="466">
        <v>13358</v>
      </c>
      <c r="G8" s="466"/>
      <c r="H8" s="466"/>
      <c r="I8" s="467"/>
      <c r="J8" s="467"/>
      <c r="K8" s="1693">
        <f t="shared" si="0"/>
        <v>298026</v>
      </c>
      <c r="L8" s="466">
        <v>307279</v>
      </c>
    </row>
    <row r="9" spans="1:14" x14ac:dyDescent="0.2">
      <c r="A9" s="1526" t="s">
        <v>745</v>
      </c>
      <c r="B9" s="615" t="s">
        <v>1025</v>
      </c>
      <c r="C9" s="467">
        <v>9100</v>
      </c>
      <c r="D9" s="467">
        <v>2023</v>
      </c>
      <c r="E9" s="467"/>
      <c r="F9" s="467"/>
      <c r="G9" s="467"/>
      <c r="H9" s="467"/>
      <c r="I9" s="467"/>
      <c r="J9" s="467"/>
      <c r="K9" s="1693">
        <f t="shared" si="0"/>
        <v>11123</v>
      </c>
      <c r="L9" s="466">
        <v>12035</v>
      </c>
    </row>
    <row r="10" spans="1:14" x14ac:dyDescent="0.2">
      <c r="A10" s="1526" t="s">
        <v>746</v>
      </c>
      <c r="B10" s="615">
        <v>1250</v>
      </c>
      <c r="C10" s="466">
        <v>101048</v>
      </c>
      <c r="D10" s="466">
        <v>16923</v>
      </c>
      <c r="E10" s="466"/>
      <c r="F10" s="466"/>
      <c r="G10" s="466"/>
      <c r="H10" s="466"/>
      <c r="I10" s="467"/>
      <c r="J10" s="467"/>
      <c r="K10" s="1693">
        <f t="shared" si="0"/>
        <v>117971</v>
      </c>
      <c r="L10" s="466">
        <v>129232</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33905</v>
      </c>
      <c r="D14" s="466">
        <v>4096</v>
      </c>
      <c r="E14" s="466">
        <v>9555</v>
      </c>
      <c r="F14" s="466"/>
      <c r="G14" s="466"/>
      <c r="H14" s="466"/>
      <c r="I14" s="467"/>
      <c r="J14" s="467"/>
      <c r="K14" s="1693">
        <f t="shared" si="0"/>
        <v>47556</v>
      </c>
      <c r="L14" s="466">
        <v>51233</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3179723</v>
      </c>
      <c r="D33" s="1692">
        <f t="shared" ref="D33:L33" si="1">SUM(D5:D32)</f>
        <v>712831</v>
      </c>
      <c r="E33" s="1692">
        <f t="shared" si="1"/>
        <v>85815</v>
      </c>
      <c r="F33" s="1692">
        <f t="shared" si="1"/>
        <v>41879</v>
      </c>
      <c r="G33" s="1692">
        <f t="shared" si="1"/>
        <v>78762</v>
      </c>
      <c r="H33" s="1692">
        <f t="shared" si="1"/>
        <v>0</v>
      </c>
      <c r="I33" s="1692">
        <f t="shared" si="1"/>
        <v>0</v>
      </c>
      <c r="J33" s="1692">
        <f t="shared" si="1"/>
        <v>0</v>
      </c>
      <c r="K33" s="1692">
        <f t="shared" si="1"/>
        <v>4099010</v>
      </c>
      <c r="L33" s="1692">
        <f t="shared" si="1"/>
        <v>4060547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42576</v>
      </c>
      <c r="D37" s="466">
        <v>5445</v>
      </c>
      <c r="E37" s="466"/>
      <c r="F37" s="466"/>
      <c r="G37" s="466"/>
      <c r="H37" s="466"/>
      <c r="I37" s="467"/>
      <c r="J37" s="467"/>
      <c r="K37" s="1693">
        <f t="shared" si="2"/>
        <v>48021</v>
      </c>
      <c r="L37" s="466">
        <v>48023</v>
      </c>
    </row>
    <row r="38" spans="1:14" x14ac:dyDescent="0.2">
      <c r="A38" s="1526" t="s">
        <v>207</v>
      </c>
      <c r="B38" s="615">
        <v>2130</v>
      </c>
      <c r="C38" s="466">
        <v>42325</v>
      </c>
      <c r="D38" s="466"/>
      <c r="E38" s="466">
        <v>5129</v>
      </c>
      <c r="F38" s="466">
        <v>916</v>
      </c>
      <c r="G38" s="466"/>
      <c r="H38" s="466"/>
      <c r="I38" s="467"/>
      <c r="J38" s="467"/>
      <c r="K38" s="1693">
        <f t="shared" si="2"/>
        <v>48370</v>
      </c>
      <c r="L38" s="466">
        <v>61457</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84901</v>
      </c>
      <c r="D42" s="1692">
        <f t="shared" ref="D42:L42" si="3">SUM(D36:D41)</f>
        <v>5445</v>
      </c>
      <c r="E42" s="1692">
        <f t="shared" si="3"/>
        <v>5129</v>
      </c>
      <c r="F42" s="1692">
        <f t="shared" si="3"/>
        <v>916</v>
      </c>
      <c r="G42" s="1692">
        <f t="shared" si="3"/>
        <v>0</v>
      </c>
      <c r="H42" s="1692">
        <f t="shared" si="3"/>
        <v>0</v>
      </c>
      <c r="I42" s="1692">
        <f t="shared" si="3"/>
        <v>0</v>
      </c>
      <c r="J42" s="1692">
        <f t="shared" si="3"/>
        <v>0</v>
      </c>
      <c r="K42" s="1692">
        <f t="shared" si="3"/>
        <v>96391</v>
      </c>
      <c r="L42" s="1692">
        <f t="shared" si="3"/>
        <v>109480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27601</v>
      </c>
      <c r="D44" s="481">
        <v>5444</v>
      </c>
      <c r="E44" s="481">
        <v>5635</v>
      </c>
      <c r="F44" s="481"/>
      <c r="G44" s="481"/>
      <c r="H44" s="481"/>
      <c r="I44" s="467"/>
      <c r="J44" s="467"/>
      <c r="K44" s="1694">
        <f>SUM(C44:J44)</f>
        <v>38680</v>
      </c>
      <c r="L44" s="481">
        <v>38754</v>
      </c>
    </row>
    <row r="45" spans="1:14" x14ac:dyDescent="0.2">
      <c r="A45" s="1526" t="s">
        <v>869</v>
      </c>
      <c r="B45" s="615">
        <v>2220</v>
      </c>
      <c r="C45" s="466"/>
      <c r="D45" s="466"/>
      <c r="E45" s="466"/>
      <c r="F45" s="466"/>
      <c r="G45" s="466"/>
      <c r="H45" s="466"/>
      <c r="I45" s="467"/>
      <c r="J45" s="467"/>
      <c r="K45" s="1694">
        <f>SUM(C45:J45)</f>
        <v>0</v>
      </c>
      <c r="L45" s="466">
        <v>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27601</v>
      </c>
      <c r="D47" s="1692">
        <f t="shared" ref="D47:K47" si="4">SUM(D44:D46)</f>
        <v>5444</v>
      </c>
      <c r="E47" s="1692">
        <f t="shared" si="4"/>
        <v>5635</v>
      </c>
      <c r="F47" s="1692">
        <f t="shared" si="4"/>
        <v>0</v>
      </c>
      <c r="G47" s="1692">
        <f t="shared" si="4"/>
        <v>0</v>
      </c>
      <c r="H47" s="1692">
        <f t="shared" si="4"/>
        <v>0</v>
      </c>
      <c r="I47" s="1692">
        <f t="shared" si="4"/>
        <v>0</v>
      </c>
      <c r="J47" s="1692">
        <f t="shared" si="4"/>
        <v>0</v>
      </c>
      <c r="K47" s="1692">
        <f t="shared" si="4"/>
        <v>38680</v>
      </c>
      <c r="L47" s="1692">
        <f>SUM(L44:L46)</f>
        <v>38754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13543</v>
      </c>
      <c r="F49" s="481"/>
      <c r="G49" s="481"/>
      <c r="H49" s="481">
        <v>13405</v>
      </c>
      <c r="I49" s="467"/>
      <c r="J49" s="467"/>
      <c r="K49" s="1694">
        <f>SUM(C49:J49)</f>
        <v>26948</v>
      </c>
      <c r="L49" s="481">
        <v>34910</v>
      </c>
    </row>
    <row r="50" spans="1:14" x14ac:dyDescent="0.2">
      <c r="A50" s="1526" t="s">
        <v>872</v>
      </c>
      <c r="B50" s="615">
        <v>2320</v>
      </c>
      <c r="C50" s="466">
        <v>161431</v>
      </c>
      <c r="D50" s="466">
        <v>50653</v>
      </c>
      <c r="E50" s="466">
        <v>4162</v>
      </c>
      <c r="F50" s="466">
        <v>2306</v>
      </c>
      <c r="G50" s="466"/>
      <c r="H50" s="466">
        <v>1903</v>
      </c>
      <c r="I50" s="467"/>
      <c r="J50" s="467"/>
      <c r="K50" s="1694">
        <f>SUM(C50:J50)</f>
        <v>220455</v>
      </c>
      <c r="L50" s="466">
        <v>229039</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161431</v>
      </c>
      <c r="D53" s="1692">
        <f t="shared" ref="D53:L53" si="5">SUM(D49:D52)</f>
        <v>50653</v>
      </c>
      <c r="E53" s="1692">
        <f t="shared" si="5"/>
        <v>17705</v>
      </c>
      <c r="F53" s="1692">
        <f t="shared" si="5"/>
        <v>2306</v>
      </c>
      <c r="G53" s="1692">
        <f t="shared" si="5"/>
        <v>0</v>
      </c>
      <c r="H53" s="1692">
        <f t="shared" si="5"/>
        <v>15308</v>
      </c>
      <c r="I53" s="1692">
        <f t="shared" si="5"/>
        <v>0</v>
      </c>
      <c r="J53" s="1692">
        <f t="shared" si="5"/>
        <v>0</v>
      </c>
      <c r="K53" s="1692">
        <f t="shared" si="5"/>
        <v>247403</v>
      </c>
      <c r="L53" s="1692">
        <f t="shared" si="5"/>
        <v>263949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82297</v>
      </c>
      <c r="D55" s="481">
        <v>9439</v>
      </c>
      <c r="E55" s="481"/>
      <c r="F55" s="481"/>
      <c r="G55" s="481"/>
      <c r="H55" s="481"/>
      <c r="I55" s="467"/>
      <c r="J55" s="467"/>
      <c r="K55" s="1694">
        <f>SUM(C55:J55)</f>
        <v>91736</v>
      </c>
      <c r="L55" s="481">
        <v>99439</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82297</v>
      </c>
      <c r="D57" s="1696">
        <f t="shared" ref="D57:K57" si="6">SUM(D55:D56)</f>
        <v>9439</v>
      </c>
      <c r="E57" s="1696">
        <f t="shared" si="6"/>
        <v>0</v>
      </c>
      <c r="F57" s="1696">
        <f t="shared" si="6"/>
        <v>0</v>
      </c>
      <c r="G57" s="1696">
        <f t="shared" si="6"/>
        <v>0</v>
      </c>
      <c r="H57" s="1696">
        <f t="shared" si="6"/>
        <v>0</v>
      </c>
      <c r="I57" s="1696">
        <f t="shared" si="6"/>
        <v>0</v>
      </c>
      <c r="J57" s="1696">
        <f t="shared" si="6"/>
        <v>0</v>
      </c>
      <c r="K57" s="1696">
        <f t="shared" si="6"/>
        <v>91736</v>
      </c>
      <c r="L57" s="1692">
        <f>SUM(L55:L56)</f>
        <v>99439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c r="D60" s="466"/>
      <c r="E60" s="466"/>
      <c r="F60" s="466"/>
      <c r="G60" s="466"/>
      <c r="H60" s="466"/>
      <c r="I60" s="467"/>
      <c r="J60" s="467"/>
      <c r="K60" s="1694">
        <f t="shared" si="7"/>
        <v>0</v>
      </c>
      <c r="L60" s="466">
        <v>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103959</v>
      </c>
      <c r="D63" s="466"/>
      <c r="E63" s="466"/>
      <c r="F63" s="466">
        <v>61239</v>
      </c>
      <c r="G63" s="466"/>
      <c r="H63" s="466"/>
      <c r="I63" s="467"/>
      <c r="J63" s="467"/>
      <c r="K63" s="1694">
        <f t="shared" si="7"/>
        <v>165198</v>
      </c>
      <c r="L63" s="466">
        <v>200248</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103959</v>
      </c>
      <c r="D65" s="1692">
        <f t="shared" ref="D65:L65" si="8">SUM(D59:D64)</f>
        <v>0</v>
      </c>
      <c r="E65" s="1692">
        <f t="shared" si="8"/>
        <v>0</v>
      </c>
      <c r="F65" s="1692">
        <f t="shared" si="8"/>
        <v>61239</v>
      </c>
      <c r="G65" s="1692">
        <f t="shared" si="8"/>
        <v>0</v>
      </c>
      <c r="H65" s="1692">
        <f t="shared" si="8"/>
        <v>0</v>
      </c>
      <c r="I65" s="1692">
        <f t="shared" si="8"/>
        <v>0</v>
      </c>
      <c r="J65" s="1692">
        <f t="shared" si="8"/>
        <v>0</v>
      </c>
      <c r="K65" s="1692">
        <f t="shared" si="8"/>
        <v>165198</v>
      </c>
      <c r="L65" s="1692">
        <f t="shared" si="8"/>
        <v>200248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460189</v>
      </c>
      <c r="D74" s="1699">
        <f t="shared" ref="D74:K74" si="10">SUM(D42,D47,D53,D57,D65,D72,D73)</f>
        <v>70981</v>
      </c>
      <c r="E74" s="1699">
        <f t="shared" si="10"/>
        <v>28469</v>
      </c>
      <c r="F74" s="1699">
        <f t="shared" si="10"/>
        <v>64461</v>
      </c>
      <c r="G74" s="1699">
        <f t="shared" si="10"/>
        <v>0</v>
      </c>
      <c r="H74" s="1699">
        <f t="shared" si="10"/>
        <v>15308</v>
      </c>
      <c r="I74" s="1699">
        <f t="shared" si="10"/>
        <v>0</v>
      </c>
      <c r="J74" s="1699">
        <f t="shared" si="10"/>
        <v>0</v>
      </c>
      <c r="K74" s="1699">
        <f t="shared" si="10"/>
        <v>639408</v>
      </c>
      <c r="L74" s="1699">
        <f>SUM(L42,L47,L53,L57,L65,L72,L73)</f>
        <v>711870</v>
      </c>
    </row>
    <row r="75" spans="1:14" s="259" customFormat="1" ht="15.75" customHeight="1" thickTop="1" thickBot="1" x14ac:dyDescent="0.25">
      <c r="A75" s="1632" t="s">
        <v>49</v>
      </c>
      <c r="B75" s="1633" t="s">
        <v>596</v>
      </c>
      <c r="C75" s="573">
        <v>11025</v>
      </c>
      <c r="D75" s="573"/>
      <c r="E75" s="573"/>
      <c r="F75" s="573">
        <v>152</v>
      </c>
      <c r="G75" s="573"/>
      <c r="H75" s="573"/>
      <c r="I75" s="531"/>
      <c r="J75" s="531"/>
      <c r="K75" s="1692">
        <f>SUM(C75:J75)</f>
        <v>11177</v>
      </c>
      <c r="L75" s="576">
        <v>14767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137328</v>
      </c>
      <c r="F79" s="617"/>
      <c r="G79" s="617"/>
      <c r="H79" s="466"/>
      <c r="I79" s="477"/>
      <c r="J79" s="477"/>
      <c r="K79" s="1693">
        <f t="shared" si="11"/>
        <v>137328</v>
      </c>
      <c r="L79" s="466">
        <v>140000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137328</v>
      </c>
      <c r="F84" s="617"/>
      <c r="G84" s="617"/>
      <c r="H84" s="1692">
        <f>SUM(H78:H83)</f>
        <v>0</v>
      </c>
      <c r="I84" s="477"/>
      <c r="J84" s="477"/>
      <c r="K84" s="1692">
        <f>SUM(K78:K83)</f>
        <v>137328</v>
      </c>
      <c r="L84" s="1692">
        <f>SUM(L78:L83)</f>
        <v>140000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137328</v>
      </c>
      <c r="F102" s="617"/>
      <c r="G102" s="617"/>
      <c r="H102" s="1699">
        <f>SUM(H84,H92,H100,H101)</f>
        <v>0</v>
      </c>
      <c r="I102" s="477"/>
      <c r="J102" s="477"/>
      <c r="K102" s="1699">
        <f>SUM(K84,K92,K100,K101)</f>
        <v>137328</v>
      </c>
      <c r="L102" s="1699">
        <f>SUM(L84,L92,L100,L101)</f>
        <v>140000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3650937</v>
      </c>
      <c r="D114" s="1692">
        <f t="shared" ref="D114:K114" si="13">SUM(D33,D74,D75,D102,D112,D113)</f>
        <v>783812</v>
      </c>
      <c r="E114" s="1692">
        <f t="shared" si="13"/>
        <v>251612</v>
      </c>
      <c r="F114" s="1692">
        <f t="shared" si="13"/>
        <v>106492</v>
      </c>
      <c r="G114" s="1692">
        <f t="shared" si="13"/>
        <v>78762</v>
      </c>
      <c r="H114" s="1692">
        <f>SUM(H33,H74,H75,H102,H112,H113)</f>
        <v>15308</v>
      </c>
      <c r="I114" s="1692">
        <f t="shared" si="13"/>
        <v>0</v>
      </c>
      <c r="J114" s="1692">
        <f t="shared" si="13"/>
        <v>0</v>
      </c>
      <c r="K114" s="1692">
        <f t="shared" si="13"/>
        <v>4886923</v>
      </c>
      <c r="L114" s="1692">
        <f>SUM(L33,L74,L75,L102,L112,L113)</f>
        <v>4927184</v>
      </c>
    </row>
    <row r="115" spans="1:14" ht="13.5" thickTop="1" x14ac:dyDescent="0.2">
      <c r="A115" s="2185" t="s">
        <v>1053</v>
      </c>
      <c r="B115" s="2186"/>
      <c r="C115" s="619"/>
      <c r="D115" s="619"/>
      <c r="E115" s="619"/>
      <c r="F115" s="619"/>
      <c r="G115" s="619"/>
      <c r="H115" s="619"/>
      <c r="I115" s="619"/>
      <c r="J115" s="619"/>
      <c r="K115" s="1706">
        <f>'Revenues 9-14'!C275-'Expenditures 15-22'!K114</f>
        <v>-761892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341867</v>
      </c>
      <c r="D124" s="466">
        <v>55783</v>
      </c>
      <c r="E124" s="466">
        <v>58687</v>
      </c>
      <c r="F124" s="466">
        <v>213006</v>
      </c>
      <c r="G124" s="466">
        <v>43358</v>
      </c>
      <c r="H124" s="466"/>
      <c r="I124" s="467"/>
      <c r="J124" s="467"/>
      <c r="K124" s="1692">
        <f>SUM(C124:J124)</f>
        <v>712701</v>
      </c>
      <c r="L124" s="466">
        <v>761074</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341867</v>
      </c>
      <c r="D127" s="1692">
        <f t="shared" ref="D127:L127" si="14">SUM(D122:D126)</f>
        <v>55783</v>
      </c>
      <c r="E127" s="1692">
        <f t="shared" si="14"/>
        <v>58687</v>
      </c>
      <c r="F127" s="1692">
        <f t="shared" si="14"/>
        <v>213006</v>
      </c>
      <c r="G127" s="1692">
        <f t="shared" si="14"/>
        <v>43358</v>
      </c>
      <c r="H127" s="1692">
        <f t="shared" si="14"/>
        <v>0</v>
      </c>
      <c r="I127" s="1692">
        <f t="shared" si="14"/>
        <v>0</v>
      </c>
      <c r="J127" s="1692">
        <f t="shared" si="14"/>
        <v>0</v>
      </c>
      <c r="K127" s="1692">
        <f t="shared" si="14"/>
        <v>712701</v>
      </c>
      <c r="L127" s="1692">
        <f t="shared" si="14"/>
        <v>761074</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341867</v>
      </c>
      <c r="D129" s="1699">
        <f t="shared" ref="D129:L129" si="15">SUM(D120,D127,D128)</f>
        <v>55783</v>
      </c>
      <c r="E129" s="1699">
        <f t="shared" si="15"/>
        <v>58687</v>
      </c>
      <c r="F129" s="1699">
        <f t="shared" si="15"/>
        <v>213006</v>
      </c>
      <c r="G129" s="1699">
        <f t="shared" si="15"/>
        <v>43358</v>
      </c>
      <c r="H129" s="1699">
        <f t="shared" si="15"/>
        <v>0</v>
      </c>
      <c r="I129" s="1699">
        <f t="shared" si="15"/>
        <v>0</v>
      </c>
      <c r="J129" s="1699">
        <f t="shared" si="15"/>
        <v>0</v>
      </c>
      <c r="K129" s="1699">
        <f t="shared" si="15"/>
        <v>712701</v>
      </c>
      <c r="L129" s="1699">
        <f t="shared" si="15"/>
        <v>761074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2" t="s">
        <v>641</v>
      </c>
      <c r="B151" s="2182"/>
      <c r="C151" s="1692">
        <f>SUM(C129,C130,C139,C149,C150)</f>
        <v>341867</v>
      </c>
      <c r="D151" s="1692">
        <f t="shared" ref="D151:K151" si="16">SUM(D129,D130,D139,D149,D150)</f>
        <v>55783</v>
      </c>
      <c r="E151" s="1692">
        <f t="shared" si="16"/>
        <v>58687</v>
      </c>
      <c r="F151" s="1692">
        <f t="shared" si="16"/>
        <v>213006</v>
      </c>
      <c r="G151" s="1692">
        <f t="shared" si="16"/>
        <v>43358</v>
      </c>
      <c r="H151" s="1692">
        <f t="shared" si="16"/>
        <v>0</v>
      </c>
      <c r="I151" s="1692">
        <f t="shared" si="16"/>
        <v>0</v>
      </c>
      <c r="J151" s="1692">
        <f t="shared" si="16"/>
        <v>0</v>
      </c>
      <c r="K151" s="1692">
        <f t="shared" si="16"/>
        <v>712701</v>
      </c>
      <c r="L151" s="1692">
        <f>SUM(L129,L130,L139,L149,L150)</f>
        <v>761074</v>
      </c>
    </row>
    <row r="152" spans="1:14" ht="12.75" customHeight="1" thickTop="1" x14ac:dyDescent="0.2">
      <c r="A152" s="2205" t="s">
        <v>1240</v>
      </c>
      <c r="B152" s="2206"/>
      <c r="C152" s="619"/>
      <c r="D152" s="619"/>
      <c r="E152" s="619"/>
      <c r="F152" s="619"/>
      <c r="G152" s="619"/>
      <c r="H152" s="619"/>
      <c r="I152" s="619"/>
      <c r="J152" s="617"/>
      <c r="K152" s="1706">
        <f>'Revenues 9-14'!D275-'Expenditures 15-22'!K151</f>
        <v>80865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59855</v>
      </c>
      <c r="I169" s="617"/>
      <c r="J169" s="617"/>
      <c r="K169" s="1693">
        <f>SUM(C169:H169)</f>
        <v>59855</v>
      </c>
      <c r="L169" s="657">
        <v>60008</v>
      </c>
    </row>
    <row r="170" spans="1:14" ht="33.75" customHeight="1" x14ac:dyDescent="0.2">
      <c r="A170" s="670" t="s">
        <v>1769</v>
      </c>
      <c r="B170" s="672" t="s">
        <v>31</v>
      </c>
      <c r="C170" s="617"/>
      <c r="D170" s="617"/>
      <c r="E170" s="617"/>
      <c r="F170" s="617"/>
      <c r="G170" s="617"/>
      <c r="H170" s="569">
        <v>295000</v>
      </c>
      <c r="I170" s="617"/>
      <c r="J170" s="617"/>
      <c r="K170" s="1693">
        <f>SUM(C170:J170)</f>
        <v>295000</v>
      </c>
      <c r="L170" s="569">
        <v>295000</v>
      </c>
    </row>
    <row r="171" spans="1:14" ht="15.75" customHeight="1" x14ac:dyDescent="0.2">
      <c r="A171" s="622" t="s">
        <v>790</v>
      </c>
      <c r="B171" s="673" t="s">
        <v>86</v>
      </c>
      <c r="C171" s="617"/>
      <c r="D171" s="617"/>
      <c r="E171" s="466"/>
      <c r="F171" s="617"/>
      <c r="G171" s="617"/>
      <c r="H171" s="569">
        <v>292</v>
      </c>
      <c r="I171" s="477"/>
      <c r="J171" s="617"/>
      <c r="K171" s="1693">
        <f>SUM(C171:J171)</f>
        <v>292</v>
      </c>
      <c r="L171" s="569">
        <v>800</v>
      </c>
    </row>
    <row r="172" spans="1:14" ht="12.75" customHeight="1" thickBot="1" x14ac:dyDescent="0.25">
      <c r="A172" s="1690" t="s">
        <v>659</v>
      </c>
      <c r="B172" s="1691" t="s">
        <v>513</v>
      </c>
      <c r="C172" s="617"/>
      <c r="D172" s="617"/>
      <c r="E172" s="1699">
        <f>SUM(E168,E169,E170,E171)</f>
        <v>0</v>
      </c>
      <c r="F172" s="617"/>
      <c r="G172" s="617"/>
      <c r="H172" s="1699">
        <f>SUM(H168,H169,H170,H171)</f>
        <v>355147</v>
      </c>
      <c r="I172" s="639"/>
      <c r="J172" s="617"/>
      <c r="K172" s="1699">
        <f>SUM(K168,K169,K170,K171)</f>
        <v>355147</v>
      </c>
      <c r="L172" s="1699">
        <f>SUM(L168,L169,L170,L171)</f>
        <v>355808</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355147</v>
      </c>
      <c r="I174" s="639"/>
      <c r="J174" s="617"/>
      <c r="K174" s="1699">
        <f>SUM(K160,K172,K173)</f>
        <v>355147</v>
      </c>
      <c r="L174" s="1699">
        <f>SUM(L160,L172,L173)</f>
        <v>355808</v>
      </c>
    </row>
    <row r="175" spans="1:14" ht="13.5" thickTop="1" x14ac:dyDescent="0.2">
      <c r="A175" s="2185" t="s">
        <v>1053</v>
      </c>
      <c r="B175" s="2186"/>
      <c r="C175" s="617"/>
      <c r="D175" s="617"/>
      <c r="E175" s="617"/>
      <c r="F175" s="617"/>
      <c r="G175" s="617"/>
      <c r="H175" s="619"/>
      <c r="I175" s="617"/>
      <c r="J175" s="617"/>
      <c r="K175" s="1706">
        <f>'Revenues 9-14'!E275-'Expenditures 15-22'!K174</f>
        <v>3440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243980</v>
      </c>
      <c r="D182" s="466">
        <v>10334</v>
      </c>
      <c r="E182" s="466">
        <v>23792</v>
      </c>
      <c r="F182" s="466">
        <v>56628</v>
      </c>
      <c r="G182" s="466">
        <v>93356</v>
      </c>
      <c r="H182" s="466"/>
      <c r="I182" s="467"/>
      <c r="J182" s="467"/>
      <c r="K182" s="1693">
        <f>SUM(C182:J182)</f>
        <v>428090</v>
      </c>
      <c r="L182" s="466">
        <v>513111</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243980</v>
      </c>
      <c r="D184" s="1699">
        <f t="shared" ref="D184:J184" si="17">SUM(D180,D182,D183)</f>
        <v>10334</v>
      </c>
      <c r="E184" s="1699">
        <f t="shared" si="17"/>
        <v>23792</v>
      </c>
      <c r="F184" s="1699">
        <f t="shared" si="17"/>
        <v>56628</v>
      </c>
      <c r="G184" s="1699">
        <f t="shared" si="17"/>
        <v>93356</v>
      </c>
      <c r="H184" s="1699">
        <f t="shared" si="17"/>
        <v>0</v>
      </c>
      <c r="I184" s="1699">
        <f t="shared" si="17"/>
        <v>0</v>
      </c>
      <c r="J184" s="1699">
        <f t="shared" si="17"/>
        <v>0</v>
      </c>
      <c r="K184" s="1699">
        <f>SUM(K180,K182,K183)</f>
        <v>428090</v>
      </c>
      <c r="L184" s="1699">
        <f>SUM(L180, L182:L183)</f>
        <v>513111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7500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7500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7500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243980</v>
      </c>
      <c r="D210" s="1692">
        <f>SUM(D184,D185)</f>
        <v>10334</v>
      </c>
      <c r="E210" s="1692">
        <f>SUM(E184,E185,E196)</f>
        <v>23792</v>
      </c>
      <c r="F210" s="1692">
        <f>SUM(F184,F185)</f>
        <v>56628</v>
      </c>
      <c r="G210" s="1692">
        <f>SUM(G184,G185)</f>
        <v>93356</v>
      </c>
      <c r="H210" s="1692">
        <f>SUM(H184,H185,H196,H208,H209)</f>
        <v>0</v>
      </c>
      <c r="I210" s="1692">
        <f>SUM(I184,I185)</f>
        <v>0</v>
      </c>
      <c r="J210" s="1692">
        <f>SUM(J184,J185)</f>
        <v>0</v>
      </c>
      <c r="K210" s="1693">
        <f>SUM(K184,K185,K196,K208,K209)</f>
        <v>428090</v>
      </c>
      <c r="L210" s="1692">
        <f>SUM(L184,L185,L196,L208,L209)</f>
        <v>520611</v>
      </c>
    </row>
    <row r="211" spans="1:14" ht="13.5" thickTop="1" x14ac:dyDescent="0.2">
      <c r="A211" s="2185" t="s">
        <v>1053</v>
      </c>
      <c r="B211" s="2186"/>
      <c r="C211" s="619"/>
      <c r="D211" s="619"/>
      <c r="E211" s="619"/>
      <c r="F211" s="619"/>
      <c r="G211" s="619"/>
      <c r="H211" s="619"/>
      <c r="I211" s="617"/>
      <c r="J211" s="617"/>
      <c r="K211" s="1706">
        <f>'Revenues 9-14'!F275-'Expenditures 15-22'!K210</f>
        <v>26109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78938</v>
      </c>
      <c r="E215" s="617"/>
      <c r="F215" s="617"/>
      <c r="G215" s="617"/>
      <c r="H215" s="617"/>
      <c r="I215" s="617"/>
      <c r="J215" s="617"/>
      <c r="K215" s="1693">
        <f>D215</f>
        <v>78938</v>
      </c>
      <c r="L215" s="466">
        <v>98000</v>
      </c>
    </row>
    <row r="216" spans="1:14" x14ac:dyDescent="0.2">
      <c r="A216" s="1526" t="s">
        <v>165</v>
      </c>
      <c r="B216" s="615" t="s">
        <v>1024</v>
      </c>
      <c r="C216" s="617"/>
      <c r="D216" s="467">
        <v>4030</v>
      </c>
      <c r="E216" s="617"/>
      <c r="F216" s="617"/>
      <c r="G216" s="617"/>
      <c r="H216" s="617"/>
      <c r="I216" s="617"/>
      <c r="J216" s="617"/>
      <c r="K216" s="1693">
        <f t="shared" ref="K216:K228" si="19">D216</f>
        <v>4030</v>
      </c>
      <c r="L216" s="466">
        <v>4716</v>
      </c>
    </row>
    <row r="217" spans="1:14" x14ac:dyDescent="0.2">
      <c r="A217" s="1526" t="s">
        <v>166</v>
      </c>
      <c r="B217" s="615">
        <v>1200</v>
      </c>
      <c r="C217" s="617"/>
      <c r="D217" s="466">
        <v>4937</v>
      </c>
      <c r="E217" s="617"/>
      <c r="F217" s="617"/>
      <c r="G217" s="617"/>
      <c r="H217" s="617"/>
      <c r="I217" s="617"/>
      <c r="J217" s="617"/>
      <c r="K217" s="1693">
        <f t="shared" si="19"/>
        <v>4937</v>
      </c>
      <c r="L217" s="466">
        <v>5162</v>
      </c>
    </row>
    <row r="218" spans="1:14" x14ac:dyDescent="0.2">
      <c r="A218" s="1526" t="s">
        <v>296</v>
      </c>
      <c r="B218" s="615" t="s">
        <v>1025</v>
      </c>
      <c r="C218" s="617"/>
      <c r="D218" s="467">
        <v>1219</v>
      </c>
      <c r="E218" s="617"/>
      <c r="F218" s="617"/>
      <c r="G218" s="617"/>
      <c r="H218" s="617"/>
      <c r="I218" s="617"/>
      <c r="J218" s="617"/>
      <c r="K218" s="1693">
        <f t="shared" si="19"/>
        <v>1219</v>
      </c>
      <c r="L218" s="466">
        <v>1406</v>
      </c>
    </row>
    <row r="219" spans="1:14" x14ac:dyDescent="0.2">
      <c r="A219" s="1526" t="s">
        <v>297</v>
      </c>
      <c r="B219" s="615">
        <v>1250</v>
      </c>
      <c r="C219" s="617"/>
      <c r="D219" s="466">
        <v>1014</v>
      </c>
      <c r="E219" s="617"/>
      <c r="F219" s="617"/>
      <c r="G219" s="617"/>
      <c r="H219" s="617"/>
      <c r="I219" s="617"/>
      <c r="J219" s="617"/>
      <c r="K219" s="1693">
        <f t="shared" si="19"/>
        <v>1014</v>
      </c>
      <c r="L219" s="466">
        <v>1372</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1233</v>
      </c>
      <c r="E223" s="617"/>
      <c r="F223" s="617"/>
      <c r="G223" s="617"/>
      <c r="H223" s="617"/>
      <c r="I223" s="617"/>
      <c r="J223" s="617"/>
      <c r="K223" s="1693">
        <f t="shared" si="19"/>
        <v>1233</v>
      </c>
      <c r="L223" s="466">
        <v>1254</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91371</v>
      </c>
      <c r="E229" s="617"/>
      <c r="F229" s="617"/>
      <c r="G229" s="617"/>
      <c r="H229" s="617"/>
      <c r="I229" s="617"/>
      <c r="J229" s="617"/>
      <c r="K229" s="1692">
        <f>SUM(K215:K228)</f>
        <v>91371</v>
      </c>
      <c r="L229" s="1692">
        <f>SUM(L215:L228)</f>
        <v>111910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617</v>
      </c>
      <c r="E233" s="617"/>
      <c r="F233" s="617"/>
      <c r="G233" s="617"/>
      <c r="H233" s="617"/>
      <c r="I233" s="617"/>
      <c r="J233" s="617"/>
      <c r="K233" s="1693">
        <f t="shared" si="20"/>
        <v>617</v>
      </c>
      <c r="L233" s="466">
        <v>618</v>
      </c>
    </row>
    <row r="234" spans="1:12" x14ac:dyDescent="0.2">
      <c r="A234" s="1526" t="s">
        <v>207</v>
      </c>
      <c r="B234" s="615">
        <v>2130</v>
      </c>
      <c r="C234" s="617"/>
      <c r="D234" s="466">
        <v>7783</v>
      </c>
      <c r="E234" s="617"/>
      <c r="F234" s="617"/>
      <c r="G234" s="617"/>
      <c r="H234" s="617"/>
      <c r="I234" s="617"/>
      <c r="J234" s="617"/>
      <c r="K234" s="1693">
        <f t="shared" si="20"/>
        <v>7783</v>
      </c>
      <c r="L234" s="466">
        <v>8015</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8400</v>
      </c>
      <c r="E238" s="617"/>
      <c r="F238" s="617"/>
      <c r="G238" s="617"/>
      <c r="H238" s="617"/>
      <c r="I238" s="617"/>
      <c r="J238" s="617"/>
      <c r="K238" s="1692">
        <f>SUM(K232:K237)</f>
        <v>8400</v>
      </c>
      <c r="L238" s="1692">
        <f>SUM(L232:L237)</f>
        <v>8633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2492</v>
      </c>
      <c r="E240" s="617"/>
      <c r="F240" s="617"/>
      <c r="G240" s="617"/>
      <c r="H240" s="617"/>
      <c r="I240" s="617"/>
      <c r="J240" s="617"/>
      <c r="K240" s="1694">
        <f>D240</f>
        <v>2492</v>
      </c>
      <c r="L240" s="481">
        <v>2494</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2492</v>
      </c>
      <c r="E243" s="617"/>
      <c r="F243" s="617"/>
      <c r="G243" s="617"/>
      <c r="H243" s="617"/>
      <c r="I243" s="617"/>
      <c r="J243" s="617"/>
      <c r="K243" s="1692">
        <f>SUM(K240:K242)</f>
        <v>2492</v>
      </c>
      <c r="L243" s="1692">
        <f>SUM(L240:L242)</f>
        <v>2494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3187</v>
      </c>
      <c r="E246" s="617"/>
      <c r="F246" s="617"/>
      <c r="G246" s="617"/>
      <c r="H246" s="617"/>
      <c r="I246" s="617"/>
      <c r="J246" s="617"/>
      <c r="K246" s="1694">
        <f t="shared" ref="K246:K256" si="21">D246</f>
        <v>3187</v>
      </c>
      <c r="L246" s="466">
        <v>3128</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3187</v>
      </c>
      <c r="E257" s="617"/>
      <c r="F257" s="617"/>
      <c r="G257" s="617"/>
      <c r="H257" s="617"/>
      <c r="I257" s="617"/>
      <c r="J257" s="617"/>
      <c r="K257" s="1692">
        <f>SUM(K245:K256)</f>
        <v>3187</v>
      </c>
      <c r="L257" s="1692">
        <f>SUM(L245:L256)</f>
        <v>3128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15358</v>
      </c>
      <c r="E259" s="617"/>
      <c r="F259" s="617"/>
      <c r="G259" s="617"/>
      <c r="H259" s="617"/>
      <c r="I259" s="617"/>
      <c r="J259" s="617"/>
      <c r="K259" s="1694">
        <f>D259</f>
        <v>15358</v>
      </c>
      <c r="L259" s="481">
        <v>18500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15358</v>
      </c>
      <c r="E261" s="617"/>
      <c r="F261" s="617"/>
      <c r="G261" s="617"/>
      <c r="H261" s="617"/>
      <c r="I261" s="617"/>
      <c r="J261" s="617"/>
      <c r="K261" s="1692">
        <f>SUM(K259:K260)</f>
        <v>15358</v>
      </c>
      <c r="L261" s="1692">
        <f>SUM(L259:L260)</f>
        <v>18500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c r="E264" s="617"/>
      <c r="F264" s="617"/>
      <c r="G264" s="617"/>
      <c r="H264" s="617"/>
      <c r="I264" s="617"/>
      <c r="J264" s="617"/>
      <c r="K264" s="1694">
        <f t="shared" ref="K264:K269" si="22">D264</f>
        <v>0</v>
      </c>
      <c r="L264" s="466">
        <v>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62881</v>
      </c>
      <c r="E266" s="617"/>
      <c r="F266" s="617"/>
      <c r="G266" s="617"/>
      <c r="H266" s="617"/>
      <c r="I266" s="617"/>
      <c r="J266" s="617"/>
      <c r="K266" s="1694">
        <f t="shared" si="22"/>
        <v>62881</v>
      </c>
      <c r="L266" s="466">
        <v>66500</v>
      </c>
    </row>
    <row r="267" spans="1:14" x14ac:dyDescent="0.2">
      <c r="A267" s="1526" t="s">
        <v>1010</v>
      </c>
      <c r="B267" s="615">
        <v>2550</v>
      </c>
      <c r="C267" s="617"/>
      <c r="D267" s="466">
        <v>34100</v>
      </c>
      <c r="E267" s="617"/>
      <c r="F267" s="617"/>
      <c r="G267" s="617"/>
      <c r="H267" s="617"/>
      <c r="I267" s="617"/>
      <c r="J267" s="617"/>
      <c r="K267" s="1694">
        <f t="shared" si="22"/>
        <v>34100</v>
      </c>
      <c r="L267" s="466">
        <v>46100</v>
      </c>
    </row>
    <row r="268" spans="1:14" x14ac:dyDescent="0.2">
      <c r="A268" s="1526" t="s">
        <v>102</v>
      </c>
      <c r="B268" s="615">
        <v>2560</v>
      </c>
      <c r="C268" s="617"/>
      <c r="D268" s="466">
        <v>20767</v>
      </c>
      <c r="E268" s="617"/>
      <c r="F268" s="617"/>
      <c r="G268" s="617"/>
      <c r="H268" s="617"/>
      <c r="I268" s="617"/>
      <c r="J268" s="617"/>
      <c r="K268" s="1694">
        <f t="shared" si="22"/>
        <v>20767</v>
      </c>
      <c r="L268" s="466">
        <v>26700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117748</v>
      </c>
      <c r="E270" s="617"/>
      <c r="F270" s="617"/>
      <c r="G270" s="617"/>
      <c r="H270" s="617"/>
      <c r="I270" s="617"/>
      <c r="J270" s="617"/>
      <c r="K270" s="1692">
        <f>SUM(K263:K269)</f>
        <v>117748</v>
      </c>
      <c r="L270" s="1692">
        <f>SUM(L263:L269)</f>
        <v>139300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147185</v>
      </c>
      <c r="E279" s="617"/>
      <c r="F279" s="617"/>
      <c r="G279" s="617"/>
      <c r="H279" s="617"/>
      <c r="I279" s="617"/>
      <c r="J279" s="617"/>
      <c r="K279" s="1699">
        <f>SUM(K238,K243,K257,K261,K270,K277,K278)</f>
        <v>147185</v>
      </c>
      <c r="L279" s="1699">
        <f>SUM(L238,L243,L257,L261,L270,L277,L278)</f>
        <v>172055</v>
      </c>
    </row>
    <row r="280" spans="1:12" ht="15.75" customHeight="1" thickTop="1" thickBot="1" x14ac:dyDescent="0.25">
      <c r="A280" s="1646" t="s">
        <v>930</v>
      </c>
      <c r="B280" s="1635">
        <v>3000</v>
      </c>
      <c r="C280" s="617"/>
      <c r="D280" s="576">
        <v>1875</v>
      </c>
      <c r="E280" s="617"/>
      <c r="F280" s="617"/>
      <c r="G280" s="617"/>
      <c r="H280" s="617"/>
      <c r="I280" s="617"/>
      <c r="J280" s="617"/>
      <c r="K280" s="1701">
        <f>D280</f>
        <v>1875</v>
      </c>
      <c r="L280" s="576">
        <v>1876</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3" t="s">
        <v>526</v>
      </c>
      <c r="B295" s="2204"/>
      <c r="C295" s="617"/>
      <c r="D295" s="1692">
        <f>SUM(D229,D279,D280,D285)</f>
        <v>240431</v>
      </c>
      <c r="E295" s="617"/>
      <c r="F295" s="617"/>
      <c r="G295" s="617"/>
      <c r="H295" s="1692">
        <f>H293</f>
        <v>0</v>
      </c>
      <c r="I295" s="617"/>
      <c r="J295" s="617"/>
      <c r="K295" s="1692">
        <f>SUM(K229,K279,K280,K285,K293,K294)</f>
        <v>240431</v>
      </c>
      <c r="L295" s="1692">
        <f>SUM(L229,L279,L280,L285,L293,L294)</f>
        <v>285841</v>
      </c>
    </row>
    <row r="296" spans="1:14" ht="13.5" thickTop="1" x14ac:dyDescent="0.2">
      <c r="A296" s="2185" t="s">
        <v>1053</v>
      </c>
      <c r="B296" s="2186"/>
      <c r="C296" s="617"/>
      <c r="D296" s="619"/>
      <c r="E296" s="617"/>
      <c r="F296" s="617"/>
      <c r="G296" s="617"/>
      <c r="H296" s="688"/>
      <c r="I296" s="617"/>
      <c r="J296" s="617"/>
      <c r="K296" s="1706">
        <f>'Revenues 9-14'!G275-'Expenditures 15-22'!K295</f>
        <v>18868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0" t="s">
        <v>295</v>
      </c>
      <c r="B312" s="220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6" t="s">
        <v>1053</v>
      </c>
      <c r="B313" s="219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83265</v>
      </c>
      <c r="F322" s="467"/>
      <c r="G322" s="467"/>
      <c r="H322" s="467"/>
      <c r="I322" s="467"/>
      <c r="J322" s="467"/>
      <c r="K322" s="1693">
        <f t="shared" si="24"/>
        <v>83265</v>
      </c>
      <c r="L322" s="467">
        <v>83265</v>
      </c>
      <c r="M322" s="666"/>
      <c r="N322" s="666"/>
    </row>
    <row r="323" spans="1:14" s="675" customFormat="1" x14ac:dyDescent="0.2">
      <c r="A323" s="1541" t="s">
        <v>726</v>
      </c>
      <c r="B323" s="698" t="s">
        <v>303</v>
      </c>
      <c r="C323" s="467"/>
      <c r="D323" s="467"/>
      <c r="E323" s="467">
        <v>80857</v>
      </c>
      <c r="F323" s="467"/>
      <c r="G323" s="467"/>
      <c r="H323" s="467"/>
      <c r="I323" s="467"/>
      <c r="J323" s="467"/>
      <c r="K323" s="1693">
        <f t="shared" si="24"/>
        <v>80857</v>
      </c>
      <c r="L323" s="467">
        <v>83000</v>
      </c>
      <c r="M323" s="666"/>
      <c r="N323" s="666"/>
    </row>
    <row r="324" spans="1:14" s="675" customFormat="1" x14ac:dyDescent="0.2">
      <c r="A324" s="1541" t="s">
        <v>257</v>
      </c>
      <c r="B324" s="698" t="s">
        <v>304</v>
      </c>
      <c r="C324" s="467"/>
      <c r="D324" s="467"/>
      <c r="E324" s="467">
        <v>350000</v>
      </c>
      <c r="F324" s="467"/>
      <c r="G324" s="467"/>
      <c r="H324" s="467"/>
      <c r="I324" s="467"/>
      <c r="J324" s="467"/>
      <c r="K324" s="1693">
        <f t="shared" si="24"/>
        <v>350000</v>
      </c>
      <c r="L324" s="467">
        <v>350000</v>
      </c>
      <c r="M324" s="666"/>
      <c r="N324" s="666"/>
    </row>
    <row r="325" spans="1:14" s="675" customFormat="1" ht="22.5" x14ac:dyDescent="0.2">
      <c r="A325" s="1541" t="s">
        <v>1087</v>
      </c>
      <c r="B325" s="699" t="s">
        <v>305</v>
      </c>
      <c r="C325" s="467">
        <v>430000</v>
      </c>
      <c r="D325" s="467"/>
      <c r="E325" s="467"/>
      <c r="F325" s="467"/>
      <c r="G325" s="467"/>
      <c r="H325" s="467"/>
      <c r="I325" s="467"/>
      <c r="J325" s="467"/>
      <c r="K325" s="1693">
        <f t="shared" si="24"/>
        <v>430000</v>
      </c>
      <c r="L325" s="467">
        <v>430000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123867</v>
      </c>
      <c r="F327" s="467"/>
      <c r="G327" s="467"/>
      <c r="H327" s="467"/>
      <c r="I327" s="467"/>
      <c r="J327" s="467"/>
      <c r="K327" s="1693">
        <f t="shared" si="24"/>
        <v>123867</v>
      </c>
      <c r="L327" s="467">
        <v>123867</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430000</v>
      </c>
      <c r="D330" s="1692">
        <f t="shared" ref="D330:J330" si="25">SUM(D319:D329)</f>
        <v>0</v>
      </c>
      <c r="E330" s="1692">
        <f t="shared" si="25"/>
        <v>637989</v>
      </c>
      <c r="F330" s="1692">
        <f t="shared" si="25"/>
        <v>0</v>
      </c>
      <c r="G330" s="1692">
        <f t="shared" si="25"/>
        <v>0</v>
      </c>
      <c r="H330" s="1692">
        <f t="shared" si="25"/>
        <v>0</v>
      </c>
      <c r="I330" s="1692">
        <f t="shared" si="25"/>
        <v>0</v>
      </c>
      <c r="J330" s="1692">
        <f t="shared" si="25"/>
        <v>0</v>
      </c>
      <c r="K330" s="1692">
        <f>SUM(K319:K329)</f>
        <v>1067989</v>
      </c>
      <c r="L330" s="1692">
        <f>SUM(L319:L329)</f>
        <v>1070132</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430000</v>
      </c>
      <c r="D342" s="1692">
        <f>SUM(D330)</f>
        <v>0</v>
      </c>
      <c r="E342" s="1692">
        <f>SUM(E330)</f>
        <v>637989</v>
      </c>
      <c r="F342" s="1692">
        <f>SUM(F330)</f>
        <v>0</v>
      </c>
      <c r="G342" s="1692">
        <f>SUM(G330)</f>
        <v>0</v>
      </c>
      <c r="H342" s="1692">
        <f>SUM(H330,H334,H340)</f>
        <v>0</v>
      </c>
      <c r="I342" s="1692">
        <f>SUM(I330)</f>
        <v>0</v>
      </c>
      <c r="J342" s="1692">
        <f>SUM(J330)</f>
        <v>0</v>
      </c>
      <c r="K342" s="1692">
        <f>SUM(K330,K334,K340)</f>
        <v>1067989</v>
      </c>
      <c r="L342" s="1699">
        <f>SUM(L330,L340,L341)</f>
        <v>1070132</v>
      </c>
    </row>
    <row r="343" spans="1:14" ht="12.75" customHeight="1" thickTop="1" x14ac:dyDescent="0.2">
      <c r="A343" s="2198" t="s">
        <v>1053</v>
      </c>
      <c r="B343" s="2199"/>
      <c r="C343" s="617"/>
      <c r="D343" s="617"/>
      <c r="E343" s="617"/>
      <c r="F343" s="617"/>
      <c r="G343" s="617"/>
      <c r="H343" s="617"/>
      <c r="I343" s="617"/>
      <c r="J343" s="617"/>
      <c r="K343" s="1706">
        <f>'Revenues 9-14'!J275-'Expenditures 15-22'!K342</f>
        <v>7630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5" t="s">
        <v>1053</v>
      </c>
      <c r="B368" s="2186"/>
      <c r="C368" s="655"/>
      <c r="D368" s="655"/>
      <c r="E368" s="627"/>
      <c r="F368" s="627"/>
      <c r="G368" s="627"/>
      <c r="H368" s="627"/>
      <c r="I368" s="627"/>
      <c r="J368" s="624"/>
      <c r="K368" s="1693">
        <f>'Revenues 9-14'!K275-'Expenditures 15-22'!K367</f>
        <v>4359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schemas.microsoft.com/sharepoint/v3"/>
    <ds:schemaRef ds:uri="http://purl.org/dc/elements/1.1/"/>
    <ds:schemaRef ds:uri="http://schemas.microsoft.com/office/2006/documentManagement/types"/>
    <ds:schemaRef ds:uri="6ce3111e-7420-4802-b50a-75d4e9a0b980"/>
    <ds:schemaRef ds:uri="http://purl.org/dc/dcmitype/"/>
    <ds:schemaRef ds:uri="http://www.w3.org/XML/1998/namespace"/>
    <ds:schemaRef ds:uri="4d435f69-8686-490b-bd6d-b153bf22ab50"/>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Sheet1</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2018-12-07T20:21:26Z</cp:lastPrinted>
  <dcterms:created xsi:type="dcterms:W3CDTF">2003-10-29T19:06:34Z</dcterms:created>
  <dcterms:modified xsi:type="dcterms:W3CDTF">2018-12-19T17:14:43Z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