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2" sheetId="183" r:id="rId30"/>
    <sheet name=" SEFA3" sheetId="184" r:id="rId31"/>
    <sheet name="SF&amp;QC Sec-1" sheetId="174" r:id="rId32"/>
    <sheet name="SF&amp;QC Sec-2" sheetId="175" r:id="rId33"/>
    <sheet name="SF&amp;QC Sec-2 (2)" sheetId="185" r:id="rId34"/>
    <sheet name="SF&amp;QC Sec-2 (3)" sheetId="186" r:id="rId35"/>
    <sheet name="SF&amp;QC Sec-2 (4)" sheetId="187" r:id="rId36"/>
    <sheet name="SF&amp;QC Sec-3" sheetId="176" r:id="rId37"/>
    <sheet name="SSPAF" sheetId="177" r:id="rId38"/>
  </sheets>
  <definedNames>
    <definedName name="_xlnm.Print_Area" localSheetId="28">' SEFA'!$B$1:$M$46</definedName>
    <definedName name="_xlnm.Print_Area" localSheetId="29">' SEFA2'!$B$1:$M$46</definedName>
    <definedName name="_xlnm.Print_Area" localSheetId="30">' SEFA3'!$B$1:$M$46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6">'SF&amp;QC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2" i="5" l="1"/>
  <c r="G5" i="29"/>
  <c r="G124" i="29"/>
  <c r="G182" i="29"/>
  <c r="H16" i="184" l="1"/>
  <c r="K23" i="183"/>
  <c r="J23" i="183"/>
  <c r="I23" i="183"/>
  <c r="H23" i="183"/>
  <c r="G23" i="183"/>
  <c r="F23" i="183"/>
  <c r="E23" i="183"/>
  <c r="K20" i="179" l="1"/>
  <c r="K22" i="179" s="1"/>
  <c r="K16" i="184" s="1"/>
  <c r="J20" i="179"/>
  <c r="J22" i="179" s="1"/>
  <c r="J16" i="184" s="1"/>
  <c r="I20" i="179"/>
  <c r="I22" i="179" s="1"/>
  <c r="I16" i="184" s="1"/>
  <c r="D45" i="174" s="1"/>
  <c r="G20" i="179"/>
  <c r="G22" i="179" s="1"/>
  <c r="G16" i="184" s="1"/>
  <c r="F20" i="179"/>
  <c r="F22" i="179" s="1"/>
  <c r="F16" i="184" s="1"/>
  <c r="D35" i="171" s="1"/>
  <c r="B4" i="187" l="1"/>
  <c r="B4" i="186"/>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0" i="183"/>
  <c r="L19" i="183"/>
  <c r="L18" i="183"/>
  <c r="L16" i="183"/>
  <c r="L15" i="183"/>
  <c r="L14" i="183"/>
  <c r="L13" i="183"/>
  <c r="L12" i="183"/>
  <c r="L11" i="183"/>
  <c r="B4" i="183"/>
  <c r="E20" i="179"/>
  <c r="E22" i="179" s="1"/>
  <c r="E16" i="184" s="1"/>
  <c r="L23"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5"/>
  <c r="B2" i="184"/>
  <c r="B2" i="183"/>
  <c r="B2" i="186"/>
  <c r="B1" i="184"/>
  <c r="B1" i="186"/>
  <c r="B1" i="187"/>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s="1"/>
  <c r="B6336" i="106"/>
  <c r="D6336" i="106" s="1"/>
  <c r="B6337" i="106"/>
  <c r="D6337" i="106"/>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c r="B6386" i="106"/>
  <c r="D6386" i="106" s="1"/>
  <c r="B6387" i="106"/>
  <c r="D6387" i="106" s="1"/>
  <c r="B6388" i="106"/>
  <c r="D6388" i="106" s="1"/>
  <c r="B6389" i="106"/>
  <c r="D6389" i="106"/>
  <c r="B6390" i="106"/>
  <c r="D6390" i="106" s="1"/>
  <c r="B6391" i="106"/>
  <c r="D6391" i="106" s="1"/>
  <c r="B6392" i="106"/>
  <c r="D6392" i="106" s="1"/>
  <c r="B6393" i="106"/>
  <c r="D6393" i="106"/>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c r="B6705" i="106"/>
  <c r="D6705" i="106" s="1"/>
  <c r="B6706" i="106"/>
  <c r="D6706" i="106" s="1"/>
  <c r="B6707" i="106"/>
  <c r="D6707" i="106" s="1"/>
  <c r="B6708" i="106"/>
  <c r="D6708" i="106"/>
  <c r="B6709" i="106"/>
  <c r="D6709" i="106" s="1"/>
  <c r="B6710" i="106"/>
  <c r="D6710" i="106" s="1"/>
  <c r="B6711" i="106"/>
  <c r="D6711" i="106" s="1"/>
  <c r="B6712" i="106"/>
  <c r="D6712" i="106"/>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E28" i="108"/>
  <c r="F31" i="108"/>
  <c r="F36" i="108"/>
  <c r="F37" i="108"/>
  <c r="G28" i="108"/>
  <c r="D31" i="108"/>
  <c r="D36" i="108"/>
  <c r="D37"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4102" i="106"/>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D22" i="37"/>
  <c r="L22" i="37"/>
  <c r="D24" i="37"/>
  <c r="B4270" i="106" s="1"/>
  <c r="D4270" i="106" s="1"/>
  <c r="L5" i="11"/>
  <c r="B2056" i="106" s="1"/>
  <c r="D2056" i="106" s="1"/>
  <c r="F131" i="34"/>
  <c r="B5599" i="106"/>
  <c r="D5599" i="106" s="1"/>
  <c r="B1746" i="106"/>
  <c r="D1746" i="106" s="1"/>
  <c r="D17" i="7"/>
  <c r="B4104" i="106" s="1"/>
  <c r="D4104" i="106" s="1"/>
  <c r="D11" i="7"/>
  <c r="B1768" i="106" s="1"/>
  <c r="D1768" i="106" s="1"/>
  <c r="G34" i="108" l="1"/>
  <c r="G26" i="108"/>
  <c r="D12" i="7"/>
  <c r="B1769" i="106" s="1"/>
  <c r="D1769" i="106" s="1"/>
  <c r="G5" i="4"/>
  <c r="B3409" i="106" s="1"/>
  <c r="D3409" i="106" s="1"/>
  <c r="J22" i="37"/>
  <c r="F45" i="34"/>
  <c r="F42" i="34"/>
  <c r="E26" i="108"/>
  <c r="B6995" i="106"/>
  <c r="D6995" i="106" s="1"/>
  <c r="D6103" i="106"/>
  <c r="F38" i="34"/>
  <c r="F35" i="34"/>
  <c r="H342" i="29"/>
  <c r="B7047" i="106"/>
  <c r="D7047" i="106" s="1"/>
  <c r="J129" i="29"/>
  <c r="B7038" i="106" s="1"/>
  <c r="D7038" i="106" s="1"/>
  <c r="C352" i="29"/>
  <c r="B3621" i="106" s="1"/>
  <c r="D3621" i="106" s="1"/>
  <c r="F50" i="34"/>
  <c r="D5" i="7"/>
  <c r="B1761" i="106" s="1"/>
  <c r="D1761" i="106" s="1"/>
  <c r="H109" i="5"/>
  <c r="B6025" i="106" s="1"/>
  <c r="D6025" i="106" s="1"/>
  <c r="B6289" i="106"/>
  <c r="D6289" i="106" s="1"/>
  <c r="J77" i="4"/>
  <c r="B6262" i="106" s="1"/>
  <c r="D6262" i="106" s="1"/>
  <c r="F77" i="4"/>
  <c r="B3255" i="106" s="1"/>
  <c r="D3255" i="106" s="1"/>
  <c r="E109" i="5"/>
  <c r="E4" i="4" s="1"/>
  <c r="B2630" i="106" s="1"/>
  <c r="D2630" i="106" s="1"/>
  <c r="G15" i="145"/>
  <c r="K24" i="12"/>
  <c r="B7733" i="106" s="1"/>
  <c r="D7733" i="106" s="1"/>
  <c r="C342" i="29"/>
  <c r="B7216" i="106" s="1"/>
  <c r="D7216" i="106" s="1"/>
  <c r="H365" i="29"/>
  <c r="B7242" i="106" s="1"/>
  <c r="D7242" i="106" s="1"/>
  <c r="K274" i="5"/>
  <c r="F127" i="34"/>
  <c r="I274" i="5"/>
  <c r="F128" i="34"/>
  <c r="L342" i="29"/>
  <c r="B7235" i="106"/>
  <c r="D7235" i="106" s="1"/>
  <c r="K41" i="3"/>
  <c r="I24" i="12"/>
  <c r="D5" i="4"/>
  <c r="B3406" i="106" s="1"/>
  <c r="D3406" i="106" s="1"/>
  <c r="J274" i="5"/>
  <c r="B7054" i="106" s="1"/>
  <c r="D7054" i="106" s="1"/>
  <c r="L312" i="29"/>
  <c r="F36" i="34"/>
  <c r="H29" i="118"/>
  <c r="K28" i="118" s="1"/>
  <c r="O27" i="118" s="1"/>
  <c r="O29" i="118" s="1"/>
  <c r="D11" i="37"/>
  <c r="H33" i="118"/>
  <c r="D31" i="36"/>
  <c r="D109" i="5"/>
  <c r="B5356" i="106" s="1"/>
  <c r="D5356" i="106" s="1"/>
  <c r="B7041" i="106"/>
  <c r="D7041" i="106" s="1"/>
  <c r="D15" i="7"/>
  <c r="B1772" i="106" s="1"/>
  <c r="D1772" i="106" s="1"/>
  <c r="H173" i="5"/>
  <c r="F136" i="34"/>
  <c r="I173" i="5"/>
  <c r="B4216" i="106" s="1"/>
  <c r="D4216" i="106" s="1"/>
  <c r="G109" i="5"/>
  <c r="B6024" i="106" s="1"/>
  <c r="D6024" i="106" s="1"/>
  <c r="B5096" i="106"/>
  <c r="D5096" i="106" s="1"/>
  <c r="B7205" i="106"/>
  <c r="D7205" i="106" s="1"/>
  <c r="I342" i="29"/>
  <c r="B7222" i="106" s="1"/>
  <c r="D7222" i="106" s="1"/>
  <c r="D7" i="7"/>
  <c r="B1763" i="106" s="1"/>
  <c r="D1763" i="106" s="1"/>
  <c r="D9" i="7"/>
  <c r="B1767" i="106" s="1"/>
  <c r="D1767" i="106" s="1"/>
  <c r="F172" i="5"/>
  <c r="B5644" i="106" s="1"/>
  <c r="D5644" i="106" s="1"/>
  <c r="L367" i="29"/>
  <c r="D7245" i="106"/>
  <c r="K173" i="5"/>
  <c r="K6" i="4" s="1"/>
  <c r="B3570" i="106" s="1"/>
  <c r="D3570" i="106" s="1"/>
  <c r="G172" i="5"/>
  <c r="B6191" i="106"/>
  <c r="D6191" i="106" s="1"/>
  <c r="J41" i="3"/>
  <c r="B6216" i="106" s="1"/>
  <c r="D6216" i="106" s="1"/>
  <c r="H76" i="4"/>
  <c r="B3298" i="106" s="1"/>
  <c r="D3298" i="106" s="1"/>
  <c r="K285" i="29"/>
  <c r="E174" i="29"/>
  <c r="B1309" i="106" s="1"/>
  <c r="D1309" i="106" s="1"/>
  <c r="C129" i="29"/>
  <c r="B1225" i="106" s="1"/>
  <c r="D1225" i="106" s="1"/>
  <c r="K350" i="29"/>
  <c r="B3670" i="106" s="1"/>
  <c r="D3670" i="106" s="1"/>
  <c r="F21" i="8"/>
  <c r="B1126" i="106"/>
  <c r="D1126" i="106" s="1"/>
  <c r="F130" i="34"/>
  <c r="D54" i="36"/>
  <c r="L15" i="11"/>
  <c r="B3459" i="106" s="1"/>
  <c r="D3459" i="106" s="1"/>
  <c r="L13" i="11"/>
  <c r="B2060" i="106" s="1"/>
  <c r="D2060" i="106" s="1"/>
  <c r="G210" i="29"/>
  <c r="B1365" i="106" s="1"/>
  <c r="D1365" i="106" s="1"/>
  <c r="D68" i="36"/>
  <c r="B5886" i="106"/>
  <c r="D5886" i="106" s="1"/>
  <c r="D69" i="36"/>
  <c r="K26" i="12"/>
  <c r="B7743" i="106" s="1"/>
  <c r="D7743" i="106" s="1"/>
  <c r="F19" i="7"/>
  <c r="B1807" i="106" s="1"/>
  <c r="D1807" i="106" s="1"/>
  <c r="H4" i="4"/>
  <c r="B2655" i="106" s="1"/>
  <c r="D2655" i="106" s="1"/>
  <c r="F111" i="34"/>
  <c r="F106" i="34"/>
  <c r="C172" i="5"/>
  <c r="B5214" i="106" s="1"/>
  <c r="D5214" i="106" s="1"/>
  <c r="B3649" i="106"/>
  <c r="D3649" i="106" s="1"/>
  <c r="G367" i="29"/>
  <c r="B3650" i="106" s="1"/>
  <c r="D3650" i="106" s="1"/>
  <c r="B1410" i="106"/>
  <c r="D1410" i="106" s="1"/>
  <c r="F66" i="34"/>
  <c r="F65" i="34"/>
  <c r="E29" i="108"/>
  <c r="G29" i="108"/>
  <c r="K184" i="29"/>
  <c r="F13" i="4" s="1"/>
  <c r="B2596" i="106" s="1"/>
  <c r="D2596" i="106" s="1"/>
  <c r="B1329" i="106"/>
  <c r="D1329" i="106" s="1"/>
  <c r="F61" i="34"/>
  <c r="F28" i="108"/>
  <c r="F41" i="108" s="1"/>
  <c r="G43" i="108" s="1"/>
  <c r="E30" i="108"/>
  <c r="D27" i="108"/>
  <c r="D41" i="108" s="1"/>
  <c r="E43" i="108" s="1"/>
  <c r="G30" i="108"/>
  <c r="F34" i="34"/>
  <c r="D4" i="4"/>
  <c r="B2564" i="106" s="1"/>
  <c r="D2564" i="106" s="1"/>
  <c r="D13" i="7"/>
  <c r="B3726" i="106" s="1"/>
  <c r="D3726" i="106" s="1"/>
  <c r="D4" i="7"/>
  <c r="B1760" i="106" s="1"/>
  <c r="D1760"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H77" i="4" l="1"/>
  <c r="B3299" i="106" s="1"/>
  <c r="D3299" i="106" s="1"/>
  <c r="H275" i="5"/>
  <c r="J151" i="29"/>
  <c r="B7052" i="106" s="1"/>
  <c r="D7052" i="106" s="1"/>
  <c r="C367" i="29"/>
  <c r="B3622" i="106" s="1"/>
  <c r="D3622" i="106" s="1"/>
  <c r="F173" i="5"/>
  <c r="F275" i="5" s="1"/>
  <c r="B5720" i="106" s="1"/>
  <c r="D5720" i="106" s="1"/>
  <c r="B3568" i="106"/>
  <c r="D3568" i="106" s="1"/>
  <c r="D52" i="36"/>
  <c r="I26" i="12"/>
  <c r="B7741" i="106" s="1"/>
  <c r="D7741" i="106" s="1"/>
  <c r="B1996" i="106"/>
  <c r="D1996" i="106" s="1"/>
  <c r="B5906" i="106"/>
  <c r="D5906" i="106" s="1"/>
  <c r="H6" i="4"/>
  <c r="B2656" i="106" s="1"/>
  <c r="D2656" i="106" s="1"/>
  <c r="D7253" i="106"/>
  <c r="B5914" i="106"/>
  <c r="D5914" i="106" s="1"/>
  <c r="D7254" i="106"/>
  <c r="D7250" i="106"/>
  <c r="F274" i="5"/>
  <c r="B5719" i="106" s="1"/>
  <c r="D5719" i="106" s="1"/>
  <c r="G4" i="4"/>
  <c r="B2603" i="106" s="1"/>
  <c r="D2603" i="106" s="1"/>
  <c r="K352" i="29"/>
  <c r="K13" i="4" s="1"/>
  <c r="B3572" i="106" s="1"/>
  <c r="D3572" i="106" s="1"/>
  <c r="B1879" i="106"/>
  <c r="D1879" i="106" s="1"/>
  <c r="H22" i="37"/>
  <c r="F73" i="34"/>
  <c r="G15" i="4"/>
  <c r="B6032" i="106" s="1"/>
  <c r="D6032" i="106" s="1"/>
  <c r="G173" i="5"/>
  <c r="B5770" i="106"/>
  <c r="D5770" i="106" s="1"/>
  <c r="D7256" i="106"/>
  <c r="D7251" i="106"/>
  <c r="H367" i="29"/>
  <c r="B3660" i="106" s="1"/>
  <c r="D3660" i="106" s="1"/>
  <c r="H8" i="4"/>
  <c r="B2658" i="106" s="1"/>
  <c r="D2658" i="106" s="1"/>
  <c r="L16" i="11"/>
  <c r="B2061" i="106" s="1"/>
  <c r="D2061" i="106" s="1"/>
  <c r="C173" i="5"/>
  <c r="K342" i="29"/>
  <c r="F13" i="34" s="1"/>
  <c r="B1381" i="106"/>
  <c r="D1381" i="106" s="1"/>
  <c r="B1317" i="106"/>
  <c r="D1317" i="106" s="1"/>
  <c r="L114" i="29"/>
  <c r="C114" i="29"/>
  <c r="B757" i="106" s="1"/>
  <c r="D757"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H10" i="4"/>
  <c r="B4127" i="106" s="1"/>
  <c r="D4127" i="106" s="1"/>
  <c r="D7" i="4"/>
  <c r="B5507" i="106"/>
  <c r="D5507" i="106" s="1"/>
  <c r="B7298" i="106"/>
  <c r="B7299" i="106"/>
  <c r="B7224" i="106" l="1"/>
  <c r="D7224" i="106" s="1"/>
  <c r="J17" i="4"/>
  <c r="F6" i="4"/>
  <c r="B2593" i="106" s="1"/>
  <c r="D2593" i="106" s="1"/>
  <c r="B5653" i="106"/>
  <c r="D5653" i="106" s="1"/>
  <c r="B5778" i="106"/>
  <c r="D5778" i="106" s="1"/>
  <c r="G6" i="4"/>
  <c r="B2604" i="106" s="1"/>
  <c r="D2604" i="106" s="1"/>
  <c r="J8" i="4"/>
  <c r="J10" i="4" s="1"/>
  <c r="B6225" i="106" s="1"/>
  <c r="D6225" i="106" s="1"/>
  <c r="B3672" i="106"/>
  <c r="D3672" i="106" s="1"/>
  <c r="K367" i="29"/>
  <c r="F8" i="4"/>
  <c r="B2595" i="106" s="1"/>
  <c r="D2595" i="106" s="1"/>
  <c r="B5223" i="106"/>
  <c r="D5223" i="106" s="1"/>
  <c r="C6" i="4"/>
  <c r="B2553" i="106" s="1"/>
  <c r="D2553"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D8" i="4" l="1"/>
  <c r="B6223" i="106"/>
  <c r="D6223" i="106" s="1"/>
  <c r="F76" i="34"/>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<sst xmlns="http://schemas.openxmlformats.org/spreadsheetml/2006/main" count="5368" uniqueCount="2215">
  <si>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</si>
  <si>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</si>
  <si>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</si>
  <si>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</si>
  <si>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</si>
  <si>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</si>
  <si>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</si>
  <si>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</si>
  <si>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</si>
  <si>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</si>
  <si>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</si>
  <si>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</si>
  <si>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</si>
  <si>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</si>
  <si>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</si>
  <si>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</si>
  <si>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</si>
  <si>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</si>
  <si>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</si>
  <si>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</si>
  <si>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</si>
  <si>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</si>
  <si>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</si>
  <si>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</si>
  <si>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</si>
  <si>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</si>
  <si>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</si>
  <si>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</si>
  <si>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</si>
  <si>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</si>
  <si>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</si>
  <si>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</si>
  <si>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</si>
  <si>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</si>
  <si>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</si>
  <si>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</si>
  <si>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</si>
  <si>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</si>
  <si>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</si>
  <si>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</si>
  <si>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</si>
  <si>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</si>
  <si>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</si>
  <si>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</si>
  <si>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</si>
  <si>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</si>
  <si>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</si>
  <si>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</si>
  <si>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</si>
  <si>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</si>
  <si>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</si>
  <si>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</si>
  <si>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</si>
  <si>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</si>
  <si>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</si>
  <si>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</si>
  <si>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</si>
  <si>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</si>
  <si>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</si>
  <si>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</si>
  <si>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</si>
  <si>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</si>
  <si>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</si>
  <si>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</si>
  <si>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</si>
  <si>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</si>
  <si>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</si>
  <si>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</si>
  <si>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</si>
  <si>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</si>
  <si>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</si>
  <si>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</si>
  <si>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</si>
  <si>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</si>
  <si>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</si>
  <si>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</si>
  <si>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</si>
  <si>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</si>
  <si>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</si>
  <si>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</si>
  <si>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</si>
  <si>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</si>
  <si>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</si>
  <si>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</si>
  <si>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</si>
  <si>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</si>
  <si>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</si>
  <si>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</si>
  <si>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</si>
  <si>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</si>
  <si>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</si>
  <si>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</si>
  <si>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</si>
  <si>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</si>
  <si>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</si>
  <si>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</si>
  <si>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</si>
  <si>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</si>
  <si>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</si>
  <si>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</si>
  <si>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</si>
  <si>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</si>
  <si>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</si>
  <si>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</si>
  <si>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</si>
  <si>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</si>
  <si>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</si>
  <si>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</si>
  <si>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</si>
  <si>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</si>
  <si>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</si>
  <si>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</si>
  <si>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</si>
  <si>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</si>
  <si>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</si>
  <si>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</si>
  <si>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</si>
  <si>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</si>
  <si>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</si>
  <si>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</si>
  <si>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</si>
  <si>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</si>
  <si>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</si>
  <si>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</si>
  <si>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</si>
  <si>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</si>
  <si>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</si>
  <si>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</si>
  <si>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</si>
  <si>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</si>
  <si>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</si>
  <si>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</si>
  <si>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</si>
  <si>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</si>
  <si>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</si>
  <si>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</si>
  <si>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</si>
  <si>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</si>
  <si>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</si>
  <si>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</si>
  <si>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</si>
  <si>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</si>
  <si>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</si>
  <si>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</si>
  <si>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</si>
  <si>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</si>
  <si>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</si>
  <si>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</si>
  <si>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</si>
  <si>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</si>
  <si>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</si>
  <si>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</si>
  <si>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</si>
  <si>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</si>
  <si>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</si>
  <si>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</si>
  <si>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</si>
  <si>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</si>
  <si>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</si>
  <si>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</si>
  <si>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</si>
  <si>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</si>
  <si>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</si>
  <si>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</si>
  <si>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</si>
  <si>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</si>
  <si>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</si>
  <si>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</si>
  <si>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</si>
  <si>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</si>
  <si>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</si>
  <si>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</si>
  <si>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</si>
  <si>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</si>
  <si>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</si>
  <si>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</si>
  <si>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</si>
  <si>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</si>
  <si>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</si>
  <si>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</si>
  <si>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</si>
  <si>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</si>
  <si>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</si>
  <si>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</si>
  <si>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</si>
  <si>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</si>
  <si>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</si>
  <si>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</si>
  <si>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</si>
  <si>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</si>
  <si>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</si>
  <si>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</si>
  <si>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</si>
  <si>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</si>
  <si>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</si>
  <si>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</si>
  <si>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</si>
  <si>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</si>
  <si>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</si>
  <si>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</si>
  <si>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</si>
  <si>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</si>
  <si>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</si>
  <si>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</si>
  <si>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</si>
  <si>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</si>
  <si>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</si>
  <si>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</si>
  <si>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</si>
  <si>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</si>
  <si>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</si>
  <si>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</si>
  <si>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</si>
  <si>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</si>
  <si>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</si>
  <si>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</si>
  <si>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</si>
  <si>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</si>
  <si>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</si>
  <si>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</si>
  <si>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</si>
  <si>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</si>
  <si>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</si>
  <si>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</si>
  <si>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</si>
  <si>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</si>
  <si>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</si>
  <si>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</si>
  <si>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</si>
  <si>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</si>
  <si>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</si>
  <si>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</si>
  <si>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</si>
  <si>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</si>
  <si>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</si>
  <si>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</si>
  <si>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</si>
  <si>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</si>
  <si>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</si>
  <si>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</si>
  <si>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</si>
  <si>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</si>
  <si>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</si>
  <si>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</si>
  <si>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</si>
  <si>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</si>
  <si>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</si>
  <si>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</si>
  <si>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</si>
  <si>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</si>
  <si>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</si>
  <si>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</si>
  <si>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</si>
  <si>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</si>
  <si>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</si>
  <si>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</si>
  <si>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</si>
  <si>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</si>
  <si>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</si>
  <si>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</si>
  <si>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</si>
  <si>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</si>
  <si>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</si>
  <si>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</si>
  <si>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</si>
  <si>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</si>
  <si>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</si>
  <si>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</si>
  <si>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</si>
  <si>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</si>
  <si>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</si>
  <si>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</si>
  <si>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</si>
  <si>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</si>
  <si>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</si>
  <si>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</si>
  <si>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</si>
  <si>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</si>
  <si>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</si>
  <si>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</si>
  <si>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</si>
  <si>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</si>
  <si>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</si>
  <si>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</si>
  <si>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</si>
  <si>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</si>
  <si>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</si>
  <si>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</si>
  <si>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</si>
  <si>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</si>
  <si>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</si>
  <si>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</si>
  <si>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</si>
  <si>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</si>
  <si>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</si>
  <si>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</si>
  <si>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</si>
  <si>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</si>
  <si>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</si>
  <si>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</si>
  <si>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</si>
  <si>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</si>
  <si>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</si>
  <si>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</si>
  <si>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</si>
  <si>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</si>
  <si>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</si>
  <si>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</si>
  <si>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</si>
  <si>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</si>
  <si>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</si>
  <si>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</si>
  <si>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</si>
  <si>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</si>
  <si>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</si>
  <si>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</si>
  <si>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</si>
  <si>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</si>
  <si>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</si>
  <si>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</si>
  <si>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</si>
  <si>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</si>
  <si>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</si>
  <si>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</si>
  <si>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</si>
  <si>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</si>
  <si>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</si>
  <si>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</si>
  <si>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</si>
  <si>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</si>
  <si>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</si>
  <si>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</si>
  <si>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</si>
  <si>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</si>
  <si>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</si>
  <si>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</si>
  <si>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</si>
  <si>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</si>
  <si>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</si>
  <si>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</si>
  <si>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</si>
  <si>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</si>
  <si>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</si>
  <si>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</si>
  <si>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</si>
  <si>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</si>
  <si>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</si>
  <si>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</si>
  <si>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</si>
  <si>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</si>
  <si>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</si>
  <si>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</si>
  <si>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</si>
  <si>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</si>
  <si>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</si>
  <si>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</si>
  <si>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</si>
  <si>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</si>
  <si>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</si>
  <si>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</si>
  <si>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</si>
  <si>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</si>
  <si>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</si>
  <si>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</si>
  <si>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</si>
  <si>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</si>
  <si>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</si>
  <si>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</si>
  <si>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</si>
  <si>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</si>
  <si>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</si>
  <si>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</si>
  <si>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</si>
  <si>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</si>
  <si>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</si>
  <si>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</si>
  <si>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</si>
  <si>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</si>
  <si>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</si>
  <si>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</si>
  <si>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</si>
  <si>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</si>
  <si>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</si>
  <si>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</si>
  <si>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</si>
  <si>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</si>
  <si>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</si>
  <si>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</si>
  <si>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</si>
  <si>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</si>
  <si>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</si>
  <si>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</si>
  <si>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</si>
  <si>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</si>
  <si>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</si>
  <si>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</si>
  <si>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</si>
  <si>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</si>
  <si>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</si>
  <si>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</si>
  <si>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</si>
  <si>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</si>
  <si>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</si>
  <si>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</si>
  <si>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</si>
  <si>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</si>
  <si>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</si>
  <si>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</si>
  <si>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</si>
  <si>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</si>
  <si>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</si>
  <si>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</si>
  <si>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</si>
  <si>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</si>
  <si>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</si>
  <si>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</si>
  <si>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</si>
  <si>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</si>
  <si>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</si>
  <si>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</si>
  <si>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</si>
  <si>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</si>
  <si>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</si>
  <si>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</si>
  <si>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</si>
  <si>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</si>
  <si>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</si>
  <si>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</si>
  <si>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</si>
  <si>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</si>
  <si>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</si>
  <si>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</si>
  <si>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</si>
  <si>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</si>
  <si>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</si>
  <si>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</si>
  <si>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</si>
  <si>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</si>
  <si>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</si>
  <si>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</si>
  <si>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</si>
  <si>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</si>
  <si>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</si>
  <si>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</si>
  <si>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</si>
  <si>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</si>
  <si>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</si>
  <si>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</si>
  <si>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</si>
  <si>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</si>
  <si>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</si>
  <si>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</si>
  <si>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</si>
  <si>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</si>
  <si>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</si>
  <si>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</si>
  <si>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</si>
  <si>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</si>
  <si>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</si>
  <si>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</si>
  <si>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</si>
  <si>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</si>
  <si>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</si>
  <si>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</si>
  <si>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</si>
  <si>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</si>
  <si>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</si>
  <si>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</si>
  <si>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</si>
  <si>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</si>
  <si>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</si>
  <si>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</si>
  <si>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</si>
  <si>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</si>
  <si>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</si>
  <si>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</si>
  <si>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</si>
  <si>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</si>
  <si>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</si>
  <si>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</si>
  <si>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</si>
  <si>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</si>
  <si>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</si>
  <si>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</si>
  <si>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</si>
  <si>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</si>
  <si>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</si>
  <si>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</si>
  <si>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</si>
  <si>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</si>
  <si>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</si>
  <si>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</si>
  <si>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</si>
  <si>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</si>
  <si>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</si>
  <si>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</si>
  <si>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</si>
  <si>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</si>
  <si>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</si>
  <si>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</si>
  <si>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</si>
  <si>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</si>
  <si>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</si>
  <si>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</si>
  <si>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</si>
  <si>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</si>
  <si>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</si>
  <si>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</si>
  <si>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</si>
  <si>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</si>
  <si>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</si>
  <si>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</si>
  <si>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</si>
  <si>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</si>
  <si>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</si>
  <si>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</si>
  <si>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</si>
  <si>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</si>
  <si>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</si>
  <si>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</si>
  <si>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</si>
  <si>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</si>
  <si>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</si>
  <si>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</si>
  <si>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</si>
  <si>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</si>
  <si>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</si>
  <si>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</si>
  <si>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</si>
  <si>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</si>
  <si>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</si>
  <si>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</si>
  <si>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</si>
  <si>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</si>
  <si>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</si>
  <si>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</si>
  <si>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</si>
  <si>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</si>
  <si>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</si>
  <si>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</si>
  <si>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</si>
  <si>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</si>
  <si>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</si>
  <si>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</si>
  <si>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</si>
  <si>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</si>
  <si>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</si>
  <si>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</si>
  <si>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</si>
  <si>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</si>
  <si>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</si>
  <si>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</si>
  <si>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</si>
  <si>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</si>
  <si>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</si>
  <si>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</si>
  <si>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</si>
  <si>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</si>
  <si>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</si>
  <si>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</si>
  <si>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</si>
  <si>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</si>
  <si>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</si>
  <si>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</si>
  <si>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</si>
  <si>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</si>
  <si>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</si>
  <si>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</si>
  <si>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</si>
  <si>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</si>
  <si>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</si>
  <si>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</si>
  <si>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</si>
  <si>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</si>
  <si>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</si>
  <si>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</si>
  <si>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</si>
  <si>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</si>
  <si>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</si>
  <si>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</si>
  <si>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</si>
  <si>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</si>
  <si>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</si>
  <si>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</si>
  <si>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</si>
  <si>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</si>
  <si>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</si>
  <si>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</si>
  <si>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</si>
  <si>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</si>
  <si>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</si>
  <si>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</si>
  <si>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</si>
  <si>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</si>
  <si>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</si>
  <si>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</si>
  <si>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</si>
  <si>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</si>
  <si>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</si>
  <si>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</si>
  <si>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</si>
  <si>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</si>
  <si>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</si>
  <si>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</si>
  <si>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</si>
  <si>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</si>
  <si>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</si>
  <si>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</si>
  <si>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</si>
  <si>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</si>
  <si>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</si>
  <si>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</si>
  <si>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</si>
  <si>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</si>
  <si>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</si>
  <si>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</si>
  <si>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</si>
  <si>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</si>
  <si>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</si>
  <si>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</si>
  <si>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</si>
  <si>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</si>
  <si>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</si>
  <si>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</si>
  <si>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</si>
  <si>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</si>
  <si>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</si>
  <si>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</si>
  <si>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</si>
  <si>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</si>
  <si>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</si>
  <si>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</si>
  <si>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</si>
  <si>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</si>
  <si>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</si>
  <si>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</si>
  <si>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</si>
  <si>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</si>
  <si>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</si>
  <si>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</si>
  <si>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</si>
  <si>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</si>
  <si>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</si>
  <si>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</si>
  <si>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</si>
  <si>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</si>
  <si>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</si>
  <si>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</si>
  <si>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</si>
  <si>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</si>
  <si>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</si>
  <si>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</si>
  <si>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</si>
  <si>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</si>
  <si>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</si>
  <si>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</si>
  <si>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</si>
  <si>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</si>
  <si>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</si>
  <si>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</si>
  <si>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</si>
  <si>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</si>
  <si>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</si>
  <si>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</si>
  <si>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</si>
  <si>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</si>
  <si>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</si>
  <si>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</si>
  <si>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</si>
  <si>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</si>
  <si>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</si>
  <si>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</si>
  <si>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</si>
  <si>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</si>
  <si>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</si>
  <si>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</si>
  <si>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</si>
  <si>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</si>
  <si>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</si>
  <si>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</si>
  <si>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</si>
  <si>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</si>
  <si>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</si>
  <si>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</si>
  <si>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</si>
  <si>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</si>
  <si>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</si>
  <si>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</si>
  <si>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</si>
  <si>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</si>
  <si>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</si>
  <si>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</si>
  <si>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</si>
  <si>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</si>
  <si>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</si>
  <si>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</si>
  <si>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</si>
  <si>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</si>
  <si>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</si>
  <si>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</si>
  <si>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</si>
  <si>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</si>
  <si>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</si>
  <si>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</si>
  <si>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</si>
  <si>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</si>
  <si>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</si>
  <si>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</si>
  <si>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</si>
  <si>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</si>
  <si>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</si>
  <si>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</si>
  <si>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</si>
  <si>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</si>
  <si>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</si>
  <si>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</si>
  <si>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</si>
  <si>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</si>
  <si>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</si>
  <si>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</si>
  <si>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</si>
  <si>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</si>
  <si>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</si>
  <si>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</si>
  <si>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</si>
  <si>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</si>
  <si>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</si>
  <si>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</si>
  <si>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</si>
  <si>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</si>
  <si>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</si>
  <si>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</si>
  <si>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</si>
  <si>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</si>
  <si>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</si>
  <si>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</si>
  <si>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</si>
  <si>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</si>
  <si>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</si>
  <si>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</si>
  <si>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</si>
  <si>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</si>
  <si>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</si>
  <si>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</si>
  <si>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</si>
  <si>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</si>
  <si>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</si>
  <si>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</si>
  <si>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</si>
  <si>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</si>
  <si>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</si>
  <si>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</si>
  <si>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</si>
  <si>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</si>
  <si>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</si>
  <si>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</si>
  <si>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</si>
  <si>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</si>
  <si>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</si>
  <si>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</si>
  <si>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</si>
  <si>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</si>
  <si>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</si>
  <si>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</si>
  <si>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</si>
  <si>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</si>
  <si>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</si>
  <si>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</si>
  <si>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</si>
  <si>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</si>
  <si>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</si>
  <si>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</si>
  <si>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</si>
  <si>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</si>
  <si>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</si>
  <si>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</si>
  <si>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</si>
  <si>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</si>
  <si>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</si>
  <si>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</si>
  <si>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</si>
  <si>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</si>
  <si>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</si>
  <si>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</si>
  <si>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</si>
  <si>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</si>
  <si>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</si>
  <si>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</si>
  <si>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</si>
  <si>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</si>
  <si>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</si>
  <si>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</si>
  <si>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</si>
  <si>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</si>
  <si>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</si>
  <si>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</si>
  <si>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</si>
  <si>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</si>
  <si>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</si>
  <si>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</si>
  <si>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</si>
  <si>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</si>
  <si>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</si>
  <si>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</si>
  <si>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</si>
  <si>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</si>
  <si>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</si>
  <si>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</si>
  <si>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</si>
  <si>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</si>
  <si>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</si>
  <si>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</si>
  <si>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</si>
  <si>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</si>
  <si>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</si>
  <si>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</si>
  <si>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</si>
  <si>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</si>
  <si>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</si>
  <si>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</si>
  <si>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</si>
  <si>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</si>
  <si>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</si>
  <si>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</si>
  <si>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</si>
  <si>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</si>
  <si>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</si>
  <si>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</si>
  <si>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</si>
  <si>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</si>
  <si>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</si>
  <si>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</si>
  <si>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</si>
  <si>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</si>
  <si>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</si>
  <si>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</si>
  <si>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</si>
  <si>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</si>
  <si>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</si>
  <si>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</si>
  <si>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</si>
  <si>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</si>
  <si>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</si>
  <si>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</si>
  <si>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</si>
  <si>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</si>
  <si>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</si>
  <si>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</si>
  <si>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</si>
  <si>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</si>
  <si>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</si>
  <si>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</si>
  <si>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</si>
  <si>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</si>
  <si>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</si>
  <si>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</si>
  <si>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</si>
  <si>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</si>
  <si>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</si>
  <si>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</si>
  <si>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</si>
  <si>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</si>
  <si>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</si>
  <si>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</si>
  <si>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</si>
  <si>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</si>
  <si>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</si>
  <si>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</si>
  <si>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</si>
  <si>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</si>
  <si>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</si>
  <si>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</si>
  <si>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</si>
  <si>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</si>
  <si>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</si>
  <si>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</si>
  <si>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</si>
  <si>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</si>
  <si>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</si>
  <si>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</si>
  <si>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</si>
  <si>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</si>
  <si>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</si>
  <si>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</si>
  <si>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</si>
  <si>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</si>
  <si>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</si>
  <si>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</si>
  <si>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</si>
  <si>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</si>
  <si>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</si>
  <si>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</si>
  <si>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</si>
  <si>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</si>
  <si>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</si>
  <si>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</si>
  <si>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</si>
  <si>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</si>
  <si>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</si>
  <si>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</si>
  <si>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</si>
  <si>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</si>
  <si>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</si>
  <si>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</si>
  <si>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</si>
  <si>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</si>
  <si>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</si>
  <si>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</si>
  <si>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</si>
  <si>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</si>
  <si>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</si>
  <si>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</si>
  <si>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</si>
  <si>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</si>
  <si>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</si>
  <si>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</si>
  <si>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</si>
  <si>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</si>
  <si>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</si>
  <si>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</si>
  <si>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</si>
  <si>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</si>
  <si>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</si>
  <si>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</si>
  <si>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</si>
  <si>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</si>
  <si>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</si>
  <si>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</si>
  <si>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</si>
  <si>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</si>
  <si>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</si>
  <si>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</si>
  <si>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</si>
  <si>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</si>
  <si>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</si>
  <si>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</si>
  <si>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</si>
  <si>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</si>
  <si>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</si>
  <si>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</si>
  <si>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</si>
  <si>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</si>
  <si>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</si>
  <si>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</si>
  <si>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</si>
  <si>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</si>
  <si>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</si>
  <si>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</si>
  <si>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</si>
  <si>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</si>
  <si>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</si>
  <si>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</si>
  <si>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</si>
  <si>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</si>
  <si>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</si>
  <si>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</si>
  <si>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</si>
  <si>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</si>
  <si>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</si>
  <si>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</si>
  <si>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</si>
  <si>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</si>
  <si>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</si>
  <si>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</si>
  <si>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</si>
  <si>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</si>
  <si>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</si>
  <si>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</si>
  <si>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</si>
  <si>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</si>
  <si>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</si>
  <si>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</si>
  <si>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</si>
  <si>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</si>
  <si>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</si>
  <si>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</si>
  <si>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</si>
  <si>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</si>
  <si>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</si>
  <si>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</si>
  <si>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</si>
  <si>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</si>
  <si>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</si>
  <si>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</si>
  <si>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</si>
  <si>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</si>
  <si>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</si>
  <si>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</si>
  <si>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</si>
  <si>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</si>
  <si>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</si>
  <si>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</si>
  <si>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</si>
  <si>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</si>
  <si>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</si>
  <si>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</si>
  <si>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</si>
  <si>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</si>
  <si>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</si>
  <si>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</si>
  <si>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</si>
  <si>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</si>
  <si>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</si>
  <si>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</si>
  <si>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</si>
  <si>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</si>
  <si>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</si>
  <si>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</si>
  <si>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</si>
  <si>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</si>
  <si>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</si>
  <si>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</si>
  <si>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</si>
  <si>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</si>
  <si>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</si>
  <si>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</si>
  <si>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</si>
  <si>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</si>
  <si>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</si>
  <si>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</si>
  <si>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</si>
  <si>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</si>
  <si>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</si>
  <si>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</si>
  <si>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</si>
  <si>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</si>
  <si>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</si>
  <si>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</si>
  <si>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</si>
  <si>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</si>
  <si>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</si>
  <si>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</si>
  <si>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</si>
  <si>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</si>
  <si>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</si>
  <si>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</si>
  <si>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</si>
  <si>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</si>
  <si>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</si>
  <si>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</si>
  <si>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</si>
  <si>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</si>
  <si>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</si>
  <si>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</si>
  <si>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</si>
  <si>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</si>
  <si>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</si>
  <si>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</si>
  <si>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</si>
  <si>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</si>
  <si>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</si>
  <si>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</si>
  <si>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</si>
  <si>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</si>
  <si>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</si>
  <si>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</si>
  <si>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</si>
  <si>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</si>
  <si>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</si>
  <si>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</si>
  <si>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</si>
  <si>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</si>
  <si>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</si>
  <si>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</si>
  <si>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</si>
  <si>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</si>
  <si>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</si>
  <si>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</si>
  <si>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</si>
  <si>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</si>
  <si>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</si>
  <si>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</si>
  <si>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</si>
  <si>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</si>
  <si>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</si>
  <si>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</si>
  <si>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</si>
  <si>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</si>
  <si>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</si>
  <si>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</si>
  <si>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</si>
  <si>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</si>
  <si>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</si>
  <si>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</si>
  <si>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</si>
  <si>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</si>
  <si>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</si>
  <si>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</si>
  <si>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</si>
  <si>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</si>
  <si>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</si>
  <si>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</si>
  <si>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</si>
  <si>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</si>
  <si>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</si>
  <si>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</si>
  <si>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</si>
  <si>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</si>
  <si>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</si>
  <si>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</si>
  <si>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</si>
  <si>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</si>
  <si>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</si>
  <si>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</si>
  <si>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</si>
  <si>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</si>
  <si>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</si>
  <si>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</si>
  <si>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</si>
  <si>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</si>
  <si>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</si>
  <si>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</si>
  <si>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</si>
  <si>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</si>
  <si>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</si>
  <si>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</si>
  <si>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</si>
  <si>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</si>
  <si>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</si>
  <si>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</si>
  <si>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</si>
  <si>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</si>
  <si>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</si>
  <si>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</si>
  <si>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</si>
  <si>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</si>
  <si>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</si>
  <si>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</si>
  <si>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</si>
  <si>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</si>
  <si>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</si>
  <si>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</si>
  <si>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</si>
  <si>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</si>
  <si>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</si>
  <si>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</si>
  <si>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</si>
  <si>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</si>
  <si>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</si>
  <si>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</si>
  <si>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</si>
  <si>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</si>
  <si>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</si>
  <si>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</si>
  <si>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</si>
  <si>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</si>
  <si>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</si>
  <si>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</si>
  <si>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</si>
  <si>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</si>
  <si>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</si>
  <si>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</si>
  <si>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</si>
  <si>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</si>
  <si>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</si>
  <si>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</si>
  <si>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</si>
  <si>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</si>
  <si>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</si>
  <si>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</si>
  <si>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</si>
  <si>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</si>
  <si>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</si>
  <si>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</si>
  <si>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</si>
  <si>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</si>
  <si>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</si>
  <si>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</si>
  <si>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</si>
  <si>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</si>
  <si>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</si>
  <si>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</si>
  <si>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</si>
  <si>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</si>
  <si>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</si>
  <si>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</si>
  <si>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</si>
  <si>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</si>
  <si>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</si>
  <si>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</si>
  <si>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</si>
  <si>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</si>
  <si>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</si>
  <si>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</si>
  <si>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</si>
  <si>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</si>
  <si>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</si>
  <si>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</si>
  <si>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</si>
  <si>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</si>
  <si>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</si>
  <si>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</si>
  <si>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</si>
  <si>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</si>
  <si>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</si>
  <si>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</si>
  <si>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</si>
  <si>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</si>
  <si>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</si>
  <si>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</si>
  <si>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</si>
  <si>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</si>
  <si>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</si>
  <si>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</si>
  <si>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</si>
  <si>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</si>
  <si>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</si>
  <si>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</si>
  <si>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</si>
  <si>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</si>
  <si>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</si>
  <si>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</si>
  <si>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</si>
  <si>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</si>
  <si>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</si>
  <si>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</si>
  <si>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</si>
  <si>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</si>
  <si>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</si>
  <si>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</si>
  <si>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</si>
  <si>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</si>
  <si>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</si>
  <si>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</si>
  <si>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</si>
  <si>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</si>
  <si>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</si>
  <si>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</si>
  <si>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</si>
  <si>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</si>
  <si>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</si>
  <si>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</si>
  <si>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</si>
  <si>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</si>
  <si>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</si>
  <si>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</si>
  <si>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</si>
  <si>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</si>
  <si>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</si>
  <si>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</si>
  <si>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</si>
  <si>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</si>
  <si>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</si>
  <si>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</si>
  <si>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</si>
  <si>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</si>
  <si>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</si>
  <si>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</si>
  <si>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</si>
  <si>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</si>
  <si>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</si>
  <si>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</si>
  <si>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</si>
  <si>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</si>
  <si>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</si>
  <si>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</si>
  <si>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</si>
  <si>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</si>
  <si>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</si>
  <si>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</si>
  <si>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</si>
  <si>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</si>
  <si>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</si>
  <si>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</si>
  <si>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</si>
  <si>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</si>
  <si>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</si>
  <si>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</si>
  <si>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</si>
  <si>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</si>
  <si>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</si>
  <si>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</si>
  <si>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</si>
  <si>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</si>
  <si>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</si>
  <si>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</si>
  <si>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</si>
  <si>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</si>
  <si>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</si>
  <si>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</si>
  <si>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</si>
  <si>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</si>
  <si>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</si>
  <si>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</si>
  <si>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</si>
  <si>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</si>
  <si>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</si>
  <si>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</si>
  <si>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</si>
  <si>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</si>
  <si>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</si>
  <si>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</si>
  <si>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</si>
  <si>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</si>
  <si>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</si>
  <si>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</si>
  <si>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</si>
  <si>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</si>
  <si>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</si>
  <si>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</si>
  <si>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</si>
  <si>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</si>
  <si>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</si>
  <si>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</si>
  <si>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</si>
  <si>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</si>
  <si>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</si>
  <si>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</si>
  <si>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</si>
  <si>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</si>
  <si>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</si>
  <si>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</si>
  <si>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</si>
  <si>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</si>
  <si>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</si>
  <si>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</si>
  <si>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</si>
  <si>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</si>
  <si>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</si>
  <si>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</si>
  <si>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</si>
  <si>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</si>
  <si>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</si>
  <si>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</si>
  <si>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</si>
  <si>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</si>
  <si>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</si>
  <si>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</si>
  <si>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</si>
  <si>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</si>
  <si>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</si>
  <si>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</si>
  <si>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</si>
  <si>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</si>
  <si>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</si>
  <si>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</si>
  <si>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</si>
  <si>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</si>
  <si>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</si>
  <si>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</si>
  <si>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</si>
  <si>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</si>
  <si>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</si>
  <si>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</si>
  <si>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</si>
  <si>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</si>
  <si>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</si>
  <si>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</si>
  <si>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</si>
  <si>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</si>
  <si>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</si>
  <si>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</si>
  <si>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</si>
  <si>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</si>
  <si>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</si>
  <si>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</si>
  <si>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</si>
  <si>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</si>
  <si>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</si>
  <si>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</si>
  <si>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</si>
  <si>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</si>
  <si>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</si>
  <si>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</si>
  <si>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</si>
  <si>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</si>
  <si>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</si>
  <si>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</si>
  <si>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</si>
  <si>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</si>
  <si>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</si>
  <si>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</si>
  <si>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</si>
  <si>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</si>
  <si>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</si>
  <si>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</si>
  <si>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</si>
  <si>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</si>
  <si>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</si>
  <si>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</si>
  <si>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</si>
  <si>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</si>
  <si>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</si>
  <si>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</si>
  <si>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</si>
  <si>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</si>
  <si>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</si>
  <si>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</si>
  <si>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</si>
  <si>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</si>
  <si>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</si>
  <si>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</si>
  <si>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</si>
  <si>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</si>
  <si>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</si>
  <si>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</si>
  <si>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</si>
  <si>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</si>
  <si>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</si>
  <si>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</si>
  <si>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</si>
  <si>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</si>
  <si>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</si>
  <si>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</si>
  <si>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</si>
  <si>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</si>
  <si>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</si>
  <si>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</si>
  <si>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</si>
  <si>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</si>
  <si>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</si>
  <si>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</si>
  <si>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</si>
  <si>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</si>
  <si>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</si>
  <si>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</si>
  <si>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</si>
  <si>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</si>
  <si>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</si>
  <si>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</si>
  <si>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</si>
  <si>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</si>
  <si>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</si>
  <si>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</si>
  <si>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</si>
  <si>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</si>
  <si>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</si>
  <si>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</si>
  <si>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</si>
  <si>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</si>
  <si>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</si>
  <si>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</si>
  <si>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</si>
  <si>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</si>
  <si>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</si>
  <si>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</si>
  <si>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</si>
  <si>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</si>
  <si>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</si>
  <si>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</si>
  <si>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</si>
  <si>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</si>
  <si>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</si>
  <si>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</si>
  <si>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</si>
  <si>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</si>
  <si>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</si>
  <si>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</si>
  <si>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</si>
  <si>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</si>
  <si>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</si>
  <si>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</si>
  <si>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</si>
  <si>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</si>
  <si>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</si>
  <si>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</si>
  <si>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</si>
  <si>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</si>
  <si>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</si>
  <si>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</si>
  <si>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</si>
  <si>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</si>
  <si>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</si>
  <si>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</si>
  <si>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</si>
  <si>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</si>
  <si>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</si>
  <si>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</si>
  <si>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</si>
  <si>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</si>
  <si>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</si>
  <si>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</si>
  <si>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</si>
  <si>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</si>
  <si>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</si>
  <si>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</si>
  <si>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</si>
  <si>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</si>
  <si>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</si>
  <si>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</si>
  <si>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</si>
  <si>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</si>
  <si>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</si>
  <si>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</si>
  <si>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</si>
  <si>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</si>
  <si>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</si>
  <si>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</si>
  <si>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</si>
  <si>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</si>
  <si>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</si>
  <si>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</si>
  <si>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</si>
  <si>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</si>
  <si>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</si>
  <si>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</si>
  <si>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</si>
  <si>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</si>
  <si>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</si>
  <si>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</si>
  <si>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</si>
  <si>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</si>
  <si>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</si>
  <si>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</si>
  <si>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</si>
  <si>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</si>
  <si>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</si>
  <si>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</si>
  <si>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</si>
  <si>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</si>
  <si>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</si>
  <si>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</si>
  <si>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</si>
  <si>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</si>
  <si>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</si>
  <si>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</si>
  <si>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</si>
  <si>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</si>
  <si>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</si>
  <si>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</si>
  <si>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</si>
  <si>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</si>
  <si>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</si>
  <si>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</si>
  <si>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</si>
  <si>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</si>
  <si>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</si>
  <si>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</si>
  <si>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</si>
  <si>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</si>
  <si>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</si>
  <si>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</si>
  <si>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</si>
  <si>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</si>
  <si>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</si>
  <si>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</si>
  <si>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</si>
  <si>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</si>
  <si>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</si>
  <si>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</si>
  <si>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</si>
  <si>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</si>
  <si>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</si>
  <si>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</si>
  <si>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</si>
  <si>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</si>
  <si>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</si>
  <si>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</si>
  <si>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</si>
  <si>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</si>
  <si>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</si>
  <si>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</si>
  <si>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</si>
  <si>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</si>
  <si>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</si>
  <si>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</si>
  <si>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</si>
  <si>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</si>
  <si>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</si>
  <si>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</si>
  <si>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</si>
  <si>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</si>
  <si>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</si>
  <si>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</si>
  <si>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</si>
  <si>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</si>
  <si>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</si>
  <si>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</si>
  <si>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</si>
  <si>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</si>
  <si>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</si>
  <si>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</si>
  <si>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</si>
  <si>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</si>
  <si>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</si>
  <si>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</si>
  <si>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</si>
  <si>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</si>
  <si>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</si>
  <si>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</si>
  <si>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</si>
  <si>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</si>
  <si>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</si>
  <si>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</si>
  <si>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</si>
  <si>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</si>
  <si>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</si>
  <si>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</si>
  <si>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</si>
  <si>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</si>
  <si>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</si>
  <si>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</si>
  <si>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</si>
  <si>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</si>
  <si>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</si>
  <si>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</si>
  <si>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</si>
  <si>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</si>
  <si>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</si>
  <si>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</si>
  <si>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</si>
  <si>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</si>
  <si>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</si>
  <si>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</si>
  <si>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</si>
  <si>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</si>
  <si>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</si>
  <si>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</si>
  <si>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</si>
  <si>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</si>
  <si>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</si>
  <si>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</si>
  <si>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</si>
  <si>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</si>
  <si>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</si>
  <si>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</si>
  <si>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</si>
  <si>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</si>
  <si>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</si>
  <si>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</si>
  <si>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</si>
  <si>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</si>
  <si>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</si>
  <si>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</si>
  <si>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</si>
  <si>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</si>
  <si>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</si>
  <si>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</si>
  <si>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</si>
  <si>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</si>
  <si>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</si>
  <si>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</si>
  <si>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</si>
  <si>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</si>
  <si>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</si>
  <si>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</si>
  <si>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</si>
  <si>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</si>
  <si>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</si>
  <si>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</si>
  <si>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</si>
  <si>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</si>
  <si>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</si>
  <si>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</si>
  <si>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</si>
  <si>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</si>
  <si>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</si>
  <si>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</si>
  <si>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</si>
  <si>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</si>
  <si>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</si>
  <si>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</si>
  <si>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</si>
  <si>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</si>
  <si>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</si>
  <si>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</si>
  <si>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</si>
  <si>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</si>
  <si>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</si>
  <si>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</si>
  <si>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</si>
  <si>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</si>
  <si>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</si>
  <si>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</si>
  <si>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</si>
  <si>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</si>
  <si>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</si>
  <si>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</si>
  <si>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</si>
  <si>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</si>
  <si>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</si>
  <si>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</si>
  <si>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</si>
  <si>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</si>
  <si>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</si>
  <si>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</si>
  <si>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</si>
  <si>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</si>
  <si>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</si>
  <si>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</si>
  <si>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</si>
  <si>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</si>
  <si>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</si>
  <si>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</si>
  <si>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</si>
  <si>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</si>
  <si>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</si>
  <si>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</si>
  <si>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</si>
  <si>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</si>
  <si>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</si>
  <si>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</si>
  <si>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</si>
  <si>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</si>
  <si>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</si>
  <si>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</si>
  <si>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</si>
  <si>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</si>
  <si>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</si>
  <si>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</si>
  <si>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</si>
  <si>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</si>
  <si>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</si>
  <si>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</si>
  <si>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</si>
  <si>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</si>
  <si>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</si>
  <si>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</si>
  <si>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</si>
  <si>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</si>
  <si>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</si>
  <si>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</si>
  <si>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</si>
  <si>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</si>
  <si>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</si>
  <si>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</si>
  <si>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</si>
  <si>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</si>
  <si>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</si>
  <si>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</si>
  <si>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</si>
  <si>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</si>
  <si>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</si>
  <si>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</si>
  <si>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</si>
  <si>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</si>
  <si>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</si>
  <si>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</si>
  <si>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</si>
  <si>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</si>
  <si>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</si>
  <si>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</si>
  <si>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</si>
  <si>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</si>
  <si>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</si>
  <si>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</si>
  <si>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</si>
  <si>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</si>
  <si>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</si>
  <si>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</si>
  <si>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</si>
  <si>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</si>
  <si>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</si>
  <si>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</si>
  <si>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</si>
  <si>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</si>
  <si>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</si>
  <si>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</si>
  <si>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</si>
  <si>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</si>
  <si>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</si>
  <si>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</si>
  <si>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</si>
  <si>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</si>
  <si>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</si>
  <si>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</si>
  <si>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</si>
  <si>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</si>
  <si>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</si>
  <si>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</si>
  <si>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</si>
  <si>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</si>
  <si>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</si>
  <si>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</si>
  <si>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</si>
  <si>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</si>
  <si>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</si>
  <si>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</si>
  <si>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</si>
  <si>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</si>
  <si>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</si>
  <si>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</si>
  <si>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</si>
  <si>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</si>
  <si>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</si>
  <si>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</si>
  <si>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</si>
  <si>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</si>
  <si>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</si>
  <si>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</si>
  <si>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</si>
  <si>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</si>
  <si>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</si>
  <si>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</si>
  <si>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</si>
  <si>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</si>
  <si>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</si>
  <si>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</si>
  <si>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</si>
  <si>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</si>
  <si>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</si>
  <si>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</si>
  <si>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</si>
  <si>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</si>
  <si>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</si>
  <si>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</si>
  <si>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</si>
  <si>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</si>
  <si>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</si>
  <si>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</si>
  <si>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</si>
  <si>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</si>
  <si>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</si>
  <si>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</si>
  <si>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</si>
  <si>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</si>
  <si>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</si>
  <si>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</si>
  <si>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</si>
  <si>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</si>
  <si>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</si>
  <si>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</si>
  <si>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</si>
  <si>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</si>
  <si>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</si>
  <si>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</si>
  <si>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</si>
  <si>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</si>
  <si>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</si>
  <si>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</si>
  <si>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</si>
  <si>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</si>
  <si>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</si>
  <si>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</si>
  <si>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</si>
  <si>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</si>
  <si>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</si>
  <si>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</si>
  <si>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</si>
  <si>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</si>
  <si>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</si>
  <si>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</si>
  <si>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</si>
  <si>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</si>
  <si>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</si>
  <si>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</si>
  <si>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</si>
  <si>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</si>
  <si>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</si>
  <si>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</si>
  <si>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</si>
  <si>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</si>
  <si>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</si>
  <si>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</si>
  <si>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</si>
  <si>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</si>
  <si>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</si>
  <si>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</si>
  <si>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</si>
  <si>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</si>
  <si>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</si>
  <si>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</si>
  <si>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</si>
  <si>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</si>
  <si>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</si>
  <si>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</si>
  <si>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</si>
  <si>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</si>
  <si>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</si>
  <si>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</si>
  <si>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</si>
  <si>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</si>
  <si>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</si>
  <si>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</si>
  <si>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</si>
  <si>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</si>
  <si>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</si>
  <si>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</si>
  <si>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</si>
  <si>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</si>
  <si>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</si>
  <si>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</si>
  <si>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</si>
  <si>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</si>
  <si>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</si>
  <si>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</si>
  <si>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</si>
  <si>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</si>
  <si>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</si>
  <si>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</si>
  <si>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</si>
  <si>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</si>
  <si>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</si>
  <si>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</si>
  <si>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</si>
  <si>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</si>
  <si>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</si>
  <si>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</si>
  <si>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</si>
  <si>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</si>
  <si>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</si>
  <si>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</si>
  <si>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</si>
  <si>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</si>
  <si>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</si>
  <si>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</si>
  <si>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</si>
  <si>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</si>
  <si>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</si>
  <si>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</si>
  <si>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</si>
  <si>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</si>
  <si>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</si>
  <si>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</si>
  <si>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</si>
  <si>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</si>
  <si>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</si>
  <si>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</si>
  <si>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</si>
  <si>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</si>
  <si>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</si>
  <si>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</si>
  <si>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</si>
  <si>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</si>
  <si>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</si>
  <si>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</si>
  <si>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</si>
  <si>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</si>
  <si>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</si>
  <si>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</si>
  <si>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</si>
  <si>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</si>
  <si>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</si>
  <si>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</si>
  <si>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</si>
  <si>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</si>
  <si>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</si>
  <si>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</si>
  <si>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</si>
  <si>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</si>
  <si>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</si>
  <si>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</si>
  <si>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</si>
  <si>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</si>
  <si>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</si>
  <si>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</si>
  <si>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</si>
  <si>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</si>
  <si>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</si>
  <si>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</si>
  <si>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</si>
  <si>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</si>
  <si>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</si>
  <si>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</si>
  <si>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</si>
  <si>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</si>
  <si>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</si>
  <si>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</si>
  <si>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</si>
  <si>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</si>
  <si>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</si>
  <si>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</si>
  <si>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</si>
  <si>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</si>
  <si>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</si>
  <si>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</si>
  <si>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</si>
  <si>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</si>
  <si>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</si>
  <si>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</si>
  <si>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</si>
  <si>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</si>
  <si>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</si>
  <si>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</si>
  <si>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</si>
  <si>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</si>
  <si>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</si>
  <si>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</si>
  <si>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</si>
  <si>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</si>
  <si>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</si>
  <si>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</si>
  <si>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</si>
  <si>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</si>
  <si>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</si>
  <si>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</si>
  <si>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</si>
  <si>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</si>
  <si>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</si>
  <si>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</si>
  <si>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</si>
  <si>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</si>
  <si>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</si>
  <si>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</si>
  <si>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</si>
  <si>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</si>
  <si>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</si>
  <si>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</si>
  <si>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</si>
  <si>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</si>
  <si>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</si>
  <si>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</si>
  <si>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</si>
  <si>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</si>
  <si>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</si>
  <si>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</si>
  <si>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</si>
  <si>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</si>
  <si>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</si>
  <si>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</si>
  <si>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</si>
  <si>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</si>
  <si>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</si>
  <si>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</si>
  <si>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</si>
  <si>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</si>
  <si>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</si>
  <si>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</si>
  <si>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</si>
  <si>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</si>
  <si>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</si>
  <si>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</si>
  <si>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</si>
  <si>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</si>
  <si>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</si>
  <si>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</si>
  <si>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</si>
  <si>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</si>
  <si>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</si>
  <si>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</si>
  <si>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</si>
  <si>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</si>
  <si>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</si>
  <si>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</si>
  <si>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</si>
  <si>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</si>
  <si>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</si>
  <si>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</si>
  <si>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</si>
  <si>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</si>
  <si>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</si>
  <si>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</si>
  <si>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</si>
  <si>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</si>
  <si>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</si>
  <si>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</si>
  <si>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</si>
  <si>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</si>
  <si>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</si>
  <si>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</si>
  <si>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</si>
  <si>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</si>
  <si>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</si>
  <si>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</si>
  <si>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</si>
  <si>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</si>
  <si>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</si>
  <si>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</si>
  <si>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</si>
  <si>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</si>
  <si>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</si>
  <si>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</si>
  <si>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</si>
  <si>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</si>
  <si>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</si>
  <si>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</si>
  <si>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</si>
  <si>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</si>
  <si>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</si>
  <si>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</si>
  <si>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</si>
  <si>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</si>
  <si>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</si>
  <si>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</si>
  <si>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</si>
  <si>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</si>
  <si>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</si>
  <si>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</si>
  <si>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</si>
  <si>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</si>
  <si>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</si>
  <si>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</si>
  <si>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</si>
  <si>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</si>
  <si>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</si>
  <si>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Mercer</t>
  </si>
  <si>
    <t>PO Box 369</t>
  </si>
  <si>
    <t xml:space="preserve">Sherrard  </t>
  </si>
  <si>
    <t>309-593-4075</t>
  </si>
  <si>
    <t>Alan Boucher</t>
  </si>
  <si>
    <t>bouchera@sherrard.us</t>
  </si>
  <si>
    <t>309-593-4078</t>
  </si>
  <si>
    <t>Bohnsack &amp; Frommelt LLP</t>
  </si>
  <si>
    <t>Sarah Bohnsack</t>
  </si>
  <si>
    <t>1500 River Drive, Suite 200</t>
  </si>
  <si>
    <t>Moline</t>
  </si>
  <si>
    <t>IL</t>
  </si>
  <si>
    <t>563-343-9595</t>
  </si>
  <si>
    <t>sarah@governmentalservice.com</t>
  </si>
  <si>
    <t>Series 1999 GO Bonds</t>
  </si>
  <si>
    <t>Series 2013 GO Bonds</t>
  </si>
  <si>
    <t>Lease Purchase Agreements</t>
  </si>
  <si>
    <t>Unmodified</t>
  </si>
  <si>
    <t>U.S. Department of Agriculture:</t>
  </si>
  <si>
    <t>Pass-Through Illinois State Board of Education</t>
  </si>
  <si>
    <t>Child Nutirition Cluster:</t>
  </si>
  <si>
    <t>School Breakfast Program (M)</t>
  </si>
  <si>
    <t>National School Lunch Program (M)</t>
  </si>
  <si>
    <t>Commodities-Noncash (M)</t>
  </si>
  <si>
    <t>Commodities-Noncash DOD Fresh Fruits &amp; Vegetables (M)</t>
  </si>
  <si>
    <t>Total Child Nutrition Cluster</t>
  </si>
  <si>
    <t>Total U.S. Department of Agriculture</t>
  </si>
  <si>
    <t>17-4220-00</t>
  </si>
  <si>
    <t>17-4210-00</t>
  </si>
  <si>
    <t>NA</t>
  </si>
  <si>
    <t>U.S. Department of Education:</t>
  </si>
  <si>
    <t>Pass Through Illinois State Board of Education</t>
  </si>
  <si>
    <t>Pass Through Black Hawk Area Special Education District</t>
  </si>
  <si>
    <t>Total U.S. Department of Education</t>
  </si>
  <si>
    <t>84.010A</t>
  </si>
  <si>
    <t>84.367A</t>
  </si>
  <si>
    <t>84.027A</t>
  </si>
  <si>
    <t>17-4300-00</t>
  </si>
  <si>
    <t>17-4932-00</t>
  </si>
  <si>
    <t>U.S&gt; Department of Health &amp; Human Services</t>
  </si>
  <si>
    <t>Pass Through Illinois Department of Healthcare and Family Services</t>
  </si>
  <si>
    <t>Medicaid Cluster-Medicaid Assistance Program</t>
  </si>
  <si>
    <t>Total Federal Financial Assistance</t>
  </si>
  <si>
    <t>Child Nutrition Cluster:</t>
  </si>
  <si>
    <t>Commodities-Noncash</t>
  </si>
  <si>
    <t>Special Education Cluster-IDEA Part B</t>
  </si>
  <si>
    <t>A good internal control contemplates an adequate segregation of duties so that no one individual has access to handle a transaction from inception to its completion.</t>
  </si>
  <si>
    <t>The District has insufficient segregation of duties over the payroll process.</t>
  </si>
  <si>
    <t>Misappropriations of assets could occur and not be detected in a timely basis.</t>
  </si>
  <si>
    <t>Currently there are two individuals responsible for the payroll process, however system access does not prohibit performance of the entire payroll process.</t>
  </si>
  <si>
    <t>Ideally, the position responsible for processing the payroll should be segregated from the position with the ability to make employee master file changes.  The District should evaluate the payroll software to determine if password protections within applications in regard to the master file could be limited to an individual other than the one responsible for processing payroll.  If capabilities do not exist to restrict access, we stress the following control points in the District’s payroll process and recommend these additional items to strengthen the District’s internal control system:
• Currently the Payroll Clerk actually processes the payroll, but from the Business Manager’s work station under that position’s log in.  The Payroll Clerk’s access to the master file is not limited.   We recommend investigating the system’s ability to restrict access.
• The Business Manager’s role includes master file control and reviewing the payroll checks and direct deposit listing to look for any unknown employees and any unusual pay amounts.  
The Business Manager compares the total pay amount to the prior payroll period and investigates any unusual variances in the total amount paid from one pay period to the next and compare totals to budget for any variances.  This type of review is crucial.
• Because the Business Manager reconciles the bank statements, another position such as the Superintendent should receive the monthly bank statement and review the cancelled checks to look for any unusual payees, amounts and to ensure the signatures were proper.  The Treasurer or the Superintendent should review the monthly bank reconciliations and compare the bank balances to the monthly bank statement, book balance to the general ledger system and make sure there are no unusual reconciling items listed on the reconciliation.  These reviews should be documented.
• The Board approval of all pay rates is a significant control over the payroll cycle.  We recommend that all pay rate letters be signed by a Board member (serving as a double check of appropriate pay rates to Board negotiated and approved rates) and be signed by the employee (generating acknowledgement of pay rate).</t>
  </si>
  <si>
    <t>The District recognizes the importance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District did hire a payroll clerk in fiscal year 2017.  The District's current financial software does not prohibit performance of the entire payroll process.  The District has implemented review procedures of the Payroll Clerk by the Business Manager.</t>
  </si>
  <si>
    <t>The District has insufficient segregation of duties over the cash receipts process.</t>
  </si>
  <si>
    <t>A limited number of personnel are involved in the cash receipts function.</t>
  </si>
  <si>
    <t xml:space="preserve">During the fiscal year, the District improved controls over the cash receipt process by adding the control of having a position without general ledger and reconciling access compare the logs of the deposits prepared by the school buildings to the bank statement deposits that cleared the bank.  In order to further segregate duties over cash receipts, we recommend the following:  1) Since the Business Manager has billing and posting authorizations, internal controls would be strengthened if she did not take deposits of the District Office to the bank.  Another position at the District Office could receive all the daily cash and checks that are received at the District, endorse them for deposit only, make out the deposit slip, maintain the deposit log at the main office, and give a copy of the deposit slip to the Business Manager to enter into the general ledger.  2)  We recommend the Treasurer or the Superintendent obtain the bank statements directly from the bank and trace transfers between bank accounts to ensure all transfers out and in are accounted for.  3)  The Treasurer or the Superintendent should receive the monthly bank statement directly from the bank and review the cancelled checks to look for any unusual payees, amounts, and ensure the signatures were proper.  This position should review the monthly bank reconciliations and compare the bank balances to the monthly bank statements, book balances to the general ledger system and review the reconciliation for unusual or reoccurring reconciling items. </t>
  </si>
  <si>
    <t>The District recognizes the importance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District did hire a payroll clerk in fiscal year 2017.  The payroll clerk position will log all deposits made in the Unit Office.  The payroll clerk will also review the bank statement with the monthly deposit log submitted by the building secretaries.</t>
  </si>
  <si>
    <t>A good internal control contemplates an adequate segregation of duties so that no one individual handles a transaction from inception to its completion.</t>
  </si>
  <si>
    <t>The District has insufficient segregation of duties over school activity funds.</t>
  </si>
  <si>
    <t>Each school has their own student activity account.  At each school, one position is primarily responsible for receiving cash, preparing the deposit and posting to QuickBooks or a spreadsheet.  The same position also generates checks, records the cash disbursement transactions and reconciles the bank statement.</t>
  </si>
  <si>
    <t>A limited number of personnel are involved in the activity fund transactions.</t>
  </si>
  <si>
    <t xml:space="preserve">School activity funds internal controls would further be strengthened if the bank accounts were reconciled by a position independent of the posting to QuickBooks function and the collection of cash.  Alternatively, the principal should review the monthly bank reconciliation, compare the bank balance to the bank statement and book balance to QuickBooks.  The principal should investigate any unusual or reoccurring reconciling items and initial the reconciliation to document their review. For the high school, at least quarterly, statements should be sent to the activity fund sponsors to verify that the information agrees to their records.  The verification should be returned by the activity fund sponsor to the principal.  The principal should agree the verification to the QuickBooks program to verify the amounts agree. The individual activity fund sponsors should not be permitted to overspend their individual activity fund balance.      </t>
  </si>
  <si>
    <t>The District recognizes the importance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Superintendent will continue to work with building principals and secretaries to ensure that necessary reviews are occurring.  The District has implemented a procedure at the elementary schools, where the principal maintains a log sheet detailing check sequences.  The District has hired a payroll clerk in fiscal year 2017.  The payroll clerk will also review the bank statement with the monthly deposit log submitted by the building secretaries.  The senior high school activity director, activity secretary and high school secretary all receive an emailed copy of the activity account at the end of each month for distribution to the sponsor of each account.</t>
  </si>
  <si>
    <t>The District has insufficient segregation of duties over the cash disbursement function.</t>
  </si>
  <si>
    <t>One position has the responsibility of setting up new vendors in the system, receives invoices, enters invoices into the system to be paid, prints checks, and after the Board’s approval mails checks.  This position also has access to post entries to the general ledger.</t>
  </si>
  <si>
    <t>Misappropriation of assets could occur and not be detected in a timely basis.</t>
  </si>
  <si>
    <t>A limited number of personnel are involved in the cash disbursement function.</t>
  </si>
  <si>
    <t>The District recognizes the importance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District has designated board members to review all monthly transactions (expenditures and deposits) prior to each board meeting before checks are released for payment.  This review will include bank reconciliations; check sequencing and review of variances.  Additionally, they will ensure that all checks accounted for are listed on the Bills Listing sent to the Board for review each month, whether manual or payroll deduction. The Superintendent now reviews all expenditures prior to the board report being prepared for each monthly meeting. He also reviews all PCard expenditures for the month.  He signs each invoice as his authorization for payment.  In addition, the new payroll clerk position confirms all purchase card information and signs of the statement.  The payroll clerk will also review checks and invoices against the monthly board report before checks are distributed.</t>
  </si>
  <si>
    <t>NONE</t>
  </si>
  <si>
    <t>2017-001</t>
  </si>
  <si>
    <t>2017-002</t>
  </si>
  <si>
    <t>2017-003</t>
  </si>
  <si>
    <t>2017-004</t>
  </si>
  <si>
    <t>The District has insufficient segregation of duties over the payroll process</t>
  </si>
  <si>
    <t>The District has insufficient segregation of duties over the cash receipts process</t>
  </si>
  <si>
    <t>The District has insufficient segregation of duties over school activity funds</t>
  </si>
  <si>
    <t>The District has insufficient segregation of duties over the cash disbursement process</t>
  </si>
  <si>
    <t>066.004397</t>
  </si>
  <si>
    <t>18-4220-00</t>
  </si>
  <si>
    <t>18-4210-00</t>
  </si>
  <si>
    <t>18-4300-00</t>
  </si>
  <si>
    <t>18-4932-00</t>
  </si>
  <si>
    <t>18-4620-00</t>
  </si>
  <si>
    <t>Title I Grants to Local Education Agencies (1)</t>
  </si>
  <si>
    <t>18-4991-00</t>
  </si>
  <si>
    <t>X</t>
  </si>
  <si>
    <t>None</t>
  </si>
  <si>
    <t>Page 24 Cell G33:  The District pays debt service related to the Lease Purchase Agreement in account 10-1103-541</t>
  </si>
  <si>
    <t>Page 24 Cell G34:  The District initiated a new lease purchase in the current year for $100,371</t>
  </si>
  <si>
    <t>Page 24 Cell G35:  The District initiated a new lease purchase in the current year for $27,277</t>
  </si>
  <si>
    <t>Page 24 Cell G36:  The District initiated a new lease purchase in the current year for $54,708</t>
  </si>
  <si>
    <t>Moline, Illinois 61265</t>
  </si>
  <si>
    <t>The accompanying Schedule of Expenditures of Federal Awards includes the federal grant activity of Sherrard Community School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</si>
  <si>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Note:(1) Total expenditures for 84.010A is $221,614.</t>
  </si>
  <si>
    <t>Title II Teacher Quality-Supporting Effective Instruction State Grant (2)</t>
  </si>
  <si>
    <t>Note:(2) Total expenditures for 84.367A is $47,133.</t>
  </si>
  <si>
    <t xml:space="preserve">In general, authorization of new vendors, entering invoices into the accounting system, processing of checks and preparing the bank reconciliations should be segregated.   In the current year, the District added the following compensating controls: 1) The Superintendent reviews and approves all invoices and purchase orders, 2) the Payroll Clerk now compares and sorts all invoice packages to the Board of Education Listing of Bills to ensure all invoices have been properly approved by both the department head and the Superintendent and that there is an invoice package for each check on the listing.
In addition, to the controls added, we recommend the following additional controls:  1) The Payroll Clerk should maintain a listing of check sequence to ensure no checks are issued that were not presented on the Board of Education Listing of Bills, 2) if a check is issued that was not listed on the Board of Education Listing of Bills, the Payroll Clerk, should obtain the invoice package and ensure it was properly approved by the department head and the Superintendent, 3) the Payroll Clerk should obtain the checks and prepare them for mailing, comparing them to the Board of Education Listing of Bills.  In addition, in order to further strengthen internal control over disbursements, we recommend the Business Manager should not have access to the Treasurer's signature stamp.
</t>
  </si>
  <si>
    <t>Of the federal expenditures presented in the schedule, Sherrard Community School District provided federal awards to subrecipients as follows:</t>
  </si>
  <si>
    <t>Special Education Cluster- I.D.E.A Part B (M)</t>
  </si>
  <si>
    <r>
      <t xml:space="preserve">The following amounts were expended in the form of non-cash assistance by Sherrard Community School District and </t>
    </r>
    <r>
      <rPr>
        <b/>
        <sz val="9"/>
        <rFont val="Calibri"/>
        <family val="2"/>
        <scheme val="minor"/>
      </rPr>
      <t>should be</t>
    </r>
    <r>
      <rPr>
        <sz val="9"/>
        <rFont val="Calibri"/>
        <family val="2"/>
        <scheme val="minor"/>
      </rPr>
      <t xml:space="preserve"> included in the Schedule of Expenditures of Federal Awards:</t>
    </r>
  </si>
  <si>
    <t>Unresolved.  See finding 2018-001</t>
  </si>
  <si>
    <t>Unresolved.  See finding 2018-002</t>
  </si>
  <si>
    <t>Unresolved.  See finding 2018-003</t>
  </si>
  <si>
    <t>Unresolved.  See finding 2018-004</t>
  </si>
  <si>
    <t>SH Tech. Contracted Services</t>
  </si>
  <si>
    <t>10-1103-323</t>
  </si>
  <si>
    <t>Derby Tech Computers</t>
  </si>
  <si>
    <t>CDW Government</t>
  </si>
  <si>
    <t>Communications Engineering</t>
  </si>
  <si>
    <t>Vista Learning</t>
  </si>
  <si>
    <t>EdLine</t>
  </si>
  <si>
    <t>Computer Information Systems</t>
  </si>
  <si>
    <t>Library Purchased Services</t>
  </si>
  <si>
    <t>Auditing Services</t>
  </si>
  <si>
    <t>Contract Services - Board</t>
  </si>
  <si>
    <t>Purchaed Services</t>
  </si>
  <si>
    <t>Purchased Serivce / Bldgs</t>
  </si>
  <si>
    <t>Purchased Service / Grounds</t>
  </si>
  <si>
    <t>Purchases Service / Grounds</t>
  </si>
  <si>
    <t>Tort / Jr-Sr Contract Services</t>
  </si>
  <si>
    <t>10-2220-323</t>
  </si>
  <si>
    <t>102315-317</t>
  </si>
  <si>
    <t>10-2318-319</t>
  </si>
  <si>
    <t>10-2521-323</t>
  </si>
  <si>
    <t>20-2542-323</t>
  </si>
  <si>
    <t>20-2543-323</t>
  </si>
  <si>
    <t>Companion Corporation</t>
  </si>
  <si>
    <t>Bohnsack &amp; Frommelt</t>
  </si>
  <si>
    <t>Emarld Data Solutions</t>
  </si>
  <si>
    <t>Frontline Technologies</t>
  </si>
  <si>
    <t>Powerschool Group</t>
  </si>
  <si>
    <t>AAA Pest Control</t>
  </si>
  <si>
    <t>Outdoor Inovations</t>
  </si>
  <si>
    <t>New Concrete / Nhieu Van Larn</t>
  </si>
  <si>
    <t>Rock Island County Sheriff</t>
  </si>
  <si>
    <t>During the year, there were two individuals responsible for the payroll process, however system access does not prohibit performance of the entire payroll process.  A District position has access to perform all areas of the payroll process for the District.  This position has access rights to the software, has access to change the employee master file; enter time to the payroll system, process the bi-monthly payroll and generate payroll checks and direct deposits. This position also posts the payroll to the general ledger and reconciles the bank statements.</t>
  </si>
  <si>
    <t>One position at the District has the ability to receive cash, prepare the deposit slip, deposit the funds at the financial institution, post the receipts to the system and prepare the bank reconciliation.  This position also has the ability to transfer funds between accounts.  The Board receives the summarized bank reconciliation monthly however this is prepared by the same position with receipt access.  During the fiscal year, the District improved controls over the cash receipt process by adding the control of having a position without general ledger and reconciling access compare the logs of the deposits prepared by the school buildings to the bank statement deposits that cleared the bank.</t>
  </si>
  <si>
    <t>Sherrard CUSD 200</t>
  </si>
  <si>
    <t>10-1000-300</t>
  </si>
  <si>
    <t>20-2540-300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</si>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</sst>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3" applyFont="1" applyBorder="1" applyAlignment="1" applyProtection="1">
      <alignment wrapText="1"/>
      <protection locked="0"/>
    </xf>
    <xf numFmtId="0" fontId="55" fillId="0" borderId="0" xfId="3" applyFont="1" applyAlignment="1" applyProtection="1">
      <alignment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indent="1"/>
      <protection locked="0"/>
    </xf>
    <xf numFmtId="0" fontId="60" fillId="0" borderId="76" xfId="3" applyFont="1" applyBorder="1" applyAlignment="1" applyProtection="1">
      <alignment horizontal="left" vertical="center" indent="1"/>
      <protection locked="0"/>
    </xf>
    <xf numFmtId="0" fontId="60" fillId="0" borderId="151" xfId="3" applyFont="1" applyBorder="1" applyAlignment="1" applyProtection="1">
      <alignment horizontal="left" vertical="center" indent="1"/>
      <protection locked="0"/>
    </xf>
    <xf numFmtId="38" fontId="60" fillId="0" borderId="77" xfId="3" applyNumberFormat="1" applyFont="1" applyBorder="1" applyAlignment="1" applyProtection="1">
      <alignment horizontal="right" vertic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76200</xdr:colOff>
      <xdr:row>37</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35</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285750</xdr:colOff>
          <xdr:row>10</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A7FEC5F6-4F15-4E10-A40F-F19DC9AB1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285750</xdr:colOff>
          <xdr:row>11</xdr:row>
          <xdr:rowOff>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951CD423-14D5-42D0-B9A9-8341CFA24F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xdr:row>
          <xdr:rowOff>0</xdr:rowOff>
        </xdr:from>
        <xdr:to>
          <xdr:col>9</xdr:col>
          <xdr:colOff>285750</xdr:colOff>
          <xdr:row>10</xdr:row>
          <xdr:rowOff>0</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252AECD4-EEE5-4C04-A09A-C910C0DD2F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11</xdr:col>
          <xdr:colOff>285750</xdr:colOff>
          <xdr:row>11</xdr:row>
          <xdr:rowOff>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8887D3D1-3358-4844-82CA-E8AAE4AC6C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CD45784-F085-4FD5-9A25-00218223828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DA24D34-6B8F-49AF-B6AA-6A84540A7039}"/>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1D4C9F4-F673-4DA7-A423-2D7F654167FD}"/>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24B95F4-D22F-41C7-BA13-C0E318E3A75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D50D415-3E35-4E34-9C56-5F1E7D5E70B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30FEAF6-77D5-48A7-83B8-FB14094A215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2074</v>
      </c>
      <c r="C5" s="26" t="s">
        <v>966</v>
      </c>
      <c r="D5" s="84"/>
      <c r="E5" s="84"/>
      <c r="H5" s="38"/>
      <c r="I5" s="2046" t="s">
        <v>701</v>
      </c>
      <c r="J5" s="1990"/>
      <c r="K5" s="1990"/>
      <c r="L5" s="1990"/>
      <c r="M5" s="1990"/>
      <c r="N5" s="1990"/>
      <c r="O5" s="1990"/>
      <c r="P5" s="1990"/>
      <c r="Q5" s="1990"/>
      <c r="R5" s="1990"/>
      <c r="S5" s="1990"/>
    </row>
    <row r="6" spans="1:28" ht="14.1" customHeight="1" x14ac:dyDescent="0.2">
      <c r="B6" s="104"/>
      <c r="C6" s="26" t="s">
        <v>967</v>
      </c>
      <c r="D6" s="84"/>
      <c r="E6" s="84"/>
      <c r="I6" s="2045" t="s">
        <v>938</v>
      </c>
      <c r="J6" s="1990"/>
      <c r="K6" s="1990"/>
      <c r="L6" s="1990"/>
      <c r="M6" s="1990"/>
      <c r="N6" s="1990"/>
      <c r="O6" s="1990"/>
      <c r="P6" s="1990"/>
      <c r="Q6" s="1990"/>
      <c r="R6" s="1990"/>
      <c r="S6" s="1990"/>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2074</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49081200026</v>
      </c>
      <c r="B13" s="2007"/>
      <c r="C13" s="2007"/>
      <c r="D13" s="2007"/>
      <c r="E13" s="2007"/>
      <c r="F13" s="2007"/>
      <c r="G13" s="2007"/>
      <c r="H13" s="2008"/>
      <c r="I13" s="31"/>
      <c r="J13" s="30"/>
      <c r="K13" s="28"/>
      <c r="L13" s="30"/>
      <c r="M13" s="30"/>
      <c r="N13" s="30"/>
      <c r="O13" s="30"/>
      <c r="P13" s="30"/>
      <c r="Q13" s="30"/>
      <c r="R13" s="30"/>
      <c r="S13" s="30"/>
      <c r="T13" s="2011" t="s">
        <v>2082</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2075</v>
      </c>
      <c r="B15" s="2009"/>
      <c r="C15" s="2009"/>
      <c r="D15" s="2009"/>
      <c r="E15" s="2009"/>
      <c r="F15" s="2009"/>
      <c r="G15" s="2009"/>
      <c r="H15" s="2010"/>
      <c r="T15" s="1972" t="s">
        <v>2083</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4" t="s">
        <v>2211</v>
      </c>
      <c r="B17" s="2035"/>
      <c r="C17" s="2035"/>
      <c r="D17" s="2035"/>
      <c r="E17" s="2035"/>
      <c r="F17" s="2035"/>
      <c r="G17" s="2035"/>
      <c r="H17" s="2036"/>
      <c r="T17" s="2021" t="s">
        <v>2084</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2076</v>
      </c>
      <c r="B19" s="2005"/>
      <c r="C19" s="2005"/>
      <c r="D19" s="2005"/>
      <c r="E19" s="2005"/>
      <c r="F19" s="2005"/>
      <c r="G19" s="2005"/>
      <c r="H19" s="2003"/>
      <c r="I19" s="30"/>
      <c r="J19" s="99"/>
      <c r="K19" s="40"/>
      <c r="L19" s="38"/>
      <c r="M19" s="112" t="s">
        <v>333</v>
      </c>
      <c r="P19" s="27"/>
      <c r="Q19" s="27"/>
      <c r="R19" s="27"/>
      <c r="S19" s="31"/>
      <c r="T19" s="2004" t="s">
        <v>2085</v>
      </c>
      <c r="U19" s="2002"/>
      <c r="V19" s="2002"/>
      <c r="W19" s="2003"/>
      <c r="X19" s="2019" t="s">
        <v>2086</v>
      </c>
      <c r="Y19" s="2020"/>
      <c r="Z19" s="2017">
        <v>61265</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2077</v>
      </c>
      <c r="B21" s="2002"/>
      <c r="C21" s="2002"/>
      <c r="D21" s="2002"/>
      <c r="E21" s="2002"/>
      <c r="F21" s="2002"/>
      <c r="G21" s="2002"/>
      <c r="H21" s="2003"/>
      <c r="I21" s="2027" t="s">
        <v>699</v>
      </c>
      <c r="J21" s="1990"/>
      <c r="K21" s="1990"/>
      <c r="L21" s="1990"/>
      <c r="M21" s="1990"/>
      <c r="N21" s="1990"/>
      <c r="O21" s="1990"/>
      <c r="P21" s="1990"/>
      <c r="Q21" s="1990"/>
      <c r="R21" s="1990"/>
      <c r="S21" s="1991"/>
      <c r="T21" s="1969" t="s">
        <v>2087</v>
      </c>
      <c r="U21" s="1970"/>
      <c r="V21" s="1970"/>
      <c r="W21" s="1970"/>
      <c r="X21" s="1983"/>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c r="B23" s="2025"/>
      <c r="C23" s="2025"/>
      <c r="D23" s="2025"/>
      <c r="E23" s="2025"/>
      <c r="F23" s="2025"/>
      <c r="G23" s="2025"/>
      <c r="H23" s="2026"/>
      <c r="T23" s="1964" t="s">
        <v>2151</v>
      </c>
      <c r="U23" s="1965"/>
      <c r="V23" s="1965"/>
      <c r="W23" s="1965"/>
      <c r="X23" s="1980">
        <v>43434</v>
      </c>
      <c r="Y23" s="1981"/>
      <c r="Z23" s="1981"/>
      <c r="AA23" s="1982"/>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1">
        <v>61281</v>
      </c>
      <c r="B25" s="2002"/>
      <c r="C25" s="2002"/>
      <c r="D25" s="2002"/>
      <c r="E25" s="2002"/>
      <c r="F25" s="2002"/>
      <c r="G25" s="2002"/>
      <c r="H25" s="2003"/>
      <c r="I25" s="113"/>
      <c r="J25" s="2069"/>
      <c r="K25" s="2069"/>
      <c r="L25" s="2069"/>
      <c r="M25" s="2069"/>
      <c r="N25" s="2069"/>
      <c r="O25" s="2069"/>
      <c r="P25" s="2069"/>
      <c r="Q25" s="2069"/>
      <c r="R25" s="2069"/>
      <c r="S25" s="2070"/>
      <c r="T25" s="1961" t="s">
        <v>2088</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4" t="s">
        <v>2079</v>
      </c>
      <c r="B38" s="2035"/>
      <c r="C38" s="2035"/>
      <c r="D38" s="2035"/>
      <c r="E38" s="2035"/>
      <c r="F38" s="2002"/>
      <c r="G38" s="2002"/>
      <c r="H38" s="2003"/>
      <c r="I38" s="2054"/>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t="s">
        <v>2080</v>
      </c>
      <c r="B40" s="2062"/>
      <c r="C40" s="2063"/>
      <c r="D40" s="2063"/>
      <c r="E40" s="2063"/>
      <c r="F40" s="2064"/>
      <c r="G40" s="2064"/>
      <c r="H40" s="2065"/>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2078</v>
      </c>
      <c r="B42" s="2052"/>
      <c r="C42" s="2053"/>
      <c r="D42" s="2066" t="s">
        <v>2081</v>
      </c>
      <c r="E42" s="2052"/>
      <c r="F42" s="2052"/>
      <c r="G42" s="2052"/>
      <c r="H42" s="2053"/>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3" sqref="B13:C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4" t="s">
        <v>1902</v>
      </c>
      <c r="B2" s="1550" t="s">
        <v>2034</v>
      </c>
      <c r="C2" s="715" t="s">
        <v>1907</v>
      </c>
      <c r="D2" s="715" t="s">
        <v>1908</v>
      </c>
      <c r="E2" s="715" t="s">
        <v>1909</v>
      </c>
      <c r="F2" s="715" t="s">
        <v>1910</v>
      </c>
    </row>
    <row r="3" spans="1:6" ht="12" customHeight="1" x14ac:dyDescent="0.2">
      <c r="A3" s="2205"/>
      <c r="B3" s="1547"/>
      <c r="C3" s="1548"/>
      <c r="D3" s="1549" t="s">
        <v>274</v>
      </c>
      <c r="E3" s="1548"/>
      <c r="F3" s="1549" t="s">
        <v>275</v>
      </c>
    </row>
    <row r="4" spans="1:6" ht="13.7" customHeight="1" x14ac:dyDescent="0.2">
      <c r="A4" s="716" t="s">
        <v>1217</v>
      </c>
      <c r="B4" s="1771">
        <f>'Revenues 9-14'!C5</f>
        <v>2729486</v>
      </c>
      <c r="C4" s="1546">
        <v>468441</v>
      </c>
      <c r="D4" s="1774">
        <f>B4-C4</f>
        <v>2261045</v>
      </c>
      <c r="E4" s="1546">
        <v>4152349</v>
      </c>
      <c r="F4" s="1774">
        <f>E4-C4</f>
        <v>3683908</v>
      </c>
    </row>
    <row r="5" spans="1:6" ht="13.7" customHeight="1" x14ac:dyDescent="0.2">
      <c r="A5" s="716" t="s">
        <v>925</v>
      </c>
      <c r="B5" s="1772">
        <f>'Revenues 9-14'!D5</f>
        <v>527090</v>
      </c>
      <c r="C5" s="585">
        <v>90489</v>
      </c>
      <c r="D5" s="1775">
        <f t="shared" ref="D5:D18" si="0">B5-C5</f>
        <v>436601</v>
      </c>
      <c r="E5" s="585">
        <v>801707</v>
      </c>
      <c r="F5" s="1775">
        <f>E5-C5</f>
        <v>711218</v>
      </c>
    </row>
    <row r="6" spans="1:6" ht="13.7" customHeight="1" x14ac:dyDescent="0.2">
      <c r="A6" s="716" t="s">
        <v>431</v>
      </c>
      <c r="B6" s="1772">
        <f>'Revenues 9-14'!E5</f>
        <v>714535</v>
      </c>
      <c r="C6" s="585">
        <v>118479</v>
      </c>
      <c r="D6" s="1775">
        <f t="shared" si="0"/>
        <v>596056</v>
      </c>
      <c r="E6" s="585">
        <v>1050563</v>
      </c>
      <c r="F6" s="1775">
        <f t="shared" ref="F6:F18" si="1">E6-C6</f>
        <v>932084</v>
      </c>
    </row>
    <row r="7" spans="1:6" ht="13.7" customHeight="1" x14ac:dyDescent="0.2">
      <c r="A7" s="716" t="s">
        <v>157</v>
      </c>
      <c r="B7" s="1772">
        <f>'Revenues 9-14'!F5</f>
        <v>210888</v>
      </c>
      <c r="C7" s="585">
        <v>36248</v>
      </c>
      <c r="D7" s="1775">
        <f t="shared" si="0"/>
        <v>174640</v>
      </c>
      <c r="E7" s="585">
        <v>320683</v>
      </c>
      <c r="F7" s="1775">
        <f t="shared" si="1"/>
        <v>284435</v>
      </c>
    </row>
    <row r="8" spans="1:6" ht="13.7" customHeight="1" x14ac:dyDescent="0.2">
      <c r="A8" s="716" t="s">
        <v>1241</v>
      </c>
      <c r="B8" s="1772">
        <f>'Revenues 9-14'!G5</f>
        <v>150767</v>
      </c>
      <c r="C8" s="585">
        <v>25904</v>
      </c>
      <c r="D8" s="1775">
        <f t="shared" si="0"/>
        <v>124863</v>
      </c>
      <c r="E8" s="585">
        <v>229386</v>
      </c>
      <c r="F8" s="1775">
        <f t="shared" si="1"/>
        <v>203482</v>
      </c>
    </row>
    <row r="9" spans="1:6" ht="13.7" customHeight="1" x14ac:dyDescent="0.2">
      <c r="A9" s="716" t="s">
        <v>428</v>
      </c>
      <c r="B9" s="1772">
        <f>'Revenues 9-14'!H5</f>
        <v>0</v>
      </c>
      <c r="C9" s="585">
        <v>0</v>
      </c>
      <c r="D9" s="1775">
        <f t="shared" si="0"/>
        <v>0</v>
      </c>
      <c r="E9" s="585"/>
      <c r="F9" s="1775">
        <f t="shared" si="1"/>
        <v>0</v>
      </c>
    </row>
    <row r="10" spans="1:6" ht="13.7" customHeight="1" x14ac:dyDescent="0.2">
      <c r="A10" s="716" t="s">
        <v>427</v>
      </c>
      <c r="B10" s="1772">
        <f>'Revenues 9-14'!I5</f>
        <v>52490</v>
      </c>
      <c r="C10" s="585">
        <v>9040</v>
      </c>
      <c r="D10" s="1775">
        <f t="shared" si="0"/>
        <v>43450</v>
      </c>
      <c r="E10" s="585">
        <v>80170</v>
      </c>
      <c r="F10" s="1775">
        <f t="shared" si="1"/>
        <v>71130</v>
      </c>
    </row>
    <row r="11" spans="1:6" x14ac:dyDescent="0.2">
      <c r="A11" s="716" t="s">
        <v>429</v>
      </c>
      <c r="B11" s="1772">
        <f>'Revenues 9-14'!J5</f>
        <v>328499</v>
      </c>
      <c r="C11" s="585">
        <v>56415</v>
      </c>
      <c r="D11" s="1775">
        <f t="shared" si="0"/>
        <v>272084</v>
      </c>
      <c r="E11" s="585">
        <v>500167</v>
      </c>
      <c r="F11" s="1775">
        <f t="shared" si="1"/>
        <v>443752</v>
      </c>
    </row>
    <row r="12" spans="1:6" ht="13.7" customHeight="1" x14ac:dyDescent="0.2">
      <c r="A12" s="716" t="s">
        <v>159</v>
      </c>
      <c r="B12" s="1772">
        <f>'Revenues 9-14'!K5</f>
        <v>52489</v>
      </c>
      <c r="C12" s="585">
        <v>9040</v>
      </c>
      <c r="D12" s="1775">
        <f t="shared" si="0"/>
        <v>43449</v>
      </c>
      <c r="E12" s="585">
        <v>80170</v>
      </c>
      <c r="F12" s="1775">
        <f t="shared" si="1"/>
        <v>71130</v>
      </c>
    </row>
    <row r="13" spans="1:6" ht="13.7" customHeight="1" x14ac:dyDescent="0.2">
      <c r="A13" s="716" t="s">
        <v>993</v>
      </c>
      <c r="B13" s="1772">
        <f>SUM('Revenues 9-14'!C6:D6)</f>
        <v>52489</v>
      </c>
      <c r="C13" s="585">
        <v>9040</v>
      </c>
      <c r="D13" s="1775">
        <f t="shared" si="0"/>
        <v>43449</v>
      </c>
      <c r="E13" s="585">
        <v>80170</v>
      </c>
      <c r="F13" s="1775">
        <f t="shared" si="1"/>
        <v>71130</v>
      </c>
    </row>
    <row r="14" spans="1:6" ht="13.7" customHeight="1" x14ac:dyDescent="0.2">
      <c r="A14" s="716" t="s">
        <v>430</v>
      </c>
      <c r="B14" s="1772">
        <f>SUM('Revenues 9-14'!C7:D7,'Revenues 9-14'!F7:H7)</f>
        <v>42314</v>
      </c>
      <c r="C14" s="585">
        <v>7302</v>
      </c>
      <c r="D14" s="1775">
        <f t="shared" si="0"/>
        <v>35012</v>
      </c>
      <c r="E14" s="585">
        <v>64137</v>
      </c>
      <c r="F14" s="1775">
        <f t="shared" si="1"/>
        <v>56835</v>
      </c>
    </row>
    <row r="15" spans="1:6" ht="13.7" customHeight="1" x14ac:dyDescent="0.2">
      <c r="A15" s="716" t="s">
        <v>1220</v>
      </c>
      <c r="B15" s="1772">
        <f>'Revenues 9-14'!E9</f>
        <v>0</v>
      </c>
      <c r="C15" s="585">
        <v>0</v>
      </c>
      <c r="D15" s="1775">
        <f t="shared" si="0"/>
        <v>0</v>
      </c>
      <c r="E15" s="585"/>
      <c r="F15" s="1775">
        <f t="shared" si="1"/>
        <v>0</v>
      </c>
    </row>
    <row r="16" spans="1:6" ht="13.7" customHeight="1" x14ac:dyDescent="0.2">
      <c r="A16" s="716" t="s">
        <v>1221</v>
      </c>
      <c r="B16" s="1772">
        <f>'Revenues 9-14'!G8</f>
        <v>226573</v>
      </c>
      <c r="C16" s="585">
        <v>38856</v>
      </c>
      <c r="D16" s="1775">
        <f t="shared" si="0"/>
        <v>187717</v>
      </c>
      <c r="E16" s="585">
        <v>344079</v>
      </c>
      <c r="F16" s="1775">
        <f t="shared" si="1"/>
        <v>305223</v>
      </c>
    </row>
    <row r="17" spans="1:6" ht="13.7" customHeight="1" x14ac:dyDescent="0.2">
      <c r="A17" s="716" t="s">
        <v>1222</v>
      </c>
      <c r="B17" s="1772">
        <v>0</v>
      </c>
      <c r="C17" s="585">
        <v>0</v>
      </c>
      <c r="D17" s="1775">
        <f t="shared" si="0"/>
        <v>0</v>
      </c>
      <c r="E17" s="585"/>
      <c r="F17" s="1775">
        <f t="shared" si="1"/>
        <v>0</v>
      </c>
    </row>
    <row r="18" spans="1:6" ht="13.7" customHeight="1" x14ac:dyDescent="0.2">
      <c r="A18" s="716" t="s">
        <v>786</v>
      </c>
      <c r="B18" s="1772">
        <f>SUM('Revenues 9-14'!C11:K11)</f>
        <v>0</v>
      </c>
      <c r="C18" s="585">
        <v>0</v>
      </c>
      <c r="D18" s="1775">
        <f t="shared" si="0"/>
        <v>0</v>
      </c>
      <c r="E18" s="585"/>
      <c r="F18" s="1775">
        <f t="shared" si="1"/>
        <v>0</v>
      </c>
    </row>
    <row r="19" spans="1:6" ht="13.7" customHeight="1" thickBot="1" x14ac:dyDescent="0.25">
      <c r="A19" s="1776" t="s">
        <v>1223</v>
      </c>
      <c r="B19" s="1773">
        <f>SUM(B4:B18)</f>
        <v>5087620</v>
      </c>
      <c r="C19" s="1773">
        <f>SUM(C4:C18)</f>
        <v>869254</v>
      </c>
      <c r="D19" s="1773">
        <f>SUM(D4:D18)</f>
        <v>4218366</v>
      </c>
      <c r="E19" s="1773">
        <f>SUM(E4:E18)</f>
        <v>7703581</v>
      </c>
      <c r="F19" s="1773">
        <f>SUM(F4:F18)</f>
        <v>6834327</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G33" sqref="G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650</v>
      </c>
      <c r="B1" s="2211"/>
      <c r="C1" s="722"/>
    </row>
    <row r="2" spans="1:7" ht="33.75" x14ac:dyDescent="0.2">
      <c r="A2" s="2219" t="s">
        <v>1902</v>
      </c>
      <c r="B2" s="2220"/>
      <c r="C2" s="1908" t="s">
        <v>2035</v>
      </c>
      <c r="D2" s="724" t="s">
        <v>2042</v>
      </c>
      <c r="E2" s="724" t="s">
        <v>2043</v>
      </c>
      <c r="F2" s="1908" t="s">
        <v>2036</v>
      </c>
    </row>
    <row r="3" spans="1:7" ht="15.75" customHeight="1" x14ac:dyDescent="0.2">
      <c r="A3" s="2223" t="s">
        <v>1176</v>
      </c>
      <c r="B3" s="2224"/>
      <c r="C3" s="2212"/>
      <c r="D3" s="2213"/>
      <c r="E3" s="2213"/>
      <c r="F3" s="2214"/>
    </row>
    <row r="4" spans="1:7" ht="12.75" customHeight="1" thickBot="1" x14ac:dyDescent="0.25">
      <c r="A4" s="2221" t="s">
        <v>651</v>
      </c>
      <c r="B4" s="2222"/>
      <c r="C4" s="581"/>
      <c r="D4" s="581"/>
      <c r="E4" s="581"/>
      <c r="F4" s="1777">
        <f>SUM(C4+D4)-E4</f>
        <v>0</v>
      </c>
    </row>
    <row r="5" spans="1:7" ht="15.75" customHeight="1" thickTop="1" x14ac:dyDescent="0.2">
      <c r="A5" s="2206" t="s">
        <v>1172</v>
      </c>
      <c r="B5" s="2207"/>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8" t="s">
        <v>652</v>
      </c>
      <c r="B15" s="2209"/>
      <c r="C15" s="1777">
        <f>SUM(C6:C14)</f>
        <v>0</v>
      </c>
      <c r="D15" s="1777">
        <f>SUM(D6:D14)</f>
        <v>0</v>
      </c>
      <c r="E15" s="1777">
        <f>SUM(E6:E14)</f>
        <v>0</v>
      </c>
      <c r="F15" s="1777">
        <f>SUM(F6:F14)</f>
        <v>0</v>
      </c>
      <c r="G15" s="552"/>
    </row>
    <row r="16" spans="1:7" s="202" customFormat="1" ht="15.75" customHeight="1" thickTop="1" x14ac:dyDescent="0.2">
      <c r="A16" s="2218" t="s">
        <v>1173</v>
      </c>
      <c r="B16" s="2207"/>
      <c r="C16" s="2215"/>
      <c r="D16" s="2216"/>
      <c r="E16" s="2216"/>
      <c r="F16" s="2217"/>
    </row>
    <row r="17" spans="1:11" ht="12.75" customHeight="1" thickBot="1" x14ac:dyDescent="0.25">
      <c r="A17" s="2231" t="s">
        <v>66</v>
      </c>
      <c r="B17" s="2232"/>
      <c r="C17" s="727"/>
      <c r="D17" s="585"/>
      <c r="E17" s="727"/>
      <c r="F17" s="1777">
        <f>SUM(C17+D17)-E17</f>
        <v>0</v>
      </c>
    </row>
    <row r="18" spans="1:11" ht="12.75" customHeight="1" thickTop="1" thickBot="1" x14ac:dyDescent="0.25">
      <c r="A18" s="2231" t="s">
        <v>6</v>
      </c>
      <c r="B18" s="2232"/>
      <c r="C18" s="727"/>
      <c r="D18" s="585"/>
      <c r="E18" s="727"/>
      <c r="F18" s="1777">
        <f>SUM(C18+D18)-E18</f>
        <v>0</v>
      </c>
    </row>
    <row r="19" spans="1:11" ht="12.75" customHeight="1" thickTop="1" thickBot="1" x14ac:dyDescent="0.25">
      <c r="A19" s="2231" t="s">
        <v>406</v>
      </c>
      <c r="B19" s="2232"/>
      <c r="C19" s="727"/>
      <c r="D19" s="585"/>
      <c r="E19" s="727"/>
      <c r="F19" s="1777">
        <f>SUM(C19+D19)-E19</f>
        <v>0</v>
      </c>
    </row>
    <row r="20" spans="1:11" ht="12.75" customHeight="1" thickTop="1" thickBot="1" x14ac:dyDescent="0.25">
      <c r="A20" s="2231" t="s">
        <v>468</v>
      </c>
      <c r="B20" s="2232"/>
      <c r="C20" s="727"/>
      <c r="D20" s="585"/>
      <c r="E20" s="727"/>
      <c r="F20" s="1777">
        <f>SUM(C20+D20)-E20</f>
        <v>0</v>
      </c>
    </row>
    <row r="21" spans="1:11" ht="14.25" thickTop="1" thickBot="1" x14ac:dyDescent="0.25">
      <c r="A21" s="2208" t="s">
        <v>653</v>
      </c>
      <c r="B21" s="2209"/>
      <c r="C21" s="1777">
        <f>SUM(C17:C20)</f>
        <v>0</v>
      </c>
      <c r="D21" s="1777">
        <f>SUM(D17:D20)</f>
        <v>0</v>
      </c>
      <c r="E21" s="1777">
        <f>SUM(E17:E20)</f>
        <v>0</v>
      </c>
      <c r="F21" s="1777">
        <f>SUM(F17:F20)</f>
        <v>0</v>
      </c>
      <c r="G21" s="552"/>
    </row>
    <row r="22" spans="1:11" ht="15.75" customHeight="1" thickTop="1" x14ac:dyDescent="0.2">
      <c r="A22" s="2233" t="s">
        <v>1174</v>
      </c>
      <c r="B22" s="2207"/>
      <c r="C22" s="2215"/>
      <c r="D22" s="2216"/>
      <c r="E22" s="2216"/>
      <c r="F22" s="2217"/>
    </row>
    <row r="23" spans="1:11" ht="13.5" thickBot="1" x14ac:dyDescent="0.25">
      <c r="A23" s="2221" t="s">
        <v>654</v>
      </c>
      <c r="B23" s="2222"/>
      <c r="C23" s="581"/>
      <c r="D23" s="581"/>
      <c r="E23" s="581"/>
      <c r="F23" s="1777">
        <f>SUM(C23+D23)-E23</f>
        <v>0</v>
      </c>
      <c r="G23" s="552"/>
    </row>
    <row r="24" spans="1:11" ht="15.75" customHeight="1" thickTop="1" x14ac:dyDescent="0.2">
      <c r="A24" s="2233" t="s">
        <v>1175</v>
      </c>
      <c r="B24" s="2207"/>
      <c r="C24" s="2215"/>
      <c r="D24" s="2216"/>
      <c r="E24" s="2216"/>
      <c r="F24" s="2217"/>
    </row>
    <row r="25" spans="1:11" ht="13.5" thickBot="1" x14ac:dyDescent="0.25">
      <c r="A25" s="2221" t="s">
        <v>655</v>
      </c>
      <c r="B25" s="2222"/>
      <c r="C25" s="581"/>
      <c r="D25" s="581"/>
      <c r="E25" s="581"/>
      <c r="F25" s="1777">
        <f>SUM(C25+D25)-E25</f>
        <v>0</v>
      </c>
      <c r="G25" s="552"/>
    </row>
    <row r="26" spans="1:11" ht="15.75" customHeight="1" thickTop="1" x14ac:dyDescent="0.2">
      <c r="A26" s="2206" t="s">
        <v>678</v>
      </c>
      <c r="B26" s="2207"/>
      <c r="C26" s="728"/>
      <c r="D26" s="728"/>
      <c r="E26" s="728"/>
      <c r="F26" s="729"/>
    </row>
    <row r="27" spans="1:11" ht="13.5" thickBot="1" x14ac:dyDescent="0.25">
      <c r="A27" s="2208" t="s">
        <v>1130</v>
      </c>
      <c r="B27" s="2209"/>
      <c r="C27" s="585"/>
      <c r="D27" s="585"/>
      <c r="E27" s="585"/>
      <c r="F27" s="1777">
        <f>SUM(C27+D27)-E27</f>
        <v>0</v>
      </c>
      <c r="G27" s="552"/>
    </row>
    <row r="28" spans="1:11" ht="7.5" customHeight="1" thickTop="1" x14ac:dyDescent="0.2">
      <c r="A28" s="594"/>
    </row>
    <row r="29" spans="1:11" ht="23.25" customHeight="1" x14ac:dyDescent="0.2">
      <c r="A29" s="2234" t="s">
        <v>603</v>
      </c>
      <c r="B29" s="2211"/>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2089</v>
      </c>
      <c r="B31" s="734">
        <v>36384</v>
      </c>
      <c r="C31" s="735">
        <v>6000000</v>
      </c>
      <c r="D31" s="736">
        <v>6</v>
      </c>
      <c r="E31" s="735">
        <v>629254</v>
      </c>
      <c r="F31" s="735">
        <v>0</v>
      </c>
      <c r="G31" s="735">
        <v>0</v>
      </c>
      <c r="H31" s="735">
        <v>245980</v>
      </c>
      <c r="I31" s="1778">
        <f>((E31+F31)-H31)+G31</f>
        <v>383274</v>
      </c>
      <c r="J31" s="735">
        <v>248444</v>
      </c>
      <c r="K31" s="737"/>
    </row>
    <row r="32" spans="1:11" ht="12" customHeight="1" x14ac:dyDescent="0.2">
      <c r="A32" s="733" t="s">
        <v>2090</v>
      </c>
      <c r="B32" s="734">
        <v>41639</v>
      </c>
      <c r="C32" s="735">
        <v>5375000</v>
      </c>
      <c r="D32" s="736">
        <v>3</v>
      </c>
      <c r="E32" s="735">
        <v>5375000</v>
      </c>
      <c r="F32" s="735">
        <v>0</v>
      </c>
      <c r="G32" s="735">
        <v>0</v>
      </c>
      <c r="H32" s="735"/>
      <c r="I32" s="1778">
        <f>((E32+F32)-H32)+G32</f>
        <v>5375000</v>
      </c>
      <c r="J32" s="735">
        <v>5375000</v>
      </c>
      <c r="K32" s="737"/>
    </row>
    <row r="33" spans="1:11" ht="12" customHeight="1" x14ac:dyDescent="0.2">
      <c r="A33" s="733" t="s">
        <v>2091</v>
      </c>
      <c r="B33" s="734">
        <v>42917</v>
      </c>
      <c r="C33" s="735">
        <v>139480</v>
      </c>
      <c r="D33" s="736">
        <v>8</v>
      </c>
      <c r="E33" s="735">
        <v>139480</v>
      </c>
      <c r="F33" s="735">
        <v>0</v>
      </c>
      <c r="G33" s="735">
        <v>-47179</v>
      </c>
      <c r="H33" s="735"/>
      <c r="I33" s="1778">
        <f t="shared" ref="I33:I48" si="1">((E33+F33)-H33)+G33</f>
        <v>92301</v>
      </c>
      <c r="J33" s="735">
        <v>92301</v>
      </c>
      <c r="K33" s="737"/>
    </row>
    <row r="34" spans="1:11" ht="12" customHeight="1" x14ac:dyDescent="0.2">
      <c r="A34" s="733" t="s">
        <v>2091</v>
      </c>
      <c r="B34" s="734">
        <v>42917</v>
      </c>
      <c r="C34" s="735">
        <v>100371</v>
      </c>
      <c r="D34" s="736">
        <v>8</v>
      </c>
      <c r="E34" s="735"/>
      <c r="F34" s="735">
        <v>0</v>
      </c>
      <c r="G34" s="735">
        <v>66023</v>
      </c>
      <c r="H34" s="735"/>
      <c r="I34" s="1778">
        <f t="shared" si="1"/>
        <v>66023</v>
      </c>
      <c r="J34" s="735">
        <v>66023</v>
      </c>
      <c r="K34" s="738"/>
    </row>
    <row r="35" spans="1:11" ht="12" customHeight="1" x14ac:dyDescent="0.2">
      <c r="A35" s="733" t="s">
        <v>2091</v>
      </c>
      <c r="B35" s="734">
        <v>42979</v>
      </c>
      <c r="C35" s="739">
        <v>27277</v>
      </c>
      <c r="D35" s="736">
        <v>8</v>
      </c>
      <c r="E35" s="739"/>
      <c r="F35" s="739">
        <v>0</v>
      </c>
      <c r="G35" s="739">
        <v>6277</v>
      </c>
      <c r="H35" s="739"/>
      <c r="I35" s="1778">
        <f t="shared" si="1"/>
        <v>6277</v>
      </c>
      <c r="J35" s="739">
        <v>6277</v>
      </c>
      <c r="K35" s="738"/>
    </row>
    <row r="36" spans="1:11" ht="12" customHeight="1" x14ac:dyDescent="0.2">
      <c r="A36" s="733" t="s">
        <v>2091</v>
      </c>
      <c r="B36" s="734">
        <v>42935</v>
      </c>
      <c r="C36" s="735">
        <v>54708</v>
      </c>
      <c r="D36" s="736">
        <v>8</v>
      </c>
      <c r="E36" s="735"/>
      <c r="F36" s="735">
        <v>0</v>
      </c>
      <c r="G36" s="735">
        <v>46000</v>
      </c>
      <c r="H36" s="735"/>
      <c r="I36" s="1778">
        <f t="shared" si="1"/>
        <v>46000</v>
      </c>
      <c r="J36" s="735">
        <v>46000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11696836</v>
      </c>
      <c r="D49" s="746"/>
      <c r="E49" s="1778">
        <f t="shared" ref="E49:J49" si="2">SUM(E31:E48)</f>
        <v>6143734</v>
      </c>
      <c r="F49" s="1778">
        <f t="shared" si="2"/>
        <v>0</v>
      </c>
      <c r="G49" s="1778">
        <f t="shared" si="2"/>
        <v>71121</v>
      </c>
      <c r="H49" s="1778">
        <f t="shared" si="2"/>
        <v>245980</v>
      </c>
      <c r="I49" s="1778">
        <f t="shared" si="2"/>
        <v>5968875</v>
      </c>
      <c r="J49" s="1778">
        <f t="shared" si="2"/>
        <v>5834045</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c r="G52" s="2228"/>
      <c r="H52" s="737"/>
      <c r="I52" s="737"/>
      <c r="J52" s="747"/>
    </row>
    <row r="53" spans="1:11" ht="11.25" customHeight="1" x14ac:dyDescent="0.2">
      <c r="A53" s="751" t="s">
        <v>969</v>
      </c>
      <c r="B53" s="752" t="s">
        <v>1008</v>
      </c>
      <c r="C53" s="747"/>
      <c r="D53" s="738"/>
      <c r="E53" s="750" t="s">
        <v>518</v>
      </c>
      <c r="F53" s="2229" t="s">
        <v>2091</v>
      </c>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2"/>
      <c r="I1" s="761"/>
      <c r="J1" s="433"/>
    </row>
    <row r="2" spans="1:11" ht="26.25" x14ac:dyDescent="0.2">
      <c r="A2" s="2238" t="s">
        <v>1776</v>
      </c>
      <c r="B2" s="2239"/>
      <c r="C2" s="2239"/>
      <c r="D2" s="2239"/>
      <c r="E2" s="2240"/>
      <c r="F2" s="762" t="s">
        <v>960</v>
      </c>
      <c r="G2" s="763" t="s">
        <v>1773</v>
      </c>
      <c r="H2" s="763" t="s">
        <v>430</v>
      </c>
      <c r="I2" s="763" t="s">
        <v>1220</v>
      </c>
      <c r="J2" s="763" t="s">
        <v>1916</v>
      </c>
      <c r="K2" s="763" t="s">
        <v>140</v>
      </c>
    </row>
    <row r="3" spans="1:11" x14ac:dyDescent="0.2">
      <c r="A3" s="2241" t="s">
        <v>1698</v>
      </c>
      <c r="B3" s="2242"/>
      <c r="C3" s="2242"/>
      <c r="D3" s="2242"/>
      <c r="E3" s="2243"/>
      <c r="F3" s="764"/>
      <c r="G3" s="765"/>
      <c r="H3" s="765"/>
      <c r="I3" s="765"/>
      <c r="J3" s="766"/>
      <c r="K3" s="766"/>
    </row>
    <row r="4" spans="1:11" x14ac:dyDescent="0.2">
      <c r="A4" s="2244" t="s">
        <v>387</v>
      </c>
      <c r="B4" s="2245"/>
      <c r="C4" s="2245"/>
      <c r="D4" s="2245"/>
      <c r="E4" s="2226"/>
      <c r="F4" s="767"/>
      <c r="G4" s="768"/>
      <c r="H4" s="769"/>
      <c r="I4" s="768"/>
      <c r="J4" s="770"/>
      <c r="K4" s="770"/>
    </row>
    <row r="5" spans="1:11" x14ac:dyDescent="0.2">
      <c r="A5" s="2262" t="s">
        <v>1129</v>
      </c>
      <c r="B5" s="2235"/>
      <c r="C5" s="2235"/>
      <c r="D5" s="2235"/>
      <c r="E5" s="2263"/>
      <c r="F5" s="771" t="s">
        <v>903</v>
      </c>
      <c r="G5" s="772"/>
      <c r="H5" s="765">
        <v>42314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10910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20673</v>
      </c>
    </row>
    <row r="10" spans="1:11" x14ac:dyDescent="0.2">
      <c r="A10" s="2262" t="s">
        <v>1917</v>
      </c>
      <c r="B10" s="2235"/>
      <c r="C10" s="2235"/>
      <c r="D10" s="2235"/>
      <c r="E10" s="2264"/>
      <c r="F10" s="784" t="s">
        <v>917</v>
      </c>
      <c r="G10" s="783"/>
      <c r="H10" s="785"/>
      <c r="I10" s="765"/>
      <c r="J10" s="766"/>
      <c r="K10" s="766"/>
    </row>
    <row r="11" spans="1:11" x14ac:dyDescent="0.2">
      <c r="A11" s="2262" t="s">
        <v>162</v>
      </c>
      <c r="B11" s="2235"/>
      <c r="C11" s="2235"/>
      <c r="D11" s="2235"/>
      <c r="E11" s="2263"/>
      <c r="F11" s="771" t="s">
        <v>907</v>
      </c>
      <c r="G11" s="772"/>
      <c r="H11" s="765"/>
      <c r="I11" s="765"/>
      <c r="J11" s="766"/>
      <c r="K11" s="774"/>
    </row>
    <row r="12" spans="1:11" ht="13.5" thickBot="1" x14ac:dyDescent="0.25">
      <c r="A12" s="2252" t="s">
        <v>961</v>
      </c>
      <c r="B12" s="2253"/>
      <c r="C12" s="2253"/>
      <c r="D12" s="2253"/>
      <c r="E12" s="2254"/>
      <c r="F12" s="1779"/>
      <c r="G12" s="1780">
        <f>SUM(G5:G11)</f>
        <v>0</v>
      </c>
      <c r="H12" s="1780">
        <f>SUM(H5:H11)</f>
        <v>42314</v>
      </c>
      <c r="I12" s="1780">
        <f>SUM(I5:I11)</f>
        <v>0</v>
      </c>
      <c r="J12" s="1780">
        <f>SUM(J5:J11)</f>
        <v>0</v>
      </c>
      <c r="K12" s="1780">
        <f>SUM(K5:K11)</f>
        <v>31583</v>
      </c>
    </row>
    <row r="13" spans="1:11" ht="13.5" thickTop="1" x14ac:dyDescent="0.2">
      <c r="A13" s="2246" t="s">
        <v>388</v>
      </c>
      <c r="B13" s="2247"/>
      <c r="C13" s="2247"/>
      <c r="D13" s="2247"/>
      <c r="E13" s="2248"/>
      <c r="F13" s="786"/>
      <c r="G13" s="787"/>
      <c r="H13" s="788"/>
      <c r="I13" s="789"/>
      <c r="J13" s="789"/>
      <c r="K13" s="789"/>
    </row>
    <row r="14" spans="1:11" x14ac:dyDescent="0.2">
      <c r="A14" s="2268" t="s">
        <v>476</v>
      </c>
      <c r="B14" s="2268"/>
      <c r="C14" s="2268"/>
      <c r="D14" s="2268"/>
      <c r="E14" s="2269"/>
      <c r="F14" s="790" t="s">
        <v>909</v>
      </c>
      <c r="G14" s="783"/>
      <c r="H14" s="765">
        <v>42314</v>
      </c>
      <c r="I14" s="772"/>
      <c r="J14" s="774"/>
      <c r="K14" s="766">
        <v>31583</v>
      </c>
    </row>
    <row r="15" spans="1:11" x14ac:dyDescent="0.2">
      <c r="A15" s="2235" t="s">
        <v>4</v>
      </c>
      <c r="B15" s="2235"/>
      <c r="C15" s="2235"/>
      <c r="D15" s="2235"/>
      <c r="E15" s="2263"/>
      <c r="F15" s="790" t="s">
        <v>910</v>
      </c>
      <c r="G15" s="772"/>
      <c r="H15" s="765"/>
      <c r="I15" s="765"/>
      <c r="J15" s="766"/>
      <c r="K15" s="766"/>
    </row>
    <row r="16" spans="1:11" x14ac:dyDescent="0.2">
      <c r="A16" s="2235" t="s">
        <v>316</v>
      </c>
      <c r="B16" s="2235"/>
      <c r="C16" s="2235"/>
      <c r="D16" s="2235"/>
      <c r="E16" s="2263"/>
      <c r="F16" s="790" t="s">
        <v>980</v>
      </c>
      <c r="G16" s="773"/>
      <c r="H16" s="768"/>
      <c r="I16" s="768"/>
      <c r="J16" s="770"/>
      <c r="K16" s="770"/>
    </row>
    <row r="17" spans="1:11" x14ac:dyDescent="0.2">
      <c r="A17" s="2257" t="s">
        <v>992</v>
      </c>
      <c r="B17" s="2257"/>
      <c r="C17" s="2257"/>
      <c r="D17" s="2257"/>
      <c r="E17" s="2258"/>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70" t="s">
        <v>1913</v>
      </c>
      <c r="B19" s="2270"/>
      <c r="C19" s="2270"/>
      <c r="D19" s="2270"/>
      <c r="E19" s="2271"/>
      <c r="F19" s="790" t="s">
        <v>990</v>
      </c>
      <c r="G19" s="783"/>
      <c r="H19" s="783"/>
      <c r="I19" s="783"/>
      <c r="J19" s="766"/>
      <c r="K19" s="796"/>
    </row>
    <row r="20" spans="1:11" x14ac:dyDescent="0.2">
      <c r="A20" s="2249" t="s">
        <v>1918</v>
      </c>
      <c r="B20" s="2250"/>
      <c r="C20" s="2250"/>
      <c r="D20" s="2250"/>
      <c r="E20" s="2251"/>
      <c r="F20" s="790" t="s">
        <v>991</v>
      </c>
      <c r="G20" s="783"/>
      <c r="H20" s="783"/>
      <c r="I20" s="783"/>
      <c r="J20" s="766"/>
      <c r="K20" s="796"/>
    </row>
    <row r="21" spans="1:11" ht="13.5" thickBot="1" x14ac:dyDescent="0.25">
      <c r="A21" s="2255" t="s">
        <v>659</v>
      </c>
      <c r="B21" s="2255"/>
      <c r="C21" s="2255"/>
      <c r="D21" s="2255"/>
      <c r="E21" s="2255"/>
      <c r="F21" s="1781"/>
      <c r="G21" s="793"/>
      <c r="H21" s="797"/>
      <c r="I21" s="797"/>
      <c r="J21" s="1782">
        <f>SUM(J18:J20)</f>
        <v>0</v>
      </c>
      <c r="K21" s="794"/>
    </row>
    <row r="22" spans="1:11" ht="13.5" thickTop="1" x14ac:dyDescent="0.2">
      <c r="A22" s="2235" t="s">
        <v>1919</v>
      </c>
      <c r="B22" s="2235"/>
      <c r="C22" s="2235"/>
      <c r="D22" s="2235"/>
      <c r="E22" s="2263"/>
      <c r="F22" s="790" t="s">
        <v>917</v>
      </c>
      <c r="G22" s="783"/>
      <c r="H22" s="765"/>
      <c r="I22" s="765"/>
      <c r="J22" s="798"/>
      <c r="K22" s="766"/>
    </row>
    <row r="23" spans="1:11" ht="13.5" thickBot="1" x14ac:dyDescent="0.25">
      <c r="A23" s="2256" t="s">
        <v>962</v>
      </c>
      <c r="B23" s="2255"/>
      <c r="C23" s="2255"/>
      <c r="D23" s="2255"/>
      <c r="E23" s="2255"/>
      <c r="F23" s="1783"/>
      <c r="G23" s="1780">
        <f>SUM(G14:G16,G21,G22)</f>
        <v>0</v>
      </c>
      <c r="H23" s="1780">
        <f>SUM(H14:H16,H21,H22)</f>
        <v>42314</v>
      </c>
      <c r="I23" s="1780">
        <f>SUM(I14:I16,I21,I22)</f>
        <v>0</v>
      </c>
      <c r="J23" s="1780">
        <f>SUM(J14:J16,J21,J22)</f>
        <v>0</v>
      </c>
      <c r="K23" s="1780">
        <f>SUM(K14:K16,K21,K22)</f>
        <v>31583</v>
      </c>
    </row>
    <row r="24" spans="1:11" ht="14.25" thickTop="1" thickBot="1" x14ac:dyDescent="0.25">
      <c r="A24" s="2256" t="s">
        <v>2023</v>
      </c>
      <c r="B24" s="2255"/>
      <c r="C24" s="2255"/>
      <c r="D24" s="2255"/>
      <c r="E24" s="225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5"/>
      <c r="I31" s="2266"/>
      <c r="J31" s="2266"/>
      <c r="K31" s="2266"/>
    </row>
    <row r="32" spans="1:11" x14ac:dyDescent="0.2">
      <c r="A32" s="810"/>
      <c r="B32" s="237"/>
      <c r="C32" s="237"/>
      <c r="D32" s="237"/>
      <c r="E32" s="806"/>
      <c r="F32" s="812" t="s">
        <v>561</v>
      </c>
      <c r="G32" s="765"/>
      <c r="H32" s="2267"/>
      <c r="I32" s="2266"/>
      <c r="J32" s="2266"/>
      <c r="K32" s="2266"/>
    </row>
    <row r="33" spans="1:11" ht="1.5" customHeight="1" x14ac:dyDescent="0.2">
      <c r="A33" s="813" t="s">
        <v>1231</v>
      </c>
      <c r="B33" s="364"/>
      <c r="C33" s="364"/>
      <c r="D33" s="364"/>
      <c r="E33" s="364"/>
      <c r="F33" s="364"/>
      <c r="G33" s="814"/>
      <c r="H33" s="2267"/>
      <c r="I33" s="2266"/>
      <c r="J33" s="2266"/>
      <c r="K33" s="226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36"/>
      <c r="C41" s="2236"/>
      <c r="D41" s="2236"/>
      <c r="E41" s="2236"/>
      <c r="F41" s="223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2032</v>
      </c>
      <c r="B1" s="2275"/>
      <c r="C1" s="2276"/>
      <c r="D1" s="827"/>
      <c r="E1" s="828"/>
      <c r="F1" s="828"/>
      <c r="G1" s="829"/>
      <c r="H1" s="830"/>
      <c r="I1" s="831"/>
      <c r="J1" s="2272"/>
      <c r="K1" s="2273"/>
      <c r="L1" s="2273"/>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322047</v>
      </c>
      <c r="D5" s="842"/>
      <c r="E5" s="842"/>
      <c r="F5" s="1782">
        <f>(C5+D5)-E5</f>
        <v>322047</v>
      </c>
      <c r="G5" s="838"/>
      <c r="H5" s="843"/>
      <c r="I5" s="843"/>
      <c r="J5" s="843"/>
      <c r="K5" s="794"/>
      <c r="L5" s="1791">
        <f>F5-K5</f>
        <v>322047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24862758</v>
      </c>
      <c r="D8" s="845">
        <v>648349</v>
      </c>
      <c r="E8" s="845"/>
      <c r="F8" s="1782">
        <f>(C8+D8)-E8</f>
        <v>25511107</v>
      </c>
      <c r="G8" s="844">
        <v>50</v>
      </c>
      <c r="H8" s="766">
        <v>11047115</v>
      </c>
      <c r="I8" s="766">
        <v>657793</v>
      </c>
      <c r="J8" s="766"/>
      <c r="K8" s="1791">
        <f>(H8+I8)-J8</f>
        <v>11704908</v>
      </c>
      <c r="L8" s="1791">
        <f>F8-K8</f>
        <v>13806199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4461784</v>
      </c>
      <c r="D10" s="847">
        <v>33100</v>
      </c>
      <c r="E10" s="847"/>
      <c r="F10" s="1786">
        <f>(C10+D10)-E10</f>
        <v>4494884</v>
      </c>
      <c r="G10" s="844">
        <v>20</v>
      </c>
      <c r="H10" s="848">
        <v>2239261</v>
      </c>
      <c r="I10" s="848">
        <v>230789</v>
      </c>
      <c r="J10" s="848"/>
      <c r="K10" s="1791">
        <f>(H10+I10)-J10</f>
        <v>2470050</v>
      </c>
      <c r="L10" s="1791">
        <f>F10-K10</f>
        <v>2024834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3195219</v>
      </c>
      <c r="D12" s="845">
        <v>59392</v>
      </c>
      <c r="E12" s="845"/>
      <c r="F12" s="1782">
        <f>(C12+D12)-E12</f>
        <v>3254611</v>
      </c>
      <c r="G12" s="844">
        <v>10</v>
      </c>
      <c r="H12" s="766">
        <v>2840442</v>
      </c>
      <c r="I12" s="766">
        <v>77887</v>
      </c>
      <c r="J12" s="766"/>
      <c r="K12" s="1791">
        <f>(H12+I12)-J12</f>
        <v>2918329</v>
      </c>
      <c r="L12" s="1791">
        <f>F12-K12</f>
        <v>336282</v>
      </c>
    </row>
    <row r="13" spans="1:14" ht="14.25" thickTop="1" thickBot="1" x14ac:dyDescent="0.25">
      <c r="A13" s="849" t="s">
        <v>1184</v>
      </c>
      <c r="B13" s="841">
        <v>252</v>
      </c>
      <c r="C13" s="845">
        <v>2171275</v>
      </c>
      <c r="D13" s="845">
        <v>328577</v>
      </c>
      <c r="E13" s="845">
        <v>247025</v>
      </c>
      <c r="F13" s="1782">
        <f>(C13+D13)-E13</f>
        <v>2252827</v>
      </c>
      <c r="G13" s="844">
        <v>5</v>
      </c>
      <c r="H13" s="766">
        <v>1762997</v>
      </c>
      <c r="I13" s="766">
        <v>183010</v>
      </c>
      <c r="J13" s="766">
        <v>223431</v>
      </c>
      <c r="K13" s="1791">
        <f>(H13+I13)-J13</f>
        <v>1722576</v>
      </c>
      <c r="L13" s="1791">
        <f>F13-K13</f>
        <v>530251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22138</v>
      </c>
      <c r="D15" s="845">
        <v>353517</v>
      </c>
      <c r="E15" s="845">
        <v>298122</v>
      </c>
      <c r="F15" s="1782">
        <f>(C15+D15)-E15</f>
        <v>77533</v>
      </c>
      <c r="G15" s="850" t="s">
        <v>917</v>
      </c>
      <c r="H15" s="782"/>
      <c r="I15" s="782"/>
      <c r="J15" s="782"/>
      <c r="K15" s="782"/>
      <c r="L15" s="1791">
        <f>F15-K15</f>
        <v>77533</v>
      </c>
    </row>
    <row r="16" spans="1:14" ht="15" customHeight="1" thickTop="1" thickBot="1" x14ac:dyDescent="0.25">
      <c r="A16" s="1787" t="s">
        <v>664</v>
      </c>
      <c r="B16" s="1788">
        <v>200</v>
      </c>
      <c r="C16" s="1782">
        <f>SUM(C3,C5:C6,C8:C10,C12:C15)</f>
        <v>35035221</v>
      </c>
      <c r="D16" s="1782">
        <f>SUM(D3,D5:D6,D8:D10,D12:D15)</f>
        <v>1422935</v>
      </c>
      <c r="E16" s="1782">
        <f>SUM(E3,E5:E6,E8:E10,E12:E15)</f>
        <v>545147</v>
      </c>
      <c r="F16" s="1782">
        <f>SUM(F3,F5:F6,F8:F10,F12:F15)</f>
        <v>35913009</v>
      </c>
      <c r="G16" s="844"/>
      <c r="H16" s="1782">
        <f>SUM(H3,H6,H8:H10,H12:H14,)</f>
        <v>17889815</v>
      </c>
      <c r="I16" s="1782">
        <f>SUM(I3,I6,I8:I10,I12:I14,)</f>
        <v>1149479</v>
      </c>
      <c r="J16" s="1782">
        <f>SUM(J3,J6,J8:J10,J12:J14,)</f>
        <v>223431</v>
      </c>
      <c r="K16" s="1782">
        <f>(H16+I16)-J16</f>
        <v>18815863</v>
      </c>
      <c r="L16" s="1782">
        <f>F16-K16</f>
        <v>17097146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23885</v>
      </c>
      <c r="G17" s="838">
        <v>10</v>
      </c>
      <c r="H17" s="770"/>
      <c r="I17" s="1791">
        <f>F17/G17</f>
        <v>2388.5</v>
      </c>
      <c r="J17" s="770"/>
      <c r="K17" s="796"/>
      <c r="L17" s="796"/>
    </row>
    <row r="18" spans="1:12" ht="14.25" thickTop="1" thickBot="1" x14ac:dyDescent="0.25">
      <c r="A18" s="1789" t="s">
        <v>706</v>
      </c>
      <c r="B18" s="1790"/>
      <c r="C18" s="772"/>
      <c r="D18" s="772"/>
      <c r="E18" s="772"/>
      <c r="F18" s="851"/>
      <c r="G18" s="852"/>
      <c r="H18" s="774"/>
      <c r="I18" s="1782">
        <f>SUM(I16,I17)</f>
        <v>1151867.5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activeCell="A47" sqref="A47"/>
      <selection pane="bottomLeft" activeCell="F77" sqref="F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11052462</v>
      </c>
      <c r="G8" s="866"/>
    </row>
    <row r="9" spans="1:7" x14ac:dyDescent="0.2">
      <c r="A9" s="870" t="s">
        <v>480</v>
      </c>
      <c r="B9" s="871" t="s">
        <v>1986</v>
      </c>
      <c r="C9" s="872"/>
      <c r="D9" s="870" t="s">
        <v>522</v>
      </c>
      <c r="E9" s="869"/>
      <c r="F9" s="1934">
        <f>'Expenditures 15-22'!K151</f>
        <v>1135495</v>
      </c>
      <c r="G9" s="873"/>
    </row>
    <row r="10" spans="1:7" x14ac:dyDescent="0.2">
      <c r="A10" s="870" t="s">
        <v>520</v>
      </c>
      <c r="B10" s="871" t="s">
        <v>1987</v>
      </c>
      <c r="C10" s="872"/>
      <c r="D10" s="870" t="s">
        <v>522</v>
      </c>
      <c r="E10" s="869"/>
      <c r="F10" s="1934">
        <f>'Expenditures 15-22'!K174</f>
        <v>1050960</v>
      </c>
      <c r="G10" s="873"/>
    </row>
    <row r="11" spans="1:7" x14ac:dyDescent="0.2">
      <c r="A11" s="870" t="s">
        <v>481</v>
      </c>
      <c r="B11" s="871" t="s">
        <v>1988</v>
      </c>
      <c r="C11" s="872"/>
      <c r="D11" s="870" t="s">
        <v>522</v>
      </c>
      <c r="E11" s="869"/>
      <c r="F11" s="1934">
        <f>'Expenditures 15-22'!K210</f>
        <v>881365</v>
      </c>
      <c r="G11" s="873"/>
    </row>
    <row r="12" spans="1:7" x14ac:dyDescent="0.2">
      <c r="A12" s="870" t="s">
        <v>482</v>
      </c>
      <c r="B12" s="871" t="s">
        <v>1989</v>
      </c>
      <c r="C12" s="872"/>
      <c r="D12" s="870" t="s">
        <v>522</v>
      </c>
      <c r="E12" s="869"/>
      <c r="F12" s="1934">
        <f>'Expenditures 15-22'!K295</f>
        <v>483755</v>
      </c>
      <c r="G12" s="873"/>
    </row>
    <row r="13" spans="1:7" x14ac:dyDescent="0.2">
      <c r="A13" s="870" t="s">
        <v>108</v>
      </c>
      <c r="B13" s="871" t="s">
        <v>1990</v>
      </c>
      <c r="C13" s="872"/>
      <c r="D13" s="870" t="s">
        <v>522</v>
      </c>
      <c r="E13" s="869"/>
      <c r="F13" s="1934">
        <f>'Expenditures 15-22'!K342</f>
        <v>371852</v>
      </c>
      <c r="G13" s="874"/>
    </row>
    <row r="14" spans="1:7" ht="12" customHeight="1" thickBot="1" x14ac:dyDescent="0.25">
      <c r="A14" s="1792"/>
      <c r="B14" s="1793"/>
      <c r="C14" s="1794"/>
      <c r="D14" s="1795" t="s">
        <v>522</v>
      </c>
      <c r="E14" s="1796" t="s">
        <v>1015</v>
      </c>
      <c r="F14" s="1797">
        <f>SUM(F8:F13)</f>
        <v>14975889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118438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34377</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212767</v>
      </c>
      <c r="G53" s="866"/>
    </row>
    <row r="54" spans="1:7" x14ac:dyDescent="0.2">
      <c r="A54" s="870" t="s">
        <v>479</v>
      </c>
      <c r="B54" s="870" t="s">
        <v>1552</v>
      </c>
      <c r="C54" s="890" t="s">
        <v>1039</v>
      </c>
      <c r="D54" s="886" t="s">
        <v>1157</v>
      </c>
      <c r="E54" s="869"/>
      <c r="F54" s="1938">
        <f>'Expenditures 15-22'!G114</f>
        <v>140948</v>
      </c>
      <c r="G54" s="866"/>
    </row>
    <row r="55" spans="1:7" x14ac:dyDescent="0.2">
      <c r="A55" s="870" t="s">
        <v>479</v>
      </c>
      <c r="B55" s="870" t="s">
        <v>1553</v>
      </c>
      <c r="C55" s="890" t="s">
        <v>1039</v>
      </c>
      <c r="D55" s="886" t="s">
        <v>309</v>
      </c>
      <c r="E55" s="869"/>
      <c r="F55" s="1938">
        <f>'Expenditures 15-22'!I114</f>
        <v>13417</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2324</v>
      </c>
      <c r="G57" s="866"/>
    </row>
    <row r="58" spans="1:7" x14ac:dyDescent="0.2">
      <c r="A58" s="870" t="s">
        <v>480</v>
      </c>
      <c r="B58" s="870" t="s">
        <v>1992</v>
      </c>
      <c r="C58" s="887" t="s">
        <v>1039</v>
      </c>
      <c r="D58" s="886" t="s">
        <v>1157</v>
      </c>
      <c r="E58" s="869"/>
      <c r="F58" s="1940">
        <f>'Expenditures 15-22'!G151</f>
        <v>48199</v>
      </c>
      <c r="G58" s="866"/>
    </row>
    <row r="59" spans="1:7" x14ac:dyDescent="0.2">
      <c r="A59" s="894" t="s">
        <v>480</v>
      </c>
      <c r="B59" s="857" t="s">
        <v>1993</v>
      </c>
      <c r="C59" s="895" t="s">
        <v>1039</v>
      </c>
      <c r="D59" s="857" t="s">
        <v>309</v>
      </c>
      <c r="F59" s="1941">
        <f>'Expenditures 15-22'!I151</f>
        <v>9083</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245980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175374</v>
      </c>
      <c r="G65" s="866"/>
    </row>
    <row r="66" spans="1:8" x14ac:dyDescent="0.2">
      <c r="A66" s="870" t="s">
        <v>481</v>
      </c>
      <c r="B66" s="870" t="s">
        <v>2000</v>
      </c>
      <c r="C66" s="887" t="s">
        <v>1039</v>
      </c>
      <c r="D66" s="886" t="s">
        <v>309</v>
      </c>
      <c r="E66" s="869"/>
      <c r="F66" s="1938">
        <f>'Expenditures 15-22'!I210</f>
        <v>1385</v>
      </c>
      <c r="G66" s="866"/>
    </row>
    <row r="67" spans="1:8" x14ac:dyDescent="0.2">
      <c r="A67" s="870" t="s">
        <v>482</v>
      </c>
      <c r="B67" s="870" t="s">
        <v>2001</v>
      </c>
      <c r="C67" s="887" t="str">
        <f>'Expenditures 15-22'!B216</f>
        <v>1125</v>
      </c>
      <c r="D67" s="893" t="str">
        <f>'Expenditures 15-22'!A216</f>
        <v>Pre-K Programs</v>
      </c>
      <c r="E67" s="869"/>
      <c r="F67" s="1938">
        <f>'Expenditures 15-22'!K216</f>
        <v>5788</v>
      </c>
      <c r="G67" s="866"/>
    </row>
    <row r="68" spans="1:8" x14ac:dyDescent="0.2">
      <c r="A68" s="870" t="s">
        <v>482</v>
      </c>
      <c r="B68" s="870" t="s">
        <v>1555</v>
      </c>
      <c r="C68" s="887" t="str">
        <f>'Expenditures 15-22'!B218</f>
        <v>1225</v>
      </c>
      <c r="D68" s="893" t="str">
        <f>'Expenditures 15-22'!A218</f>
        <v>Special Education Programs - Pre-K</v>
      </c>
      <c r="E68" s="869"/>
      <c r="F68" s="1938">
        <f>'Expenditures 15-22'!K218</f>
        <v>2773</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1010853</v>
      </c>
      <c r="G76" s="866"/>
    </row>
    <row r="77" spans="1:8" s="894" customFormat="1" ht="12" customHeight="1" thickTop="1" thickBot="1" x14ac:dyDescent="0.25">
      <c r="A77" s="1801"/>
      <c r="B77" s="1798"/>
      <c r="C77" s="1794"/>
      <c r="D77" s="1799" t="s">
        <v>2009</v>
      </c>
      <c r="E77" s="1796"/>
      <c r="F77" s="1802">
        <f>(F14-F76)</f>
        <v>13965036</v>
      </c>
      <c r="G77" s="870"/>
    </row>
    <row r="78" spans="1:8" s="894" customFormat="1" ht="12" customHeight="1" thickTop="1" x14ac:dyDescent="0.2">
      <c r="A78" s="1803"/>
      <c r="B78" s="1798"/>
      <c r="C78" s="1794"/>
      <c r="D78" s="1799" t="s">
        <v>2056</v>
      </c>
      <c r="E78" s="1796"/>
      <c r="F78" s="899">
        <v>1500.73</v>
      </c>
      <c r="G78" s="900"/>
      <c r="H78" s="870"/>
    </row>
    <row r="79" spans="1:8" s="894" customFormat="1" ht="12" customHeight="1" thickBot="1" x14ac:dyDescent="0.25">
      <c r="A79" s="1804"/>
      <c r="B79" s="1798"/>
      <c r="C79" s="1794"/>
      <c r="D79" s="1799" t="s">
        <v>2010</v>
      </c>
      <c r="E79" s="1796" t="s">
        <v>1015</v>
      </c>
      <c r="F79" s="1805">
        <f>IF(F78&gt;0,F77/F78," Complete Line 78")</f>
        <v>9305.4953256082044</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377251</v>
      </c>
      <c r="G94" s="913"/>
    </row>
    <row r="95" spans="1:7" x14ac:dyDescent="0.2">
      <c r="A95" s="909" t="s">
        <v>142</v>
      </c>
      <c r="B95" s="909" t="s">
        <v>177</v>
      </c>
      <c r="C95" s="911">
        <v>1700</v>
      </c>
      <c r="D95" s="919" t="str">
        <f>'Revenues 9-14'!A82</f>
        <v>Total District/School Activity Income</v>
      </c>
      <c r="E95" s="907"/>
      <c r="F95" s="1811">
        <f>SUM('Revenues 9-14'!C82,'Revenues 9-14'!D82)</f>
        <v>129549</v>
      </c>
      <c r="G95" s="913"/>
    </row>
    <row r="96" spans="1:7" x14ac:dyDescent="0.2">
      <c r="A96" s="909" t="s">
        <v>479</v>
      </c>
      <c r="B96" s="909" t="s">
        <v>178</v>
      </c>
      <c r="C96" s="911">
        <f>'Revenues 9-14'!B84</f>
        <v>1811</v>
      </c>
      <c r="D96" s="912" t="str">
        <f>'Revenues 9-14'!A84</f>
        <v>Rentals - Regular Textbooks</v>
      </c>
      <c r="E96" s="907"/>
      <c r="F96" s="1811">
        <f>'Revenues 9-14'!C84</f>
        <v>73047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8010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183209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55939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3560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20673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696815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1970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233346</v>
      </c>
      <c r="G129" s="931"/>
    </row>
    <row r="130" spans="1:7" x14ac:dyDescent="0.2">
      <c r="A130" s="928" t="s">
        <v>689</v>
      </c>
      <c r="B130" s="928" t="s">
        <v>804</v>
      </c>
      <c r="C130" s="933">
        <v>4300</v>
      </c>
      <c r="D130" s="934" t="str">
        <f>'Revenues 9-14'!A211</f>
        <v>Total Title I</v>
      </c>
      <c r="E130" s="907"/>
      <c r="F130" s="1811">
        <f>SUM('Revenues 9-14'!C211,'Revenues 9-14'!D211,'Revenues 9-14'!F211,'Revenues 9-14'!G211)</f>
        <v>207454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241836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49372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21825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11730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2315586</v>
      </c>
    </row>
    <row r="179" spans="1:7" ht="12" customHeight="1" x14ac:dyDescent="0.2">
      <c r="A179" s="1792"/>
      <c r="B179" s="1806"/>
      <c r="C179" s="1807"/>
      <c r="D179" s="1808" t="s">
        <v>2012</v>
      </c>
      <c r="E179" s="1809"/>
      <c r="F179" s="1811">
        <f>'PCTC-OEPP 27-28'!F77-F178</f>
        <v>11649450</v>
      </c>
    </row>
    <row r="180" spans="1:7" ht="12" customHeight="1" x14ac:dyDescent="0.2">
      <c r="A180" s="1792"/>
      <c r="B180" s="1806"/>
      <c r="C180" s="1807"/>
      <c r="D180" s="1808" t="s">
        <v>1921</v>
      </c>
      <c r="E180" s="1809"/>
      <c r="F180" s="1811">
        <f>'Cap Outlay Deprec 26'!I18</f>
        <v>1151867.5</v>
      </c>
    </row>
    <row r="181" spans="1:7" ht="12" customHeight="1" x14ac:dyDescent="0.2">
      <c r="A181" s="1792"/>
      <c r="B181" s="1806"/>
      <c r="C181" s="1807"/>
      <c r="D181" s="1808" t="s">
        <v>2013</v>
      </c>
      <c r="E181" s="1809"/>
      <c r="F181" s="1811">
        <f>F179+F180</f>
        <v>12801317.5</v>
      </c>
    </row>
    <row r="182" spans="1:7" ht="12" customHeight="1" x14ac:dyDescent="0.2">
      <c r="A182" s="1792"/>
      <c r="B182" s="1812"/>
      <c r="C182" s="1807"/>
      <c r="D182" s="1808" t="str">
        <f>D78</f>
        <v>9 Month ADA from District Average Daily Attendance/Prior General State Aid Inquiry 2017-2018</v>
      </c>
      <c r="E182" s="1809"/>
      <c r="F182" s="1813">
        <f>'PCTC-OEPP 27-28'!F78</f>
        <v>1500.73</v>
      </c>
      <c r="G182" s="931"/>
    </row>
    <row r="183" spans="1:7" ht="12" customHeight="1" thickBot="1" x14ac:dyDescent="0.25">
      <c r="A183" s="1792"/>
      <c r="B183" s="1812"/>
      <c r="C183" s="1807"/>
      <c r="D183" s="1808" t="s">
        <v>2014</v>
      </c>
      <c r="E183" s="1809" t="s">
        <v>1626</v>
      </c>
      <c r="F183" s="1814">
        <f>F181/F182</f>
        <v>8530.0603706196325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B33" sqref="B3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1922</v>
      </c>
      <c r="B4" s="2292"/>
      <c r="C4" s="2292"/>
      <c r="D4" s="2292"/>
      <c r="E4" s="2292"/>
      <c r="F4" s="2292"/>
      <c r="G4" s="2293"/>
    </row>
    <row r="5" spans="1:7" x14ac:dyDescent="0.25">
      <c r="A5" s="2294"/>
      <c r="B5" s="2295"/>
      <c r="C5" s="2295"/>
      <c r="D5" s="2295"/>
      <c r="E5" s="2295"/>
      <c r="F5" s="2295"/>
      <c r="G5" s="2296"/>
    </row>
    <row r="6" spans="1:7" ht="18.75" x14ac:dyDescent="0.25">
      <c r="A6" s="1556" t="s">
        <v>1923</v>
      </c>
      <c r="B6" s="1557"/>
      <c r="C6" s="1557"/>
      <c r="D6" s="1557"/>
      <c r="E6" s="1557"/>
      <c r="F6" s="1557"/>
      <c r="G6" s="1558"/>
    </row>
    <row r="7" spans="1:7" ht="30.75" customHeight="1" x14ac:dyDescent="0.25">
      <c r="A7" s="2297" t="s">
        <v>2072</v>
      </c>
      <c r="B7" s="2298"/>
      <c r="C7" s="2298"/>
      <c r="D7" s="2298"/>
      <c r="E7" s="2298"/>
      <c r="F7" s="2298"/>
      <c r="G7" s="2299"/>
    </row>
    <row r="8" spans="1:7" ht="15.75" customHeight="1" x14ac:dyDescent="0.25">
      <c r="A8" s="2300" t="s">
        <v>2021</v>
      </c>
      <c r="B8" s="2301"/>
      <c r="C8" s="2301"/>
      <c r="D8" s="2301"/>
      <c r="E8" s="2301"/>
      <c r="F8" s="2301"/>
      <c r="G8" s="2302"/>
    </row>
    <row r="9" spans="1:7" ht="35.25" customHeight="1" x14ac:dyDescent="0.25">
      <c r="A9" s="2297" t="s">
        <v>2020</v>
      </c>
      <c r="B9" s="2298"/>
      <c r="C9" s="2298"/>
      <c r="D9" s="2298"/>
      <c r="E9" s="2298"/>
      <c r="F9" s="2298"/>
      <c r="G9" s="2299"/>
    </row>
    <row r="10" spans="1:7" ht="15" customHeight="1" x14ac:dyDescent="0.25">
      <c r="A10" s="1559" t="s">
        <v>1924</v>
      </c>
      <c r="B10" s="1560"/>
      <c r="C10" s="1560"/>
      <c r="D10" s="1560"/>
      <c r="E10" s="1560"/>
      <c r="F10" s="1560"/>
      <c r="G10" s="1561"/>
    </row>
    <row r="11" spans="1:7" ht="17.25" customHeight="1" x14ac:dyDescent="0.25">
      <c r="A11" s="2297" t="s">
        <v>1938</v>
      </c>
      <c r="B11" s="2298"/>
      <c r="C11" s="2298"/>
      <c r="D11" s="2298"/>
      <c r="E11" s="2298"/>
      <c r="F11" s="2298"/>
      <c r="G11" s="2299"/>
    </row>
    <row r="12" spans="1:7" ht="15" customHeight="1" x14ac:dyDescent="0.25">
      <c r="A12" s="1559" t="s">
        <v>1929</v>
      </c>
      <c r="B12" s="1560"/>
      <c r="C12" s="1560"/>
      <c r="D12" s="1560"/>
      <c r="E12" s="1560"/>
      <c r="F12" s="1560"/>
      <c r="G12" s="1561"/>
    </row>
    <row r="13" spans="1:7" ht="32.25" customHeight="1" x14ac:dyDescent="0.25">
      <c r="A13" s="2288" t="s">
        <v>1930</v>
      </c>
      <c r="B13" s="2289"/>
      <c r="C13" s="2289"/>
      <c r="D13" s="2289"/>
      <c r="E13" s="2289"/>
      <c r="F13" s="2289"/>
      <c r="G13" s="2290"/>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2178</v>
      </c>
      <c r="B17" s="1959" t="s">
        <v>2212</v>
      </c>
      <c r="C17" s="1960" t="s">
        <v>2180</v>
      </c>
      <c r="D17" s="1867">
        <v>4870</v>
      </c>
      <c r="E17" s="1562">
        <f>IF(D17&lt;=25000,D17,IF(D17&gt;25000,25000,0))</f>
        <v>4870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4870</v>
      </c>
      <c r="G17" s="1816">
        <f>IF(F17=0,0,D17-F17)</f>
        <v>0</v>
      </c>
      <c r="H17" s="1669"/>
    </row>
    <row r="18" spans="1:8" x14ac:dyDescent="0.25">
      <c r="A18" s="1958" t="s">
        <v>2178</v>
      </c>
      <c r="B18" s="1959" t="s">
        <v>2179</v>
      </c>
      <c r="C18" s="1960" t="s">
        <v>2181</v>
      </c>
      <c r="D18" s="1867">
        <v>8255</v>
      </c>
      <c r="E18" s="1562">
        <f t="shared" ref="E18:E140" si="0">IF(D18&lt;=25000,D18,IF(D18&gt;25000,25000,0))</f>
        <v>8255</v>
      </c>
      <c r="F18" s="1815">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2">IF(F18=0,0,D18-F18)</f>
        <v>0</v>
      </c>
    </row>
    <row r="19" spans="1:8" x14ac:dyDescent="0.25">
      <c r="A19" s="1958" t="s">
        <v>2178</v>
      </c>
      <c r="B19" s="1959" t="s">
        <v>2179</v>
      </c>
      <c r="C19" s="1960" t="s">
        <v>2182</v>
      </c>
      <c r="D19" s="1867">
        <v>5226</v>
      </c>
      <c r="E19" s="1562">
        <f t="shared" si="0"/>
        <v>5226</v>
      </c>
      <c r="F19" s="1815">
        <f t="shared" si="1"/>
        <v>0</v>
      </c>
      <c r="G19" s="1816">
        <f t="shared" si="2"/>
        <v>0</v>
      </c>
    </row>
    <row r="20" spans="1:8" x14ac:dyDescent="0.25">
      <c r="A20" s="1958" t="s">
        <v>2178</v>
      </c>
      <c r="B20" s="1959" t="s">
        <v>2179</v>
      </c>
      <c r="C20" s="1960" t="s">
        <v>2183</v>
      </c>
      <c r="D20" s="1867">
        <v>7043</v>
      </c>
      <c r="E20" s="1562">
        <f t="shared" si="0"/>
        <v>7043</v>
      </c>
      <c r="F20" s="1815">
        <f t="shared" si="1"/>
        <v>0</v>
      </c>
      <c r="G20" s="1816">
        <f t="shared" si="2"/>
        <v>0</v>
      </c>
    </row>
    <row r="21" spans="1:8" x14ac:dyDescent="0.25">
      <c r="A21" s="1958" t="s">
        <v>2178</v>
      </c>
      <c r="B21" s="1959" t="s">
        <v>2179</v>
      </c>
      <c r="C21" s="1960" t="s">
        <v>2184</v>
      </c>
      <c r="D21" s="1867">
        <v>7373</v>
      </c>
      <c r="E21" s="1562">
        <f t="shared" si="0"/>
        <v>7373</v>
      </c>
      <c r="F21" s="1815">
        <f t="shared" si="1"/>
        <v>0</v>
      </c>
      <c r="G21" s="1816">
        <f t="shared" si="2"/>
        <v>0</v>
      </c>
    </row>
    <row r="22" spans="1:8" x14ac:dyDescent="0.25">
      <c r="A22" s="1958" t="s">
        <v>2178</v>
      </c>
      <c r="B22" s="1959" t="s">
        <v>2179</v>
      </c>
      <c r="C22" s="1960" t="s">
        <v>2181</v>
      </c>
      <c r="D22" s="1867">
        <v>2741</v>
      </c>
      <c r="E22" s="1562">
        <f t="shared" si="0"/>
        <v>2741</v>
      </c>
      <c r="F22" s="1815">
        <f t="shared" si="1"/>
        <v>0</v>
      </c>
      <c r="G22" s="1816">
        <f t="shared" si="2"/>
        <v>0</v>
      </c>
    </row>
    <row r="23" spans="1:8" x14ac:dyDescent="0.25">
      <c r="A23" s="1958" t="s">
        <v>2178</v>
      </c>
      <c r="B23" s="1959" t="s">
        <v>2212</v>
      </c>
      <c r="C23" s="1960" t="s">
        <v>2185</v>
      </c>
      <c r="D23" s="1867">
        <v>26950</v>
      </c>
      <c r="E23" s="1562">
        <f t="shared" si="0"/>
        <v>25000</v>
      </c>
      <c r="F23" s="1815">
        <f t="shared" si="1"/>
        <v>25000</v>
      </c>
      <c r="G23" s="1816">
        <f t="shared" si="2"/>
        <v>1950</v>
      </c>
    </row>
    <row r="24" spans="1:8" x14ac:dyDescent="0.25">
      <c r="A24" s="1958" t="s">
        <v>2186</v>
      </c>
      <c r="B24" s="1959" t="s">
        <v>2194</v>
      </c>
      <c r="C24" s="1960" t="s">
        <v>2200</v>
      </c>
      <c r="D24" s="1867">
        <v>3196</v>
      </c>
      <c r="E24" s="1562">
        <f t="shared" si="0"/>
        <v>3196</v>
      </c>
      <c r="F24" s="1815">
        <f t="shared" si="1"/>
        <v>0</v>
      </c>
      <c r="G24" s="1816">
        <f t="shared" si="2"/>
        <v>0</v>
      </c>
    </row>
    <row r="25" spans="1:8" x14ac:dyDescent="0.25">
      <c r="A25" s="1958" t="s">
        <v>2187</v>
      </c>
      <c r="B25" s="1959" t="s">
        <v>2195</v>
      </c>
      <c r="C25" s="1960" t="s">
        <v>2201</v>
      </c>
      <c r="D25" s="1867">
        <v>16000</v>
      </c>
      <c r="E25" s="1562">
        <f t="shared" si="0"/>
        <v>16000</v>
      </c>
      <c r="F25" s="1815">
        <f t="shared" si="1"/>
        <v>0</v>
      </c>
      <c r="G25" s="1816">
        <f t="shared" si="2"/>
        <v>0</v>
      </c>
    </row>
    <row r="26" spans="1:8" x14ac:dyDescent="0.25">
      <c r="A26" s="1958" t="s">
        <v>2188</v>
      </c>
      <c r="B26" s="1959" t="s">
        <v>2196</v>
      </c>
      <c r="C26" s="1960" t="s">
        <v>2202</v>
      </c>
      <c r="D26" s="1867">
        <v>9000</v>
      </c>
      <c r="E26" s="1562">
        <f t="shared" si="0"/>
        <v>9000</v>
      </c>
      <c r="F26" s="1815">
        <f t="shared" si="1"/>
        <v>0</v>
      </c>
      <c r="G26" s="1816">
        <f t="shared" si="2"/>
        <v>0</v>
      </c>
    </row>
    <row r="27" spans="1:8" x14ac:dyDescent="0.25">
      <c r="A27" s="1958" t="s">
        <v>2188</v>
      </c>
      <c r="B27" s="1959" t="s">
        <v>2196</v>
      </c>
      <c r="C27" s="1960" t="s">
        <v>2203</v>
      </c>
      <c r="D27" s="1867">
        <v>2081</v>
      </c>
      <c r="E27" s="1562">
        <f t="shared" si="0"/>
        <v>2081</v>
      </c>
      <c r="F27" s="1815">
        <f t="shared" si="1"/>
        <v>0</v>
      </c>
      <c r="G27" s="1816">
        <f t="shared" si="2"/>
        <v>0</v>
      </c>
    </row>
    <row r="28" spans="1:8" x14ac:dyDescent="0.25">
      <c r="A28" s="1958" t="s">
        <v>2189</v>
      </c>
      <c r="B28" s="1959" t="s">
        <v>2197</v>
      </c>
      <c r="C28" s="1960" t="s">
        <v>2204</v>
      </c>
      <c r="D28" s="1867">
        <v>2790</v>
      </c>
      <c r="E28" s="1562">
        <f t="shared" si="0"/>
        <v>2790</v>
      </c>
      <c r="F28" s="1815">
        <f t="shared" si="1"/>
        <v>0</v>
      </c>
      <c r="G28" s="1816">
        <f t="shared" si="2"/>
        <v>0</v>
      </c>
    </row>
    <row r="29" spans="1:8" x14ac:dyDescent="0.25">
      <c r="A29" s="1958" t="s">
        <v>2190</v>
      </c>
      <c r="B29" s="1959" t="s">
        <v>2198</v>
      </c>
      <c r="C29" s="1960" t="s">
        <v>2205</v>
      </c>
      <c r="D29" s="1867">
        <v>4145</v>
      </c>
      <c r="E29" s="1562">
        <f t="shared" si="0"/>
        <v>4145</v>
      </c>
      <c r="F29" s="1815">
        <f t="shared" si="1"/>
        <v>0</v>
      </c>
      <c r="G29" s="1816">
        <f t="shared" si="2"/>
        <v>0</v>
      </c>
    </row>
    <row r="30" spans="1:8" x14ac:dyDescent="0.25">
      <c r="A30" s="1958" t="s">
        <v>2191</v>
      </c>
      <c r="B30" s="1959" t="s">
        <v>2199</v>
      </c>
      <c r="C30" s="1960" t="s">
        <v>2206</v>
      </c>
      <c r="D30" s="1867">
        <v>4580</v>
      </c>
      <c r="E30" s="1562">
        <f t="shared" si="0"/>
        <v>4580</v>
      </c>
      <c r="F30" s="1815">
        <f t="shared" si="1"/>
        <v>0</v>
      </c>
      <c r="G30" s="1816">
        <f t="shared" si="2"/>
        <v>0</v>
      </c>
    </row>
    <row r="31" spans="1:8" x14ac:dyDescent="0.25">
      <c r="A31" s="1958" t="s">
        <v>2192</v>
      </c>
      <c r="B31" s="1959" t="s">
        <v>2213</v>
      </c>
      <c r="C31" s="1960" t="s">
        <v>2207</v>
      </c>
      <c r="D31" s="1867">
        <v>34650</v>
      </c>
      <c r="E31" s="1562">
        <f t="shared" si="0"/>
        <v>25000</v>
      </c>
      <c r="F31" s="1815">
        <f t="shared" si="1"/>
        <v>25000</v>
      </c>
      <c r="G31" s="1816">
        <f t="shared" si="2"/>
        <v>9650</v>
      </c>
    </row>
    <row r="32" spans="1:8" x14ac:dyDescent="0.25">
      <c r="A32" s="1958" t="s">
        <v>2193</v>
      </c>
      <c r="B32" s="1959" t="s">
        <v>2214</v>
      </c>
      <c r="C32" s="1960" t="s">
        <v>2208</v>
      </c>
      <c r="D32" s="1867">
        <v>30000</v>
      </c>
      <c r="E32" s="1562">
        <f t="shared" si="0"/>
        <v>25000</v>
      </c>
      <c r="F32" s="1815">
        <f t="shared" si="1"/>
        <v>25000</v>
      </c>
      <c r="G32" s="1816">
        <f t="shared" si="2"/>
        <v>5000</v>
      </c>
    </row>
    <row r="33" spans="1:7" x14ac:dyDescent="0.25">
      <c r="A33" s="1675"/>
      <c r="B33" s="1868"/>
      <c r="C33" s="1676"/>
      <c r="D33" s="1867"/>
      <c r="E33" s="1562">
        <f t="shared" si="0"/>
        <v>0</v>
      </c>
      <c r="F33" s="1815">
        <f t="shared" si="1"/>
        <v>0</v>
      </c>
      <c r="G33" s="1816">
        <f t="shared" si="2"/>
        <v>0</v>
      </c>
    </row>
    <row r="34" spans="1:7" x14ac:dyDescent="0.25">
      <c r="A34" s="1675"/>
      <c r="B34" s="1868"/>
      <c r="C34" s="1676"/>
      <c r="D34" s="1867"/>
      <c r="E34" s="1562">
        <f t="shared" si="0"/>
        <v>0</v>
      </c>
      <c r="F34" s="1815">
        <f t="shared" si="1"/>
        <v>0</v>
      </c>
      <c r="G34" s="1816">
        <f t="shared" si="2"/>
        <v>0</v>
      </c>
    </row>
    <row r="35" spans="1:7" x14ac:dyDescent="0.25">
      <c r="A35" s="1675"/>
      <c r="B35" s="1868"/>
      <c r="C35" s="1676"/>
      <c r="D35" s="1867"/>
      <c r="E35" s="1562">
        <f t="shared" si="0"/>
        <v>0</v>
      </c>
      <c r="F35" s="1815">
        <f t="shared" si="1"/>
        <v>0</v>
      </c>
      <c r="G35" s="1816">
        <f t="shared" si="2"/>
        <v>0</v>
      </c>
    </row>
    <row r="36" spans="1:7" x14ac:dyDescent="0.25">
      <c r="A36" s="1675"/>
      <c r="B36" s="1868"/>
      <c r="C36" s="1676"/>
      <c r="D36" s="1867"/>
      <c r="E36" s="1562">
        <f t="shared" si="0"/>
        <v>0</v>
      </c>
      <c r="F36" s="1815">
        <f t="shared" si="1"/>
        <v>0</v>
      </c>
      <c r="G36" s="1816">
        <f t="shared" si="2"/>
        <v>0</v>
      </c>
    </row>
    <row r="37" spans="1:7" x14ac:dyDescent="0.25">
      <c r="A37" s="1675"/>
      <c r="B37" s="1868"/>
      <c r="C37" s="1676"/>
      <c r="D37" s="1867"/>
      <c r="E37" s="1562">
        <f t="shared" si="0"/>
        <v>0</v>
      </c>
      <c r="F37" s="1815">
        <f t="shared" si="1"/>
        <v>0</v>
      </c>
      <c r="G37" s="1816">
        <f t="shared" si="2"/>
        <v>0</v>
      </c>
    </row>
    <row r="38" spans="1:7" x14ac:dyDescent="0.25">
      <c r="A38" s="1675"/>
      <c r="B38" s="1689"/>
      <c r="C38" s="1676"/>
      <c r="D38" s="1867"/>
      <c r="E38" s="1562">
        <f t="shared" si="0"/>
        <v>0</v>
      </c>
      <c r="F38" s="1815">
        <f t="shared" si="1"/>
        <v>0</v>
      </c>
      <c r="G38" s="1816">
        <f t="shared" si="2"/>
        <v>0</v>
      </c>
    </row>
    <row r="39" spans="1:7" x14ac:dyDescent="0.25">
      <c r="A39" s="1675"/>
      <c r="B39" s="1689"/>
      <c r="C39" s="1676"/>
      <c r="D39" s="1867"/>
      <c r="E39" s="1562">
        <f t="shared" si="0"/>
        <v>0</v>
      </c>
      <c r="F39" s="1815">
        <f t="shared" si="1"/>
        <v>0</v>
      </c>
      <c r="G39" s="1816">
        <f t="shared" si="2"/>
        <v>0</v>
      </c>
    </row>
    <row r="40" spans="1:7" x14ac:dyDescent="0.25">
      <c r="A40" s="1675"/>
      <c r="B40" s="1689"/>
      <c r="C40" s="1676"/>
      <c r="D40" s="1867"/>
      <c r="E40" s="1562">
        <f t="shared" si="0"/>
        <v>0</v>
      </c>
      <c r="F40" s="1815">
        <f t="shared" si="1"/>
        <v>0</v>
      </c>
      <c r="G40" s="1816">
        <f t="shared" si="2"/>
        <v>0</v>
      </c>
    </row>
    <row r="41" spans="1:7" x14ac:dyDescent="0.25">
      <c r="A41" s="1675"/>
      <c r="B41" s="1689"/>
      <c r="C41" s="1676"/>
      <c r="D41" s="1867"/>
      <c r="E41" s="1562">
        <f t="shared" si="0"/>
        <v>0</v>
      </c>
      <c r="F41" s="1815">
        <f t="shared" si="1"/>
        <v>0</v>
      </c>
      <c r="G41" s="1816">
        <f t="shared" si="2"/>
        <v>0</v>
      </c>
    </row>
    <row r="42" spans="1:7" x14ac:dyDescent="0.25">
      <c r="A42" s="1675"/>
      <c r="B42" s="1689"/>
      <c r="C42" s="1676"/>
      <c r="D42" s="1867"/>
      <c r="E42" s="1562">
        <f t="shared" si="0"/>
        <v>0</v>
      </c>
      <c r="F42" s="1815">
        <f t="shared" si="1"/>
        <v>0</v>
      </c>
      <c r="G42" s="1816">
        <f t="shared" si="2"/>
        <v>0</v>
      </c>
    </row>
    <row r="43" spans="1:7" x14ac:dyDescent="0.25">
      <c r="A43" s="1675"/>
      <c r="B43" s="1689"/>
      <c r="C43" s="1676"/>
      <c r="D43" s="1867"/>
      <c r="E43" s="1562">
        <f t="shared" si="0"/>
        <v>0</v>
      </c>
      <c r="F43" s="1815">
        <f t="shared" si="1"/>
        <v>0</v>
      </c>
      <c r="G43" s="1816">
        <f t="shared" si="2"/>
        <v>0</v>
      </c>
    </row>
    <row r="44" spans="1:7" x14ac:dyDescent="0.25">
      <c r="A44" s="1675"/>
      <c r="B44" s="1689"/>
      <c r="C44" s="1676"/>
      <c r="D44" s="1867"/>
      <c r="E44" s="1562">
        <f t="shared" si="0"/>
        <v>0</v>
      </c>
      <c r="F44" s="1815">
        <f t="shared" si="1"/>
        <v>0</v>
      </c>
      <c r="G44" s="1816">
        <f t="shared" si="2"/>
        <v>0</v>
      </c>
    </row>
    <row r="45" spans="1:7" x14ac:dyDescent="0.25">
      <c r="A45" s="1675"/>
      <c r="B45" s="1689"/>
      <c r="C45" s="1676"/>
      <c r="D45" s="1867"/>
      <c r="E45" s="1562">
        <f t="shared" si="0"/>
        <v>0</v>
      </c>
      <c r="F45" s="1815">
        <f t="shared" si="1"/>
        <v>0</v>
      </c>
      <c r="G45" s="1816">
        <f t="shared" si="2"/>
        <v>0</v>
      </c>
    </row>
    <row r="46" spans="1:7" x14ac:dyDescent="0.25">
      <c r="A46" s="1675"/>
      <c r="B46" s="1689"/>
      <c r="C46" s="1676"/>
      <c r="D46" s="1867"/>
      <c r="E46" s="1562">
        <f t="shared" si="0"/>
        <v>0</v>
      </c>
      <c r="F46" s="1815">
        <f t="shared" si="1"/>
        <v>0</v>
      </c>
      <c r="G46" s="1816">
        <f t="shared" si="2"/>
        <v>0</v>
      </c>
    </row>
    <row r="47" spans="1:7" x14ac:dyDescent="0.25">
      <c r="A47" s="1675"/>
      <c r="B47" s="1689"/>
      <c r="C47" s="1676"/>
      <c r="D47" s="1867"/>
      <c r="E47" s="1562">
        <f t="shared" si="0"/>
        <v>0</v>
      </c>
      <c r="F47" s="1815">
        <f t="shared" si="1"/>
        <v>0</v>
      </c>
      <c r="G47" s="1816">
        <f t="shared" si="2"/>
        <v>0</v>
      </c>
    </row>
    <row r="48" spans="1:7" x14ac:dyDescent="0.25">
      <c r="A48" s="1675"/>
      <c r="B48" s="1689"/>
      <c r="C48" s="1676"/>
      <c r="D48" s="1867"/>
      <c r="E48" s="1562">
        <f t="shared" si="0"/>
        <v>0</v>
      </c>
      <c r="F48" s="1815">
        <f t="shared" si="1"/>
        <v>0</v>
      </c>
      <c r="G48" s="1816">
        <f t="shared" si="2"/>
        <v>0</v>
      </c>
    </row>
    <row r="49" spans="1:7" x14ac:dyDescent="0.25">
      <c r="A49" s="1675"/>
      <c r="B49" s="1689"/>
      <c r="C49" s="1676"/>
      <c r="D49" s="1867"/>
      <c r="E49" s="1562">
        <f t="shared" si="0"/>
        <v>0</v>
      </c>
      <c r="F49" s="1815">
        <f t="shared" si="1"/>
        <v>0</v>
      </c>
      <c r="G49" s="1816">
        <f t="shared" si="2"/>
        <v>0</v>
      </c>
    </row>
    <row r="50" spans="1:7" x14ac:dyDescent="0.25">
      <c r="A50" s="1675"/>
      <c r="B50" s="1689"/>
      <c r="C50" s="1676"/>
      <c r="D50" s="1867"/>
      <c r="E50" s="1562">
        <f t="shared" si="0"/>
        <v>0</v>
      </c>
      <c r="F50" s="1815">
        <f t="shared" si="1"/>
        <v>0</v>
      </c>
      <c r="G50" s="1816">
        <f t="shared" si="2"/>
        <v>0</v>
      </c>
    </row>
    <row r="51" spans="1:7" x14ac:dyDescent="0.25">
      <c r="A51" s="1675"/>
      <c r="B51" s="1689"/>
      <c r="C51" s="1676"/>
      <c r="D51" s="1867"/>
      <c r="E51" s="1562">
        <f t="shared" si="0"/>
        <v>0</v>
      </c>
      <c r="F51" s="1815">
        <f t="shared" si="1"/>
        <v>0</v>
      </c>
      <c r="G51" s="1816">
        <f t="shared" si="2"/>
        <v>0</v>
      </c>
    </row>
    <row r="52" spans="1:7" x14ac:dyDescent="0.25">
      <c r="A52" s="1675"/>
      <c r="B52" s="1689"/>
      <c r="C52" s="1676"/>
      <c r="D52" s="1867"/>
      <c r="E52" s="1562">
        <f t="shared" si="0"/>
        <v>0</v>
      </c>
      <c r="F52" s="1815">
        <f t="shared" si="1"/>
        <v>0</v>
      </c>
      <c r="G52" s="1816">
        <f t="shared" si="2"/>
        <v>0</v>
      </c>
    </row>
    <row r="53" spans="1:7" x14ac:dyDescent="0.25">
      <c r="A53" s="1675"/>
      <c r="B53" s="1689"/>
      <c r="C53" s="1676"/>
      <c r="D53" s="1867"/>
      <c r="E53" s="1562">
        <f t="shared" si="0"/>
        <v>0</v>
      </c>
      <c r="F53" s="1815">
        <f t="shared" si="1"/>
        <v>0</v>
      </c>
      <c r="G53" s="1816">
        <f t="shared" si="2"/>
        <v>0</v>
      </c>
    </row>
    <row r="54" spans="1:7" x14ac:dyDescent="0.25">
      <c r="A54" s="1675"/>
      <c r="B54" s="1689"/>
      <c r="C54" s="1676"/>
      <c r="D54" s="1867"/>
      <c r="E54" s="1562">
        <f t="shared" si="0"/>
        <v>0</v>
      </c>
      <c r="F54" s="1815">
        <f t="shared" si="1"/>
        <v>0</v>
      </c>
      <c r="G54" s="1816">
        <f t="shared" si="2"/>
        <v>0</v>
      </c>
    </row>
    <row r="55" spans="1:7" x14ac:dyDescent="0.25">
      <c r="A55" s="1675"/>
      <c r="B55" s="1689"/>
      <c r="C55" s="1676"/>
      <c r="D55" s="1867"/>
      <c r="E55" s="1562">
        <f t="shared" si="0"/>
        <v>0</v>
      </c>
      <c r="F55" s="1815">
        <f t="shared" si="1"/>
        <v>0</v>
      </c>
      <c r="G55" s="1816">
        <f t="shared" si="2"/>
        <v>0</v>
      </c>
    </row>
    <row r="56" spans="1:7" x14ac:dyDescent="0.25">
      <c r="A56" s="1675"/>
      <c r="B56" s="1689"/>
      <c r="C56" s="1676"/>
      <c r="D56" s="1867"/>
      <c r="E56" s="1562">
        <f t="shared" si="0"/>
        <v>0</v>
      </c>
      <c r="F56" s="1815">
        <f t="shared" si="1"/>
        <v>0</v>
      </c>
      <c r="G56" s="1816">
        <f t="shared" si="2"/>
        <v>0</v>
      </c>
    </row>
    <row r="57" spans="1:7" x14ac:dyDescent="0.25">
      <c r="A57" s="1675"/>
      <c r="B57" s="1689"/>
      <c r="C57" s="1676"/>
      <c r="D57" s="1867"/>
      <c r="E57" s="1562">
        <f t="shared" si="0"/>
        <v>0</v>
      </c>
      <c r="F57" s="1815">
        <f t="shared" si="1"/>
        <v>0</v>
      </c>
      <c r="G57" s="1816">
        <f t="shared" si="2"/>
        <v>0</v>
      </c>
    </row>
    <row r="58" spans="1:7" x14ac:dyDescent="0.25">
      <c r="A58" s="1675"/>
      <c r="B58" s="1689"/>
      <c r="C58" s="1676"/>
      <c r="D58" s="1867"/>
      <c r="E58" s="1562">
        <f t="shared" si="0"/>
        <v>0</v>
      </c>
      <c r="F58" s="1815">
        <f t="shared" si="1"/>
        <v>0</v>
      </c>
      <c r="G58" s="1816">
        <f t="shared" si="2"/>
        <v>0</v>
      </c>
    </row>
    <row r="59" spans="1:7" x14ac:dyDescent="0.25">
      <c r="A59" s="1675"/>
      <c r="B59" s="1689"/>
      <c r="C59" s="1676"/>
      <c r="D59" s="1867"/>
      <c r="E59" s="1562">
        <f t="shared" si="0"/>
        <v>0</v>
      </c>
      <c r="F59" s="1815">
        <f t="shared" si="1"/>
        <v>0</v>
      </c>
      <c r="G59" s="1816">
        <f t="shared" si="2"/>
        <v>0</v>
      </c>
    </row>
    <row r="60" spans="1:7" x14ac:dyDescent="0.25">
      <c r="A60" s="1675"/>
      <c r="B60" s="1689"/>
      <c r="C60" s="1676"/>
      <c r="D60" s="1867"/>
      <c r="E60" s="1562">
        <f t="shared" si="0"/>
        <v>0</v>
      </c>
      <c r="F60" s="1815">
        <f t="shared" si="1"/>
        <v>0</v>
      </c>
      <c r="G60" s="1816">
        <f t="shared" si="2"/>
        <v>0</v>
      </c>
    </row>
    <row r="61" spans="1:7" x14ac:dyDescent="0.25">
      <c r="A61" s="1675"/>
      <c r="B61" s="1689"/>
      <c r="C61" s="1676"/>
      <c r="D61" s="1867"/>
      <c r="E61" s="1562">
        <f t="shared" si="0"/>
        <v>0</v>
      </c>
      <c r="F61" s="1815">
        <f t="shared" si="1"/>
        <v>0</v>
      </c>
      <c r="G61" s="1816">
        <f t="shared" si="2"/>
        <v>0</v>
      </c>
    </row>
    <row r="62" spans="1:7" x14ac:dyDescent="0.25">
      <c r="A62" s="1675"/>
      <c r="B62" s="1689"/>
      <c r="C62" s="1676"/>
      <c r="D62" s="1867"/>
      <c r="E62" s="1562">
        <f t="shared" si="0"/>
        <v>0</v>
      </c>
      <c r="F62" s="1815">
        <f t="shared" si="1"/>
        <v>0</v>
      </c>
      <c r="G62" s="1816">
        <f t="shared" si="2"/>
        <v>0</v>
      </c>
    </row>
    <row r="63" spans="1:7" x14ac:dyDescent="0.25">
      <c r="A63" s="1675"/>
      <c r="B63" s="1689"/>
      <c r="C63" s="1676"/>
      <c r="D63" s="1867"/>
      <c r="E63" s="1562">
        <f t="shared" si="0"/>
        <v>0</v>
      </c>
      <c r="F63" s="1815">
        <f t="shared" si="1"/>
        <v>0</v>
      </c>
      <c r="G63" s="1816">
        <f t="shared" si="2"/>
        <v>0</v>
      </c>
    </row>
    <row r="64" spans="1:7" x14ac:dyDescent="0.25">
      <c r="A64" s="1677"/>
      <c r="B64" s="1689"/>
      <c r="C64" s="1678"/>
      <c r="D64" s="1867"/>
      <c r="E64" s="1562">
        <f t="shared" si="0"/>
        <v>0</v>
      </c>
      <c r="F64" s="1815">
        <f t="shared" si="1"/>
        <v>0</v>
      </c>
      <c r="G64" s="1816">
        <f t="shared" si="2"/>
        <v>0</v>
      </c>
    </row>
    <row r="65" spans="1:7" x14ac:dyDescent="0.25">
      <c r="A65" s="1675"/>
      <c r="B65" s="1689"/>
      <c r="C65" s="1676"/>
      <c r="D65" s="1867"/>
      <c r="E65" s="1562">
        <f t="shared" si="0"/>
        <v>0</v>
      </c>
      <c r="F65" s="1815">
        <f t="shared" si="1"/>
        <v>0</v>
      </c>
      <c r="G65" s="1816">
        <f t="shared" si="2"/>
        <v>0</v>
      </c>
    </row>
    <row r="66" spans="1:7" x14ac:dyDescent="0.25">
      <c r="A66" s="1675"/>
      <c r="B66" s="1689"/>
      <c r="C66" s="1676"/>
      <c r="D66" s="1867"/>
      <c r="E66" s="1562">
        <f t="shared" si="0"/>
        <v>0</v>
      </c>
      <c r="F66" s="1815">
        <f t="shared" si="1"/>
        <v>0</v>
      </c>
      <c r="G66" s="1816">
        <f t="shared" si="2"/>
        <v>0</v>
      </c>
    </row>
    <row r="67" spans="1:7" x14ac:dyDescent="0.25">
      <c r="A67" s="1675"/>
      <c r="B67" s="1689"/>
      <c r="C67" s="1676"/>
      <c r="D67" s="1867"/>
      <c r="E67" s="1562">
        <f t="shared" si="0"/>
        <v>0</v>
      </c>
      <c r="F67" s="1815">
        <f t="shared" si="1"/>
        <v>0</v>
      </c>
      <c r="G67" s="1816">
        <f t="shared" si="2"/>
        <v>0</v>
      </c>
    </row>
    <row r="68" spans="1:7" x14ac:dyDescent="0.25">
      <c r="A68" s="1675"/>
      <c r="B68" s="1689"/>
      <c r="C68" s="1676"/>
      <c r="D68" s="1867"/>
      <c r="E68" s="1562">
        <f t="shared" si="0"/>
        <v>0</v>
      </c>
      <c r="F68" s="1815">
        <f t="shared" si="1"/>
        <v>0</v>
      </c>
      <c r="G68" s="1816">
        <f t="shared" si="2"/>
        <v>0</v>
      </c>
    </row>
    <row r="69" spans="1:7" x14ac:dyDescent="0.25">
      <c r="A69" s="1675"/>
      <c r="B69" s="1689"/>
      <c r="C69" s="1676"/>
      <c r="D69" s="1867"/>
      <c r="E69" s="1562">
        <f t="shared" si="0"/>
        <v>0</v>
      </c>
      <c r="F69" s="1815">
        <f t="shared" si="1"/>
        <v>0</v>
      </c>
      <c r="G69" s="1816">
        <f t="shared" si="2"/>
        <v>0</v>
      </c>
    </row>
    <row r="70" spans="1:7" x14ac:dyDescent="0.25">
      <c r="A70" s="1675"/>
      <c r="B70" s="1689"/>
      <c r="C70" s="1676"/>
      <c r="D70" s="1867"/>
      <c r="E70" s="1562">
        <f t="shared" si="0"/>
        <v>0</v>
      </c>
      <c r="F70" s="1815">
        <f t="shared" si="1"/>
        <v>0</v>
      </c>
      <c r="G70" s="1816">
        <f t="shared" si="2"/>
        <v>0</v>
      </c>
    </row>
    <row r="71" spans="1:7" x14ac:dyDescent="0.25">
      <c r="A71" s="1675"/>
      <c r="B71" s="1689"/>
      <c r="C71" s="1676"/>
      <c r="D71" s="1867"/>
      <c r="E71" s="1562">
        <f t="shared" si="0"/>
        <v>0</v>
      </c>
      <c r="F71" s="1815">
        <f t="shared" si="1"/>
        <v>0</v>
      </c>
      <c r="G71" s="1816">
        <f t="shared" si="2"/>
        <v>0</v>
      </c>
    </row>
    <row r="72" spans="1:7" x14ac:dyDescent="0.25">
      <c r="A72" s="1675"/>
      <c r="B72" s="1689"/>
      <c r="C72" s="1676"/>
      <c r="D72" s="1867"/>
      <c r="E72" s="1562">
        <f t="shared" si="0"/>
        <v>0</v>
      </c>
      <c r="F72" s="1815">
        <f t="shared" si="1"/>
        <v>0</v>
      </c>
      <c r="G72" s="1816">
        <f t="shared" si="2"/>
        <v>0</v>
      </c>
    </row>
    <row r="73" spans="1:7" x14ac:dyDescent="0.25">
      <c r="A73" s="1675"/>
      <c r="B73" s="1689"/>
      <c r="C73" s="1676"/>
      <c r="D73" s="1867"/>
      <c r="E73" s="1562">
        <f t="shared" ref="E73:E84" si="3">IF(D73&lt;=25000,D73,IF(D73&gt;25000,25000,0))</f>
        <v>0</v>
      </c>
      <c r="F73" s="1815">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5">IF(F73=0,0,D73-F73)</f>
        <v>0</v>
      </c>
    </row>
    <row r="74" spans="1:7" x14ac:dyDescent="0.25">
      <c r="A74" s="1675"/>
      <c r="B74" s="1689"/>
      <c r="C74" s="1676"/>
      <c r="D74" s="1867"/>
      <c r="E74" s="1562">
        <f t="shared" si="3"/>
        <v>0</v>
      </c>
      <c r="F74" s="1815">
        <f t="shared" si="4"/>
        <v>0</v>
      </c>
      <c r="G74" s="1816">
        <f t="shared" si="5"/>
        <v>0</v>
      </c>
    </row>
    <row r="75" spans="1:7" x14ac:dyDescent="0.25">
      <c r="A75" s="1675"/>
      <c r="B75" s="1689"/>
      <c r="C75" s="1676"/>
      <c r="D75" s="1867"/>
      <c r="E75" s="1562">
        <f t="shared" si="3"/>
        <v>0</v>
      </c>
      <c r="F75" s="1815">
        <f t="shared" si="4"/>
        <v>0</v>
      </c>
      <c r="G75" s="1816">
        <f t="shared" si="5"/>
        <v>0</v>
      </c>
    </row>
    <row r="76" spans="1:7" x14ac:dyDescent="0.25">
      <c r="A76" s="1675"/>
      <c r="B76" s="1689"/>
      <c r="C76" s="1676"/>
      <c r="D76" s="1867"/>
      <c r="E76" s="1562">
        <f t="shared" si="3"/>
        <v>0</v>
      </c>
      <c r="F76" s="1815">
        <f t="shared" si="4"/>
        <v>0</v>
      </c>
      <c r="G76" s="1816">
        <f t="shared" si="5"/>
        <v>0</v>
      </c>
    </row>
    <row r="77" spans="1:7" x14ac:dyDescent="0.25">
      <c r="A77" s="1675"/>
      <c r="B77" s="1689"/>
      <c r="C77" s="1676"/>
      <c r="D77" s="1867"/>
      <c r="E77" s="1562">
        <f t="shared" si="3"/>
        <v>0</v>
      </c>
      <c r="F77" s="1815">
        <f t="shared" si="4"/>
        <v>0</v>
      </c>
      <c r="G77" s="1816">
        <f t="shared" si="5"/>
        <v>0</v>
      </c>
    </row>
    <row r="78" spans="1:7" x14ac:dyDescent="0.25">
      <c r="A78" s="1675"/>
      <c r="B78" s="1689"/>
      <c r="C78" s="1676"/>
      <c r="D78" s="1867"/>
      <c r="E78" s="1562">
        <f t="shared" si="3"/>
        <v>0</v>
      </c>
      <c r="F78" s="1815">
        <f t="shared" si="4"/>
        <v>0</v>
      </c>
      <c r="G78" s="1816">
        <f t="shared" si="5"/>
        <v>0</v>
      </c>
    </row>
    <row r="79" spans="1:7" x14ac:dyDescent="0.25">
      <c r="A79" s="1675"/>
      <c r="B79" s="1689"/>
      <c r="C79" s="1676"/>
      <c r="D79" s="1867"/>
      <c r="E79" s="1562">
        <f t="shared" si="3"/>
        <v>0</v>
      </c>
      <c r="F79" s="1815">
        <f t="shared" si="4"/>
        <v>0</v>
      </c>
      <c r="G79" s="1816">
        <f t="shared" si="5"/>
        <v>0</v>
      </c>
    </row>
    <row r="80" spans="1:7" x14ac:dyDescent="0.25">
      <c r="A80" s="1675"/>
      <c r="B80" s="1689"/>
      <c r="C80" s="1676"/>
      <c r="D80" s="1867"/>
      <c r="E80" s="1562">
        <f t="shared" si="3"/>
        <v>0</v>
      </c>
      <c r="F80" s="1815">
        <f t="shared" si="4"/>
        <v>0</v>
      </c>
      <c r="G80" s="1816">
        <f t="shared" si="5"/>
        <v>0</v>
      </c>
    </row>
    <row r="81" spans="1:7" x14ac:dyDescent="0.25">
      <c r="A81" s="1675"/>
      <c r="B81" s="1689"/>
      <c r="C81" s="1676"/>
      <c r="D81" s="1867"/>
      <c r="E81" s="1562">
        <f t="shared" si="3"/>
        <v>0</v>
      </c>
      <c r="F81" s="1815">
        <f t="shared" si="4"/>
        <v>0</v>
      </c>
      <c r="G81" s="1816">
        <f t="shared" si="5"/>
        <v>0</v>
      </c>
    </row>
    <row r="82" spans="1:7" x14ac:dyDescent="0.25">
      <c r="A82" s="1675"/>
      <c r="B82" s="1689"/>
      <c r="C82" s="1676"/>
      <c r="D82" s="1867"/>
      <c r="E82" s="1562">
        <f t="shared" si="3"/>
        <v>0</v>
      </c>
      <c r="F82" s="1815">
        <f t="shared" si="4"/>
        <v>0</v>
      </c>
      <c r="G82" s="1816">
        <f t="shared" si="5"/>
        <v>0</v>
      </c>
    </row>
    <row r="83" spans="1:7" x14ac:dyDescent="0.25">
      <c r="A83" s="1675"/>
      <c r="B83" s="1689"/>
      <c r="C83" s="1676"/>
      <c r="D83" s="1867"/>
      <c r="E83" s="1562">
        <f t="shared" si="3"/>
        <v>0</v>
      </c>
      <c r="F83" s="1815">
        <f t="shared" si="4"/>
        <v>0</v>
      </c>
      <c r="G83" s="1816">
        <f t="shared" si="5"/>
        <v>0</v>
      </c>
    </row>
    <row r="84" spans="1:7" x14ac:dyDescent="0.25">
      <c r="A84" s="1675"/>
      <c r="B84" s="1689"/>
      <c r="C84" s="1676"/>
      <c r="D84" s="1867"/>
      <c r="E84" s="1562">
        <f t="shared" si="3"/>
        <v>0</v>
      </c>
      <c r="F84" s="1815">
        <f t="shared" si="4"/>
        <v>0</v>
      </c>
      <c r="G84" s="1816">
        <f t="shared" si="5"/>
        <v>0</v>
      </c>
    </row>
    <row r="85" spans="1:7" x14ac:dyDescent="0.25">
      <c r="A85" s="1675"/>
      <c r="B85" s="1689"/>
      <c r="C85" s="1676"/>
      <c r="D85" s="1867"/>
      <c r="E85" s="1562">
        <f t="shared" si="0"/>
        <v>0</v>
      </c>
      <c r="F85" s="1815">
        <f t="shared" si="1"/>
        <v>0</v>
      </c>
      <c r="G85" s="1816">
        <f t="shared" si="2"/>
        <v>0</v>
      </c>
    </row>
    <row r="86" spans="1:7" x14ac:dyDescent="0.25">
      <c r="A86" s="1675"/>
      <c r="B86" s="1689"/>
      <c r="C86" s="1676"/>
      <c r="D86" s="1867"/>
      <c r="E86" s="1562">
        <f t="shared" si="0"/>
        <v>0</v>
      </c>
      <c r="F86" s="1815">
        <f t="shared" si="1"/>
        <v>0</v>
      </c>
      <c r="G86" s="1816">
        <f t="shared" si="2"/>
        <v>0</v>
      </c>
    </row>
    <row r="87" spans="1:7" x14ac:dyDescent="0.25">
      <c r="A87" s="1675"/>
      <c r="B87" s="1689"/>
      <c r="C87" s="1676"/>
      <c r="D87" s="1867"/>
      <c r="E87" s="1562">
        <f t="shared" si="0"/>
        <v>0</v>
      </c>
      <c r="F87" s="1815">
        <f t="shared" si="1"/>
        <v>0</v>
      </c>
      <c r="G87" s="1816">
        <f t="shared" si="2"/>
        <v>0</v>
      </c>
    </row>
    <row r="88" spans="1:7" x14ac:dyDescent="0.25">
      <c r="A88" s="1675"/>
      <c r="B88" s="1689"/>
      <c r="C88" s="1676"/>
      <c r="D88" s="1867"/>
      <c r="E88" s="1562">
        <f t="shared" si="0"/>
        <v>0</v>
      </c>
      <c r="F88" s="1815">
        <f t="shared" si="1"/>
        <v>0</v>
      </c>
      <c r="G88" s="1816">
        <f t="shared" si="2"/>
        <v>0</v>
      </c>
    </row>
    <row r="89" spans="1:7" x14ac:dyDescent="0.25">
      <c r="A89" s="1675"/>
      <c r="B89" s="1689"/>
      <c r="C89" s="1676"/>
      <c r="D89" s="1867"/>
      <c r="E89" s="1562">
        <f t="shared" si="0"/>
        <v>0</v>
      </c>
      <c r="F89" s="1815">
        <f t="shared" si="1"/>
        <v>0</v>
      </c>
      <c r="G89" s="1816">
        <f t="shared" si="2"/>
        <v>0</v>
      </c>
    </row>
    <row r="90" spans="1:7" x14ac:dyDescent="0.25">
      <c r="A90" s="1675"/>
      <c r="B90" s="1689"/>
      <c r="C90" s="1676"/>
      <c r="D90" s="1867"/>
      <c r="E90" s="1562">
        <f t="shared" si="0"/>
        <v>0</v>
      </c>
      <c r="F90" s="1815">
        <f t="shared" si="1"/>
        <v>0</v>
      </c>
      <c r="G90" s="1816">
        <f t="shared" si="2"/>
        <v>0</v>
      </c>
    </row>
    <row r="91" spans="1:7" x14ac:dyDescent="0.25">
      <c r="A91" s="1675"/>
      <c r="B91" s="1689"/>
      <c r="C91" s="1676"/>
      <c r="D91" s="1867"/>
      <c r="E91" s="1562">
        <f t="shared" si="0"/>
        <v>0</v>
      </c>
      <c r="F91" s="1815">
        <f t="shared" si="1"/>
        <v>0</v>
      </c>
      <c r="G91" s="1816">
        <f t="shared" si="2"/>
        <v>0</v>
      </c>
    </row>
    <row r="92" spans="1:7" x14ac:dyDescent="0.25">
      <c r="A92" s="1675"/>
      <c r="B92" s="1689"/>
      <c r="C92" s="1676"/>
      <c r="D92" s="1867"/>
      <c r="E92" s="1562">
        <f t="shared" si="0"/>
        <v>0</v>
      </c>
      <c r="F92" s="1815">
        <f t="shared" si="1"/>
        <v>0</v>
      </c>
      <c r="G92" s="1816">
        <f t="shared" si="2"/>
        <v>0</v>
      </c>
    </row>
    <row r="93" spans="1:7" x14ac:dyDescent="0.25">
      <c r="A93" s="1675"/>
      <c r="B93" s="1689"/>
      <c r="C93" s="1676"/>
      <c r="D93" s="1867"/>
      <c r="E93" s="1562">
        <f>IF(D93&lt;=25000,D93,IF(D93&gt;25000,25000,0))</f>
        <v>0</v>
      </c>
      <c r="F93" s="1815">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IF(F93=0,0,D93-F93)</f>
        <v>0</v>
      </c>
    </row>
    <row r="94" spans="1:7" x14ac:dyDescent="0.25">
      <c r="A94" s="1675"/>
      <c r="B94" s="1689"/>
      <c r="C94" s="1676"/>
      <c r="D94" s="1867"/>
      <c r="E94" s="1562">
        <f t="shared" si="0"/>
        <v>0</v>
      </c>
      <c r="F94" s="1815">
        <f t="shared" si="1"/>
        <v>0</v>
      </c>
      <c r="G94" s="1816">
        <f t="shared" si="2"/>
        <v>0</v>
      </c>
    </row>
    <row r="95" spans="1:7" x14ac:dyDescent="0.25">
      <c r="A95" s="1675"/>
      <c r="B95" s="1689"/>
      <c r="C95" s="1676"/>
      <c r="D95" s="1867"/>
      <c r="E95" s="1562">
        <f>IF(D95&lt;=25000,D95,IF(D95&gt;25000,25000,0))</f>
        <v>0</v>
      </c>
      <c r="F95" s="1815">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IF(F95=0,0,D95-F95)</f>
        <v>0</v>
      </c>
    </row>
    <row r="96" spans="1:7" x14ac:dyDescent="0.25">
      <c r="A96" s="1675"/>
      <c r="B96" s="1689"/>
      <c r="C96" s="1676"/>
      <c r="D96" s="1867"/>
      <c r="E96" s="1562">
        <f>IF(D96&lt;=25000,D96,IF(D96&gt;25000,25000,0))</f>
        <v>0</v>
      </c>
      <c r="F96" s="1815">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6">
        <f>IF(F96=0,0,D96-F96)</f>
        <v>0</v>
      </c>
    </row>
    <row r="97" spans="1:7" x14ac:dyDescent="0.25">
      <c r="A97" s="1675"/>
      <c r="B97" s="1689"/>
      <c r="C97" s="1676"/>
      <c r="D97" s="1867"/>
      <c r="E97" s="1562">
        <f>IF(D97&lt;=25000,D97,IF(D97&gt;25000,25000,0))</f>
        <v>0</v>
      </c>
      <c r="F97" s="1815">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6">
        <f>IF(F97=0,0,D97-F97)</f>
        <v>0</v>
      </c>
    </row>
    <row r="98" spans="1:7" x14ac:dyDescent="0.25">
      <c r="A98" s="1675"/>
      <c r="B98" s="1689"/>
      <c r="C98" s="1676"/>
      <c r="D98" s="1867"/>
      <c r="E98" s="1562">
        <f>IF(D98&lt;=25000,D98,IF(D98&gt;25000,25000,0))</f>
        <v>0</v>
      </c>
      <c r="F98" s="1815">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6">
        <f>IF(F98=0,0,D98-F98)</f>
        <v>0</v>
      </c>
    </row>
    <row r="99" spans="1:7" x14ac:dyDescent="0.25">
      <c r="A99" s="1675"/>
      <c r="B99" s="1689"/>
      <c r="C99" s="1676"/>
      <c r="D99" s="1867"/>
      <c r="E99" s="1562">
        <f>IF(D99&lt;=25000,D99,IF(D99&gt;25000,25000,0))</f>
        <v>0</v>
      </c>
      <c r="F99" s="1815">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IF(F99=0,0,D99-F99)</f>
        <v>0</v>
      </c>
    </row>
    <row r="100" spans="1:7" x14ac:dyDescent="0.25">
      <c r="A100" s="1675"/>
      <c r="B100" s="1689"/>
      <c r="C100" s="1676"/>
      <c r="D100" s="1867"/>
      <c r="E100" s="1562">
        <f t="shared" ref="E100:E112" si="6">IF(D100&lt;=25000,D100,IF(D100&gt;25000,25000,0))</f>
        <v>0</v>
      </c>
      <c r="F100" s="1815">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8">IF(F100=0,0,D100-F100)</f>
        <v>0</v>
      </c>
    </row>
    <row r="101" spans="1:7" x14ac:dyDescent="0.25">
      <c r="A101" s="1675"/>
      <c r="B101" s="1689"/>
      <c r="C101" s="1676"/>
      <c r="D101" s="1867"/>
      <c r="E101" s="1562">
        <f t="shared" si="6"/>
        <v>0</v>
      </c>
      <c r="F101" s="1815">
        <f t="shared" si="7"/>
        <v>0</v>
      </c>
      <c r="G101" s="1816">
        <f t="shared" si="8"/>
        <v>0</v>
      </c>
    </row>
    <row r="102" spans="1:7" x14ac:dyDescent="0.25">
      <c r="A102" s="1675"/>
      <c r="B102" s="1689"/>
      <c r="C102" s="1676"/>
      <c r="D102" s="1867"/>
      <c r="E102" s="1562">
        <f t="shared" si="6"/>
        <v>0</v>
      </c>
      <c r="F102" s="1815">
        <f t="shared" si="7"/>
        <v>0</v>
      </c>
      <c r="G102" s="1816">
        <f t="shared" si="8"/>
        <v>0</v>
      </c>
    </row>
    <row r="103" spans="1:7" x14ac:dyDescent="0.25">
      <c r="A103" s="1675"/>
      <c r="B103" s="1689"/>
      <c r="C103" s="1676"/>
      <c r="D103" s="1867"/>
      <c r="E103" s="1562">
        <f t="shared" si="6"/>
        <v>0</v>
      </c>
      <c r="F103" s="1815">
        <f t="shared" si="7"/>
        <v>0</v>
      </c>
      <c r="G103" s="1816">
        <f t="shared" si="8"/>
        <v>0</v>
      </c>
    </row>
    <row r="104" spans="1:7" x14ac:dyDescent="0.25">
      <c r="A104" s="1675"/>
      <c r="B104" s="1689"/>
      <c r="C104" s="1676"/>
      <c r="D104" s="1867"/>
      <c r="E104" s="1562">
        <f t="shared" si="6"/>
        <v>0</v>
      </c>
      <c r="F104" s="1815">
        <f t="shared" si="7"/>
        <v>0</v>
      </c>
      <c r="G104" s="1816">
        <f t="shared" si="8"/>
        <v>0</v>
      </c>
    </row>
    <row r="105" spans="1:7" x14ac:dyDescent="0.25">
      <c r="A105" s="1675"/>
      <c r="B105" s="1689"/>
      <c r="C105" s="1676"/>
      <c r="D105" s="1867"/>
      <c r="E105" s="1562">
        <f t="shared" si="6"/>
        <v>0</v>
      </c>
      <c r="F105" s="1815">
        <f t="shared" si="7"/>
        <v>0</v>
      </c>
      <c r="G105" s="1816">
        <f t="shared" si="8"/>
        <v>0</v>
      </c>
    </row>
    <row r="106" spans="1:7" x14ac:dyDescent="0.25">
      <c r="A106" s="1675"/>
      <c r="B106" s="1689"/>
      <c r="C106" s="1676"/>
      <c r="D106" s="1867"/>
      <c r="E106" s="1562">
        <f t="shared" si="6"/>
        <v>0</v>
      </c>
      <c r="F106" s="1815">
        <f t="shared" si="7"/>
        <v>0</v>
      </c>
      <c r="G106" s="1816">
        <f t="shared" si="8"/>
        <v>0</v>
      </c>
    </row>
    <row r="107" spans="1:7" x14ac:dyDescent="0.25">
      <c r="A107" s="1675"/>
      <c r="B107" s="1689"/>
      <c r="C107" s="1676"/>
      <c r="D107" s="1867"/>
      <c r="E107" s="1562">
        <f t="shared" si="6"/>
        <v>0</v>
      </c>
      <c r="F107" s="1815">
        <f t="shared" si="7"/>
        <v>0</v>
      </c>
      <c r="G107" s="1816">
        <f t="shared" si="8"/>
        <v>0</v>
      </c>
    </row>
    <row r="108" spans="1:7" x14ac:dyDescent="0.25">
      <c r="A108" s="1675"/>
      <c r="B108" s="1689"/>
      <c r="C108" s="1676"/>
      <c r="D108" s="1867"/>
      <c r="E108" s="1562">
        <f t="shared" si="6"/>
        <v>0</v>
      </c>
      <c r="F108" s="1815">
        <f t="shared" si="7"/>
        <v>0</v>
      </c>
      <c r="G108" s="1816">
        <f t="shared" si="8"/>
        <v>0</v>
      </c>
    </row>
    <row r="109" spans="1:7" x14ac:dyDescent="0.25">
      <c r="A109" s="1675"/>
      <c r="B109" s="1689"/>
      <c r="C109" s="1676"/>
      <c r="D109" s="1867"/>
      <c r="E109" s="1562">
        <f t="shared" si="6"/>
        <v>0</v>
      </c>
      <c r="F109" s="1815">
        <f t="shared" si="7"/>
        <v>0</v>
      </c>
      <c r="G109" s="1816">
        <f t="shared" si="8"/>
        <v>0</v>
      </c>
    </row>
    <row r="110" spans="1:7" x14ac:dyDescent="0.25">
      <c r="A110" s="1675"/>
      <c r="B110" s="1689"/>
      <c r="C110" s="1676"/>
      <c r="D110" s="1867"/>
      <c r="E110" s="1562">
        <f t="shared" si="6"/>
        <v>0</v>
      </c>
      <c r="F110" s="1815">
        <f t="shared" si="7"/>
        <v>0</v>
      </c>
      <c r="G110" s="1816">
        <f t="shared" si="8"/>
        <v>0</v>
      </c>
    </row>
    <row r="111" spans="1:7" x14ac:dyDescent="0.25">
      <c r="A111" s="1675"/>
      <c r="B111" s="1689"/>
      <c r="C111" s="1676"/>
      <c r="D111" s="1867"/>
      <c r="E111" s="1562">
        <f t="shared" si="6"/>
        <v>0</v>
      </c>
      <c r="F111" s="1815">
        <f t="shared" si="7"/>
        <v>0</v>
      </c>
      <c r="G111" s="1816">
        <f t="shared" si="8"/>
        <v>0</v>
      </c>
    </row>
    <row r="112" spans="1:7" x14ac:dyDescent="0.25">
      <c r="A112" s="1675"/>
      <c r="B112" s="1689"/>
      <c r="C112" s="1676"/>
      <c r="D112" s="1867"/>
      <c r="E112" s="1562">
        <f t="shared" si="6"/>
        <v>0</v>
      </c>
      <c r="F112" s="1815">
        <f t="shared" si="7"/>
        <v>0</v>
      </c>
      <c r="G112" s="1816">
        <f t="shared" si="8"/>
        <v>0</v>
      </c>
    </row>
    <row r="113" spans="1:7" x14ac:dyDescent="0.25">
      <c r="A113" s="1675"/>
      <c r="B113" s="1689"/>
      <c r="C113" s="1676"/>
      <c r="D113" s="1867"/>
      <c r="E113" s="1562">
        <f t="shared" ref="E113:E125" si="9">IF(D113&lt;=25000,D113,IF(D113&gt;25000,25000,0))</f>
        <v>0</v>
      </c>
      <c r="F113" s="1815">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11">IF(F113=0,0,D113-F113)</f>
        <v>0</v>
      </c>
    </row>
    <row r="114" spans="1:7" x14ac:dyDescent="0.25">
      <c r="A114" s="1675"/>
      <c r="B114" s="1689"/>
      <c r="C114" s="1676"/>
      <c r="D114" s="1867"/>
      <c r="E114" s="1562">
        <f t="shared" si="9"/>
        <v>0</v>
      </c>
      <c r="F114" s="1815">
        <f t="shared" si="10"/>
        <v>0</v>
      </c>
      <c r="G114" s="1816">
        <f t="shared" si="11"/>
        <v>0</v>
      </c>
    </row>
    <row r="115" spans="1:7" x14ac:dyDescent="0.25">
      <c r="A115" s="1675"/>
      <c r="B115" s="1689"/>
      <c r="C115" s="1676"/>
      <c r="D115" s="1867"/>
      <c r="E115" s="1562">
        <f t="shared" si="9"/>
        <v>0</v>
      </c>
      <c r="F115" s="1815">
        <f t="shared" si="10"/>
        <v>0</v>
      </c>
      <c r="G115" s="1816">
        <f t="shared" si="11"/>
        <v>0</v>
      </c>
    </row>
    <row r="116" spans="1:7" x14ac:dyDescent="0.25">
      <c r="A116" s="1675"/>
      <c r="B116" s="1689"/>
      <c r="C116" s="1676"/>
      <c r="D116" s="1867"/>
      <c r="E116" s="1562">
        <f t="shared" si="9"/>
        <v>0</v>
      </c>
      <c r="F116" s="1815">
        <f t="shared" si="10"/>
        <v>0</v>
      </c>
      <c r="G116" s="1816">
        <f t="shared" si="11"/>
        <v>0</v>
      </c>
    </row>
    <row r="117" spans="1:7" x14ac:dyDescent="0.25">
      <c r="A117" s="1675"/>
      <c r="B117" s="1689"/>
      <c r="C117" s="1676"/>
      <c r="D117" s="1867"/>
      <c r="E117" s="1562">
        <f t="shared" si="9"/>
        <v>0</v>
      </c>
      <c r="F117" s="1815">
        <f t="shared" si="10"/>
        <v>0</v>
      </c>
      <c r="G117" s="1816">
        <f t="shared" si="11"/>
        <v>0</v>
      </c>
    </row>
    <row r="118" spans="1:7" x14ac:dyDescent="0.25">
      <c r="A118" s="1675"/>
      <c r="B118" s="1689"/>
      <c r="C118" s="1676"/>
      <c r="D118" s="1867"/>
      <c r="E118" s="1562">
        <f t="shared" si="9"/>
        <v>0</v>
      </c>
      <c r="F118" s="1815">
        <f t="shared" si="10"/>
        <v>0</v>
      </c>
      <c r="G118" s="1816">
        <f t="shared" si="11"/>
        <v>0</v>
      </c>
    </row>
    <row r="119" spans="1:7" x14ac:dyDescent="0.25">
      <c r="A119" s="1675"/>
      <c r="B119" s="1689"/>
      <c r="C119" s="1676"/>
      <c r="D119" s="1867"/>
      <c r="E119" s="1562">
        <f t="shared" si="9"/>
        <v>0</v>
      </c>
      <c r="F119" s="1815">
        <f t="shared" si="10"/>
        <v>0</v>
      </c>
      <c r="G119" s="1816">
        <f t="shared" si="11"/>
        <v>0</v>
      </c>
    </row>
    <row r="120" spans="1:7" x14ac:dyDescent="0.25">
      <c r="A120" s="1675"/>
      <c r="B120" s="1689"/>
      <c r="C120" s="1676"/>
      <c r="D120" s="1867"/>
      <c r="E120" s="1562">
        <f t="shared" si="9"/>
        <v>0</v>
      </c>
      <c r="F120" s="1815">
        <f t="shared" si="10"/>
        <v>0</v>
      </c>
      <c r="G120" s="1816">
        <f t="shared" si="11"/>
        <v>0</v>
      </c>
    </row>
    <row r="121" spans="1:7" x14ac:dyDescent="0.25">
      <c r="A121" s="1675"/>
      <c r="B121" s="1689"/>
      <c r="C121" s="1676"/>
      <c r="D121" s="1867"/>
      <c r="E121" s="1562">
        <f t="shared" si="9"/>
        <v>0</v>
      </c>
      <c r="F121" s="1815">
        <f t="shared" si="10"/>
        <v>0</v>
      </c>
      <c r="G121" s="1816">
        <f t="shared" si="11"/>
        <v>0</v>
      </c>
    </row>
    <row r="122" spans="1:7" x14ac:dyDescent="0.25">
      <c r="A122" s="1675"/>
      <c r="B122" s="1689"/>
      <c r="C122" s="1676"/>
      <c r="D122" s="1867"/>
      <c r="E122" s="1562">
        <f t="shared" si="9"/>
        <v>0</v>
      </c>
      <c r="F122" s="1815">
        <f t="shared" si="10"/>
        <v>0</v>
      </c>
      <c r="G122" s="1816">
        <f t="shared" si="11"/>
        <v>0</v>
      </c>
    </row>
    <row r="123" spans="1:7" x14ac:dyDescent="0.25">
      <c r="A123" s="1675"/>
      <c r="B123" s="1689"/>
      <c r="C123" s="1676"/>
      <c r="D123" s="1867"/>
      <c r="E123" s="1562">
        <f t="shared" si="9"/>
        <v>0</v>
      </c>
      <c r="F123" s="1815">
        <f t="shared" si="10"/>
        <v>0</v>
      </c>
      <c r="G123" s="1816">
        <f t="shared" si="11"/>
        <v>0</v>
      </c>
    </row>
    <row r="124" spans="1:7" x14ac:dyDescent="0.25">
      <c r="A124" s="1675"/>
      <c r="B124" s="1689"/>
      <c r="C124" s="1676"/>
      <c r="D124" s="1867"/>
      <c r="E124" s="1562">
        <f t="shared" si="9"/>
        <v>0</v>
      </c>
      <c r="F124" s="1815">
        <f t="shared" si="10"/>
        <v>0</v>
      </c>
      <c r="G124" s="1816">
        <f t="shared" si="11"/>
        <v>0</v>
      </c>
    </row>
    <row r="125" spans="1:7" x14ac:dyDescent="0.25">
      <c r="A125" s="1675"/>
      <c r="B125" s="1689"/>
      <c r="C125" s="1676"/>
      <c r="D125" s="1867"/>
      <c r="E125" s="1562">
        <f t="shared" si="9"/>
        <v>0</v>
      </c>
      <c r="F125" s="1815">
        <f t="shared" si="10"/>
        <v>0</v>
      </c>
      <c r="G125" s="1816">
        <f t="shared" si="11"/>
        <v>0</v>
      </c>
    </row>
    <row r="126" spans="1:7" x14ac:dyDescent="0.25">
      <c r="A126" s="1675"/>
      <c r="B126" s="1689"/>
      <c r="C126" s="1676"/>
      <c r="D126" s="1867"/>
      <c r="E126" s="1562">
        <f t="shared" ref="E126:E134" si="12">IF(D126&lt;=25000,D126,IF(D126&gt;25000,25000,0))</f>
        <v>0</v>
      </c>
      <c r="F126" s="1815">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14">IF(F126=0,0,D126-F126)</f>
        <v>0</v>
      </c>
    </row>
    <row r="127" spans="1:7" x14ac:dyDescent="0.25">
      <c r="A127" s="1675"/>
      <c r="B127" s="1689"/>
      <c r="C127" s="1676"/>
      <c r="D127" s="1867"/>
      <c r="E127" s="1562">
        <f t="shared" si="12"/>
        <v>0</v>
      </c>
      <c r="F127" s="1815">
        <f t="shared" si="13"/>
        <v>0</v>
      </c>
      <c r="G127" s="1816">
        <f t="shared" si="14"/>
        <v>0</v>
      </c>
    </row>
    <row r="128" spans="1:7" x14ac:dyDescent="0.25">
      <c r="A128" s="1675"/>
      <c r="B128" s="1689"/>
      <c r="C128" s="1676"/>
      <c r="D128" s="1867"/>
      <c r="E128" s="1562">
        <f t="shared" si="12"/>
        <v>0</v>
      </c>
      <c r="F128" s="1815">
        <f t="shared" si="13"/>
        <v>0</v>
      </c>
      <c r="G128" s="1816">
        <f t="shared" si="14"/>
        <v>0</v>
      </c>
    </row>
    <row r="129" spans="1:7" x14ac:dyDescent="0.25">
      <c r="A129" s="1675"/>
      <c r="B129" s="1689"/>
      <c r="C129" s="1676"/>
      <c r="D129" s="1867"/>
      <c r="E129" s="1562">
        <f t="shared" si="12"/>
        <v>0</v>
      </c>
      <c r="F129" s="1815">
        <f t="shared" si="13"/>
        <v>0</v>
      </c>
      <c r="G129" s="1816">
        <f t="shared" si="14"/>
        <v>0</v>
      </c>
    </row>
    <row r="130" spans="1:7" x14ac:dyDescent="0.25">
      <c r="A130" s="1675"/>
      <c r="B130" s="1689"/>
      <c r="C130" s="1676"/>
      <c r="D130" s="1867"/>
      <c r="E130" s="1562">
        <f t="shared" si="12"/>
        <v>0</v>
      </c>
      <c r="F130" s="1815">
        <f t="shared" si="13"/>
        <v>0</v>
      </c>
      <c r="G130" s="1816">
        <f t="shared" si="14"/>
        <v>0</v>
      </c>
    </row>
    <row r="131" spans="1:7" x14ac:dyDescent="0.25">
      <c r="A131" s="1675"/>
      <c r="B131" s="1860"/>
      <c r="C131" s="1676"/>
      <c r="D131" s="1867"/>
      <c r="E131" s="1562">
        <f t="shared" si="12"/>
        <v>0</v>
      </c>
      <c r="F131" s="1815">
        <f t="shared" si="13"/>
        <v>0</v>
      </c>
      <c r="G131" s="1816">
        <f t="shared" si="14"/>
        <v>0</v>
      </c>
    </row>
    <row r="132" spans="1:7" x14ac:dyDescent="0.25">
      <c r="A132" s="1675"/>
      <c r="B132" s="1860"/>
      <c r="C132" s="1676"/>
      <c r="D132" s="1867"/>
      <c r="E132" s="1562">
        <f t="shared" si="12"/>
        <v>0</v>
      </c>
      <c r="F132" s="1815">
        <f t="shared" si="13"/>
        <v>0</v>
      </c>
      <c r="G132" s="1816">
        <f t="shared" si="14"/>
        <v>0</v>
      </c>
    </row>
    <row r="133" spans="1:7" x14ac:dyDescent="0.25">
      <c r="A133" s="1675"/>
      <c r="B133" s="1689"/>
      <c r="C133" s="1676"/>
      <c r="D133" s="1867"/>
      <c r="E133" s="1562">
        <f t="shared" si="12"/>
        <v>0</v>
      </c>
      <c r="F133" s="1815">
        <f t="shared" si="13"/>
        <v>0</v>
      </c>
      <c r="G133" s="1816">
        <f t="shared" si="14"/>
        <v>0</v>
      </c>
    </row>
    <row r="134" spans="1:7" x14ac:dyDescent="0.25">
      <c r="A134" s="1675"/>
      <c r="B134" s="1689"/>
      <c r="C134" s="1676"/>
      <c r="D134" s="1867"/>
      <c r="E134" s="1562">
        <f t="shared" si="12"/>
        <v>0</v>
      </c>
      <c r="F134" s="1815">
        <f t="shared" si="13"/>
        <v>0</v>
      </c>
      <c r="G134" s="1816">
        <f t="shared" si="14"/>
        <v>0</v>
      </c>
    </row>
    <row r="135" spans="1:7" x14ac:dyDescent="0.25">
      <c r="A135" s="1675"/>
      <c r="B135" s="1689"/>
      <c r="C135" s="1676"/>
      <c r="D135" s="1867"/>
      <c r="E135" s="1562">
        <f>IF(D135&lt;=25000,D135,IF(D135&gt;25000,25000,0))</f>
        <v>0</v>
      </c>
      <c r="F135" s="1815">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IF(F135=0,0,D135-F135)</f>
        <v>0</v>
      </c>
    </row>
    <row r="136" spans="1:7" x14ac:dyDescent="0.25">
      <c r="A136" s="1675"/>
      <c r="B136" s="1689"/>
      <c r="C136" s="1676"/>
      <c r="D136" s="1867"/>
      <c r="E136" s="1562">
        <f>IF(D136&lt;=25000,D136,IF(D136&gt;25000,25000,0))</f>
        <v>0</v>
      </c>
      <c r="F136" s="1815">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6">
        <f>IF(F136=0,0,D136-F136)</f>
        <v>0</v>
      </c>
    </row>
    <row r="137" spans="1:7" x14ac:dyDescent="0.25">
      <c r="A137" s="1675"/>
      <c r="B137" s="1689"/>
      <c r="C137" s="1676"/>
      <c r="D137" s="1867"/>
      <c r="E137" s="1562">
        <f>IF(D137&lt;=25000,D137,IF(D137&gt;25000,25000,0))</f>
        <v>0</v>
      </c>
      <c r="F137" s="1815">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6">
        <f>IF(F137=0,0,D137-F137)</f>
        <v>0</v>
      </c>
    </row>
    <row r="138" spans="1:7" x14ac:dyDescent="0.25">
      <c r="A138" s="1675"/>
      <c r="B138" s="1689"/>
      <c r="C138" s="1676"/>
      <c r="D138" s="1867"/>
      <c r="E138" s="1562">
        <f>IF(D138&lt;=25000,D138,IF(D138&gt;25000,25000,0))</f>
        <v>0</v>
      </c>
      <c r="F138" s="1815">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6">
        <f>IF(F138=0,0,D138-F138)</f>
        <v>0</v>
      </c>
    </row>
    <row r="139" spans="1:7" x14ac:dyDescent="0.25">
      <c r="A139" s="1675"/>
      <c r="B139" s="1689"/>
      <c r="C139" s="1676"/>
      <c r="D139" s="1867"/>
      <c r="E139" s="1562">
        <f>IF(D139&lt;=25000,D139,IF(D139&gt;25000,25000,0))</f>
        <v>0</v>
      </c>
      <c r="F139" s="1815">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6">
        <f>IF(F139=0,0,D139-F139)</f>
        <v>0</v>
      </c>
    </row>
    <row r="140" spans="1:7" x14ac:dyDescent="0.25">
      <c r="A140" s="1675"/>
      <c r="B140" s="1688"/>
      <c r="C140" s="1676"/>
      <c r="D140" s="1867"/>
      <c r="E140" s="1562">
        <f t="shared" si="0"/>
        <v>0</v>
      </c>
      <c r="F140" s="1815">
        <f t="shared" si="1"/>
        <v>0</v>
      </c>
      <c r="G140" s="1816">
        <f t="shared" si="2"/>
        <v>0</v>
      </c>
    </row>
    <row r="141" spans="1:7" x14ac:dyDescent="0.25">
      <c r="A141" s="1819" t="s">
        <v>158</v>
      </c>
      <c r="B141" s="1820"/>
      <c r="C141" s="1821"/>
      <c r="D141" s="1817">
        <f>SUM(D17:D140)</f>
        <v>168900</v>
      </c>
      <c r="E141" s="1563">
        <f>IF(D141&lt;=25000,D141,IF(D141&gt;25000,25000,0))</f>
        <v>25000</v>
      </c>
      <c r="F141" s="1817">
        <f>SUM(F17:F140)</f>
        <v>79870</v>
      </c>
      <c r="G141" s="1818">
        <f>SUM(G17:G140)</f>
        <v>16600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B12" sqref="B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8" t="s">
        <v>1942</v>
      </c>
      <c r="B11" s="2309"/>
      <c r="C11" s="2309"/>
      <c r="D11" s="2310"/>
      <c r="E11" s="978">
        <v>47134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7918999</v>
      </c>
      <c r="F19" s="1822"/>
      <c r="G19" s="1824">
        <f>'Expenditures 15-22'!K33-SUM('Expenditures 15-22'!G33,'Expenditures 15-22'!I33)+'Expenditures 15-22'!D229</f>
        <v>7918999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672871</v>
      </c>
      <c r="F21" s="1825"/>
      <c r="G21" s="1828">
        <f>'Expenditures 15-22'!K42-SUM('Expenditures 15-22'!G42,'Expenditures 15-22'!I42)+'Expenditures 15-22'!K120-SUM('Expenditures 15-22'!G120,'Expenditures 15-22'!I120)+'Expenditures 15-22'!K180-SUM('Expenditures 15-22'!G180,'Expenditures 15-22'!I180)+'Expenditures 15-22'!D238</f>
        <v>672871</v>
      </c>
      <c r="H21" s="988"/>
      <c r="I21" s="162"/>
    </row>
    <row r="22" spans="1:9" s="669" customFormat="1" ht="12" customHeight="1" x14ac:dyDescent="0.2">
      <c r="A22" s="995" t="s">
        <v>585</v>
      </c>
      <c r="B22" s="996"/>
      <c r="C22" s="994">
        <v>2200</v>
      </c>
      <c r="D22" s="1825"/>
      <c r="E22" s="1827">
        <f>'Expenditures 15-22'!K47-SUM('Expenditures 15-22'!G47,'Expenditures 15-22'!I47)+'Expenditures 15-22'!D243</f>
        <v>229878</v>
      </c>
      <c r="F22" s="1825"/>
      <c r="G22" s="1828">
        <f>'Expenditures 15-22'!K47-SUM('Expenditures 15-22'!G47,'Expenditures 15-22'!I47)+'Expenditures 15-22'!D243</f>
        <v>229878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720331</v>
      </c>
      <c r="F23" s="1825"/>
      <c r="G23" s="1827">
        <f>'Expenditures 15-22'!K53-SUM('Expenditures 15-22'!G53,'Expenditures 15-22'!I53)+'Expenditures 15-22'!D257+'Expenditures 15-22'!K330-SUM('Expenditures 15-22'!G330,'Expenditures 15-22'!I330)</f>
        <v>720331</v>
      </c>
      <c r="H23" s="988"/>
      <c r="I23" s="162"/>
    </row>
    <row r="24" spans="1:9" s="669" customFormat="1" ht="12" customHeight="1" x14ac:dyDescent="0.2">
      <c r="A24" s="995" t="s">
        <v>587</v>
      </c>
      <c r="B24" s="996"/>
      <c r="C24" s="994">
        <v>2400</v>
      </c>
      <c r="D24" s="1825"/>
      <c r="E24" s="1827">
        <f>'Expenditures 15-22'!K57-SUM('Expenditures 15-22'!G57,'Expenditures 15-22'!I57)+'Expenditures 15-22'!D261</f>
        <v>924214</v>
      </c>
      <c r="F24" s="1825"/>
      <c r="G24" s="1828">
        <f>'Expenditures 15-22'!K57-SUM('Expenditures 15-22'!G57,'Expenditures 15-22'!I57)+'Expenditures 15-22'!D261</f>
        <v>924214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144461</v>
      </c>
      <c r="E27" s="1827">
        <f>E8</f>
        <v>0</v>
      </c>
      <c r="F27" s="1827">
        <f>'Expenditures 15-22'!K60-SUM('Expenditures 15-22'!G60,'Expenditures 15-22'!I60)+'Expenditures 15-22'!D264-E8</f>
        <v>144461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1218233</v>
      </c>
      <c r="F28" s="1829">
        <f>'Expenditures 15-22'!K61-SUM('Expenditures 15-22'!G61,'Expenditures 15-22'!I61)+'Expenditures 15-22'!K124-SUM('Expenditures 15-22'!G124,'Expenditures 15-22'!I124)+'Expenditures 15-22'!D266-E9</f>
        <v>1218233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779544</v>
      </c>
      <c r="F29" s="1825"/>
      <c r="G29" s="1828">
        <f>'Expenditures 15-22'!K62-SUM('Expenditures 15-22'!G62,'Expenditures 15-22'!I62)+'Expenditures 15-22'!K125-SUM('Expenditures 15-22'!G125,'Expenditures 15-22'!I125)+'Expenditures 15-22'!K182-SUM('Expenditures 15-22'!G182,'Expenditures 15-22'!I182)+'Expenditures 15-22'!D267</f>
        <v>779544</v>
      </c>
      <c r="H29" s="986"/>
    </row>
    <row r="30" spans="1:9" ht="12" customHeight="1" x14ac:dyDescent="0.2">
      <c r="A30" s="995" t="s">
        <v>102</v>
      </c>
      <c r="B30" s="998"/>
      <c r="C30" s="994">
        <v>2560</v>
      </c>
      <c r="D30" s="1825"/>
      <c r="E30" s="1827">
        <f>'Expenditures 15-22'!K63-SUM('Expenditures 15-22'!G63,'Expenditures 15-22'!I63)+'Expenditures 15-22'!D268-E10</f>
        <v>709022</v>
      </c>
      <c r="F30" s="1825"/>
      <c r="G30" s="1827">
        <f>'Expenditures 15-22'!K63-SUM('Expenditures 15-22'!G63,'Expenditures 15-22'!I63)+'Expenditures 15-22'!D268-E10</f>
        <v>709022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-16600</v>
      </c>
      <c r="F40" s="1825"/>
      <c r="G40" s="1829">
        <f>-'Contracts Paid in CY 29'!G141</f>
        <v>-16600</v>
      </c>
    </row>
    <row r="41" spans="1:7" ht="12" customHeight="1" x14ac:dyDescent="0.2">
      <c r="A41" s="999" t="s">
        <v>158</v>
      </c>
      <c r="B41" s="1000"/>
      <c r="C41" s="1001"/>
      <c r="D41" s="1829">
        <f>SUM(D19:D39)</f>
        <v>144461</v>
      </c>
      <c r="E41" s="1829">
        <f>SUM(E19:E40)</f>
        <v>13156492</v>
      </c>
      <c r="F41" s="1829">
        <f>SUM(F19:F39)</f>
        <v>1362694</v>
      </c>
      <c r="G41" s="1829">
        <f>SUM(G19:G40)</f>
        <v>11938259</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144461</v>
      </c>
      <c r="F43" s="1830" t="s">
        <v>495</v>
      </c>
      <c r="G43" s="1831">
        <f>F41</f>
        <v>1362694</v>
      </c>
    </row>
    <row r="44" spans="1:7" ht="12" customHeight="1" x14ac:dyDescent="0.2">
      <c r="A44" s="988"/>
      <c r="B44" s="162"/>
      <c r="C44" s="1002"/>
      <c r="D44" s="1830" t="s">
        <v>494</v>
      </c>
      <c r="E44" s="1831">
        <f>E41</f>
        <v>13156492</v>
      </c>
      <c r="F44" s="1830" t="s">
        <v>494</v>
      </c>
      <c r="G44" s="1831">
        <f>G41</f>
        <v>11938259</v>
      </c>
    </row>
    <row r="45" spans="1:7" ht="12" customHeight="1" x14ac:dyDescent="0.2">
      <c r="A45" s="988"/>
      <c r="B45" s="162"/>
      <c r="C45" s="162"/>
      <c r="D45" s="1832" t="s">
        <v>1063</v>
      </c>
      <c r="E45" s="1833">
        <f>(E43/E44)</f>
        <v>1.0980206577862852E-2</v>
      </c>
      <c r="F45" s="1832" t="s">
        <v>1063</v>
      </c>
      <c r="G45" s="1833">
        <f>(G43/G44)</f>
        <v>0.11414511948517786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4" t="s">
        <v>1446</v>
      </c>
      <c r="B1" s="2314"/>
      <c r="C1" s="2314"/>
      <c r="D1" s="2314"/>
      <c r="E1" s="2314"/>
      <c r="F1" s="2314"/>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5" t="s">
        <v>1627</v>
      </c>
      <c r="B5" s="2316"/>
      <c r="C5" s="2317"/>
      <c r="D5" s="2317"/>
      <c r="E5" s="2317"/>
      <c r="F5" s="2317"/>
    </row>
    <row r="6" spans="1:10" ht="12" customHeight="1" x14ac:dyDescent="0.25">
      <c r="A6" s="1874"/>
      <c r="B6" s="1875"/>
      <c r="C6" s="2318" t="str">
        <f>COVER!A17</f>
        <v>Sherrard CUSD 200</v>
      </c>
      <c r="D6" s="2318"/>
      <c r="E6" s="2318"/>
      <c r="F6" s="1876"/>
    </row>
    <row r="7" spans="1:10" ht="11.25" customHeight="1" thickBot="1" x14ac:dyDescent="0.3">
      <c r="A7" s="1874"/>
      <c r="B7" s="1875"/>
      <c r="C7" s="2319">
        <f>COVER!A13</f>
        <v>49081200026</v>
      </c>
      <c r="D7" s="2319"/>
      <c r="E7" s="2319"/>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2074</v>
      </c>
      <c r="D26" s="1889" t="s">
        <v>2074</v>
      </c>
      <c r="E26" s="1892" t="s">
        <v>2074</v>
      </c>
      <c r="F26" s="1891"/>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2074</v>
      </c>
      <c r="D31" s="1889" t="s">
        <v>2074</v>
      </c>
      <c r="E31" s="1892" t="s">
        <v>2074</v>
      </c>
      <c r="F31" s="1891"/>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7"/>
      <c r="B39" s="1897"/>
      <c r="C39" s="1897"/>
      <c r="D39" s="1897"/>
      <c r="E39" s="1897"/>
      <c r="F39" s="1897"/>
    </row>
    <row r="40" spans="1:11" s="1894" customFormat="1" ht="12" customHeight="1" x14ac:dyDescent="0.25">
      <c r="A40" s="1898" t="s">
        <v>1458</v>
      </c>
      <c r="B40" s="1899"/>
      <c r="C40" s="2328"/>
      <c r="D40" s="2328"/>
      <c r="E40" s="2328"/>
      <c r="F40" s="2329"/>
      <c r="H40" s="1903"/>
      <c r="I40" s="1903"/>
      <c r="J40" s="1903"/>
      <c r="K40" s="1903"/>
    </row>
    <row r="41" spans="1:11" s="1894" customFormat="1" ht="12" customHeight="1" x14ac:dyDescent="0.25">
      <c r="A41" s="2330"/>
      <c r="B41" s="2331"/>
      <c r="C41" s="2331"/>
      <c r="D41" s="2331"/>
      <c r="E41" s="2331"/>
      <c r="F41" s="2332"/>
      <c r="H41" s="1903"/>
      <c r="I41" s="1903"/>
      <c r="J41" s="1903"/>
      <c r="K41" s="1903"/>
    </row>
    <row r="42" spans="1:11" s="1894" customFormat="1" ht="12" customHeight="1" x14ac:dyDescent="0.25">
      <c r="A42" s="2330"/>
      <c r="B42" s="2331"/>
      <c r="C42" s="2331"/>
      <c r="D42" s="2331"/>
      <c r="E42" s="2331"/>
      <c r="F42" s="2332"/>
      <c r="H42" s="1903"/>
      <c r="I42" s="1903"/>
      <c r="J42" s="1903"/>
      <c r="K42" s="1903"/>
    </row>
    <row r="43" spans="1:11" s="1894" customFormat="1" ht="15" x14ac:dyDescent="0.25">
      <c r="A43" s="2322"/>
      <c r="B43" s="2323"/>
      <c r="C43" s="2323"/>
      <c r="D43" s="2323"/>
      <c r="E43" s="2323"/>
      <c r="F43" s="2324"/>
      <c r="H43" s="1903"/>
      <c r="I43" s="1903"/>
      <c r="J43" s="1903"/>
      <c r="K43" s="1903"/>
    </row>
    <row r="44" spans="1:11" s="1894" customFormat="1" ht="12" hidden="1" customHeight="1" x14ac:dyDescent="0.25">
      <c r="A44" s="2322"/>
      <c r="B44" s="2323"/>
      <c r="C44" s="2323"/>
      <c r="D44" s="2323"/>
      <c r="E44" s="2323"/>
      <c r="F44" s="2324"/>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8" t="str">
        <f>COVER!A17</f>
        <v>Sherrard CUSD 200</v>
      </c>
      <c r="J6" s="2339"/>
      <c r="Q6" s="1686"/>
    </row>
    <row r="7" spans="1:17" x14ac:dyDescent="0.2">
      <c r="A7" s="2340" t="s">
        <v>924</v>
      </c>
      <c r="B7" s="2341"/>
      <c r="C7" s="2341"/>
      <c r="D7" s="2341"/>
      <c r="E7" s="2342"/>
      <c r="F7" s="1018"/>
      <c r="G7" s="1010"/>
      <c r="H7" s="1017" t="s">
        <v>390</v>
      </c>
      <c r="I7" s="2343">
        <f>COVER!A13</f>
        <v>49081200026</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238772</v>
      </c>
      <c r="F12" s="1040"/>
      <c r="G12" s="1834">
        <f t="shared" ref="G12:G18" si="0">SUM(E12:F12)</f>
        <v>238772</v>
      </c>
      <c r="H12" s="1041">
        <v>248000</v>
      </c>
      <c r="I12" s="1040"/>
      <c r="J12" s="1834">
        <f t="shared" ref="J12:J18" si="1">SUM(H12:I12)</f>
        <v>248000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238772</v>
      </c>
      <c r="F19" s="1836">
        <f t="shared" si="2"/>
        <v>0</v>
      </c>
      <c r="G19" s="1836">
        <f t="shared" si="2"/>
        <v>238772</v>
      </c>
      <c r="H19" s="1836">
        <f t="shared" si="2"/>
        <v>248000</v>
      </c>
      <c r="I19" s="1836">
        <f t="shared" si="2"/>
        <v>0</v>
      </c>
      <c r="J19" s="1836">
        <f t="shared" si="2"/>
        <v>248000</v>
      </c>
    </row>
    <row r="20" spans="1:10" ht="13.5" thickTop="1" x14ac:dyDescent="0.2">
      <c r="A20" s="1036">
        <v>9</v>
      </c>
      <c r="B20" s="2350" t="s">
        <v>1703</v>
      </c>
      <c r="C20" s="2350"/>
      <c r="D20" s="2351"/>
      <c r="E20" s="1047"/>
      <c r="F20" s="1047"/>
      <c r="G20" s="1047"/>
      <c r="H20" s="1047"/>
      <c r="I20" s="1047"/>
      <c r="J20" s="1837">
        <f>IF(AND(G19&gt;0,J19&gt;0),(((J19-G19)/G19)),"Enter Budget Data")</f>
        <v>3.864774764210209E-2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1941</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2161</v>
      </c>
    </row>
    <row r="6" spans="1:2" x14ac:dyDescent="0.2">
      <c r="A6" s="1069">
        <v>2</v>
      </c>
      <c r="B6" s="329" t="s">
        <v>2162</v>
      </c>
    </row>
    <row r="7" spans="1:2" x14ac:dyDescent="0.2">
      <c r="A7" s="1069">
        <v>3</v>
      </c>
      <c r="B7" s="329" t="s">
        <v>2163</v>
      </c>
    </row>
    <row r="8" spans="1:2" x14ac:dyDescent="0.2">
      <c r="A8" s="1069">
        <v>4</v>
      </c>
      <c r="B8" s="329" t="s">
        <v>2164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Sherrard CUSD 200</v>
      </c>
    </row>
    <row r="65" spans="2:2" x14ac:dyDescent="0.2">
      <c r="B65" s="1071">
        <f>COVER!A13</f>
        <v>49081200026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8" sqref="K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8913" r:id="rId4">
          <objectPr defaultSize="0" r:id="rId5">
            <anchor moveWithCells="1">
              <from>
                <xdr:col>4</xdr:col>
                <xdr:colOff>0</xdr:colOff>
                <xdr:row>6</xdr:row>
                <xdr:rowOff>0</xdr:rowOff>
              </from>
              <to>
                <xdr:col>5</xdr:col>
                <xdr:colOff>285750</xdr:colOff>
                <xdr:row>10</xdr:row>
                <xdr:rowOff>0</xdr:rowOff>
              </to>
            </anchor>
          </objectPr>
        </oleObject>
      </mc:Choice>
      <mc:Fallback>
        <oleObject progId="AcroExch.Document.7" dvAspect="DVASPECT_ICON" shapeId="38913" r:id="rId4"/>
      </mc:Fallback>
    </mc:AlternateContent>
    <mc:AlternateContent xmlns:mc="http://schemas.openxmlformats.org/markup-compatibility/2006">
      <mc:Choice Requires="x14">
        <oleObject progId="AcroExch.Document.7" dvAspect="DVASPECT_ICON" shapeId="38915" r:id="rId6">
          <objectPr defaultSize="0" r:id="rId7">
            <anchor moveWithCells="1">
              <from>
                <xdr:col>6</xdr:col>
                <xdr:colOff>0</xdr:colOff>
                <xdr:row>7</xdr:row>
                <xdr:rowOff>0</xdr:rowOff>
              </from>
              <to>
                <xdr:col>7</xdr:col>
                <xdr:colOff>285750</xdr:colOff>
                <xdr:row>11</xdr:row>
                <xdr:rowOff>0</xdr:rowOff>
              </to>
            </anchor>
          </objectPr>
        </oleObject>
      </mc:Choice>
      <mc:Fallback>
        <oleObject progId="AcroExch.Document.7" dvAspect="DVASPECT_ICON" shapeId="38915" r:id="rId6"/>
      </mc:Fallback>
    </mc:AlternateContent>
    <mc:AlternateContent xmlns:mc="http://schemas.openxmlformats.org/markup-compatibility/2006">
      <mc:Choice Requires="x14">
        <oleObject progId="AcroExch.Document.7" dvAspect="DVASPECT_ICON" shapeId="38916" r:id="rId8">
          <objectPr defaultSize="0" r:id="rId9">
            <anchor moveWithCells="1">
              <from>
                <xdr:col>8</xdr:col>
                <xdr:colOff>0</xdr:colOff>
                <xdr:row>6</xdr:row>
                <xdr:rowOff>0</xdr:rowOff>
              </from>
              <to>
                <xdr:col>9</xdr:col>
                <xdr:colOff>285750</xdr:colOff>
                <xdr:row>10</xdr:row>
                <xdr:rowOff>0</xdr:rowOff>
              </to>
            </anchor>
          </objectPr>
        </oleObject>
      </mc:Choice>
      <mc:Fallback>
        <oleObject progId="AcroExch.Document.7" dvAspect="DVASPECT_ICON" shapeId="38916" r:id="rId8"/>
      </mc:Fallback>
    </mc:AlternateContent>
    <mc:AlternateContent xmlns:mc="http://schemas.openxmlformats.org/markup-compatibility/2006">
      <mc:Choice Requires="x14">
        <oleObject progId="AcroExch.Document.7" dvAspect="DVASPECT_ICON" shapeId="38917" r:id="rId10">
          <objectPr defaultSize="0" r:id="rId11">
            <anchor moveWithCells="1">
              <from>
                <xdr:col>10</xdr:col>
                <xdr:colOff>0</xdr:colOff>
                <xdr:row>7</xdr:row>
                <xdr:rowOff>0</xdr:rowOff>
              </from>
              <to>
                <xdr:col>11</xdr:col>
                <xdr:colOff>285750</xdr:colOff>
                <xdr:row>11</xdr:row>
                <xdr:rowOff>0</xdr:rowOff>
              </to>
            </anchor>
          </objectPr>
        </oleObject>
      </mc:Choice>
      <mc:Fallback>
        <oleObject progId="AcroExch.Document.7" dvAspect="DVASPECT_ICON" shapeId="3891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2053</v>
      </c>
      <c r="B4" s="2378"/>
      <c r="C4" s="2378"/>
      <c r="D4" s="2378"/>
      <c r="E4" s="2378"/>
      <c r="F4" s="2379"/>
      <c r="G4" s="1075"/>
      <c r="H4" s="1075"/>
    </row>
    <row r="5" spans="1:8" ht="14.25" customHeight="1" x14ac:dyDescent="0.2">
      <c r="A5" s="2380" t="s">
        <v>2054</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10020866</v>
      </c>
      <c r="C8" s="1838">
        <f>'Acct Summary 7-8'!D8</f>
        <v>790699</v>
      </c>
      <c r="D8" s="1838">
        <f>'Acct Summary 7-8'!F8</f>
        <v>915332</v>
      </c>
      <c r="E8" s="1838">
        <f>'Acct Summary 7-8'!I8</f>
        <v>53592</v>
      </c>
      <c r="F8" s="1838">
        <f>SUM(B8:E8)</f>
        <v>11780489</v>
      </c>
    </row>
    <row r="9" spans="1:8" s="1080" customFormat="1" ht="14.25" customHeight="1" thickBot="1" x14ac:dyDescent="0.25">
      <c r="A9" s="1079" t="s">
        <v>1436</v>
      </c>
      <c r="B9" s="1839">
        <f>'Acct Summary 7-8'!C17</f>
        <v>11052462</v>
      </c>
      <c r="C9" s="1839">
        <f>'Acct Summary 7-8'!D17</f>
        <v>1135495</v>
      </c>
      <c r="D9" s="1839">
        <f>'Acct Summary 7-8'!F17</f>
        <v>881365</v>
      </c>
      <c r="E9" s="1838"/>
      <c r="F9" s="1838">
        <f>SUM(B9:E9)</f>
        <v>13069322</v>
      </c>
    </row>
    <row r="10" spans="1:8" s="1080" customFormat="1" ht="14.25" thickTop="1" thickBot="1" x14ac:dyDescent="0.25">
      <c r="A10" s="1081" t="s">
        <v>1437</v>
      </c>
      <c r="B10" s="1840">
        <f>(B8-B9)</f>
        <v>-1031596</v>
      </c>
      <c r="C10" s="1840">
        <f>(C8-C9)</f>
        <v>-344796</v>
      </c>
      <c r="D10" s="1840">
        <f>(D8-D9)</f>
        <v>33967</v>
      </c>
      <c r="E10" s="1839">
        <f>(E8-E9)</f>
        <v>53592</v>
      </c>
      <c r="F10" s="1841">
        <f>SUM(F8-F9)</f>
        <v>-1288833</v>
      </c>
    </row>
    <row r="11" spans="1:8" s="1080" customFormat="1" ht="14.25" thickTop="1" thickBot="1" x14ac:dyDescent="0.25">
      <c r="A11" s="1082" t="s">
        <v>1785</v>
      </c>
      <c r="B11" s="1842">
        <f>'Acct Summary 7-8'!C81</f>
        <v>6619281</v>
      </c>
      <c r="C11" s="1842">
        <f>'Acct Summary 7-8'!D81</f>
        <v>422472</v>
      </c>
      <c r="D11" s="1842">
        <f>'Acct Summary 7-8'!F81</f>
        <v>1439507</v>
      </c>
      <c r="E11" s="1842">
        <f>'Acct Summary 7-8'!I81</f>
        <v>425960</v>
      </c>
      <c r="F11" s="1843">
        <f>SUM(B11:E11)</f>
        <v>8907220</v>
      </c>
    </row>
    <row r="12" spans="1:8" ht="16.5" customHeight="1" thickTop="1" x14ac:dyDescent="0.2">
      <c r="A12" s="1083"/>
      <c r="B12" s="1084"/>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 colorId="8" zoomScale="110" zoomScaleNormal="110" workbookViewId="0">
      <selection activeCell="C80" sqref="C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49081200026</v>
      </c>
    </row>
    <row r="3" spans="1:2" x14ac:dyDescent="0.2">
      <c r="A3" t="s">
        <v>1013</v>
      </c>
      <c r="B3" s="138" t="str">
        <f>COVER!A15</f>
        <v>Mercer</v>
      </c>
    </row>
    <row r="4" spans="1:2" x14ac:dyDescent="0.2">
      <c r="A4" t="s">
        <v>1064</v>
      </c>
      <c r="B4" s="138" t="str">
        <f>COVER!A17</f>
        <v>Sherrard CUSD 200</v>
      </c>
    </row>
    <row r="5" spans="1:2" x14ac:dyDescent="0.2">
      <c r="A5" t="s">
        <v>728</v>
      </c>
      <c r="B5" s="138" t="str">
        <f>COVER!A38</f>
        <v>Alan Boucher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Drive, Suite 200</v>
      </c>
    </row>
    <row r="19" spans="1:2" x14ac:dyDescent="0.2">
      <c r="A19" t="s">
        <v>941</v>
      </c>
      <c r="B19" s="138" t="str">
        <f>COVER!T25</f>
        <v>sarah@governmentalservice.com</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4186073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6619281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6619281</v>
      </c>
      <c r="D92" s="2" t="str">
        <f t="shared" si="0"/>
        <v>Error?</v>
      </c>
    </row>
    <row r="93" spans="1:4" x14ac:dyDescent="0.2">
      <c r="A93" s="5">
        <v>32</v>
      </c>
      <c r="B93" s="138">
        <f>'Assets-Liab 5-6'!C41</f>
        <v>6619281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54638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422472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422472</v>
      </c>
      <c r="D123" s="2" t="str">
        <f t="shared" si="0"/>
        <v>Error?</v>
      </c>
    </row>
    <row r="124" spans="1:4" x14ac:dyDescent="0.2">
      <c r="A124" s="5">
        <v>63</v>
      </c>
      <c r="B124" s="138">
        <f>'Assets-Liab 5-6'!D41</f>
        <v>422472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785</v>
      </c>
      <c r="D129" s="2" t="str">
        <f t="shared" si="1"/>
        <v>Error?</v>
      </c>
    </row>
    <row r="130" spans="1:4" x14ac:dyDescent="0.2">
      <c r="A130" s="5">
        <v>69</v>
      </c>
      <c r="B130" s="138">
        <f>'Assets-Liab 5-6'!E12</f>
        <v>0</v>
      </c>
      <c r="D130" s="2" t="str">
        <f t="shared" si="1"/>
        <v>Error?</v>
      </c>
    </row>
    <row r="131" spans="1:4" x14ac:dyDescent="0.2">
      <c r="A131" s="5">
        <v>70</v>
      </c>
      <c r="B131" s="138">
        <f>'Assets-Liab 5-6'!E13</f>
        <v>134830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134830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716497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1439507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1439507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442128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442128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517252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517252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322047</v>
      </c>
      <c r="D273" s="2" t="str">
        <f t="shared" si="3"/>
        <v>Error?</v>
      </c>
    </row>
    <row r="274" spans="1:4" x14ac:dyDescent="0.2">
      <c r="A274" s="5">
        <v>213</v>
      </c>
      <c r="B274" s="138">
        <f>'Assets-Liab 5-6'!M17</f>
        <v>25511107</v>
      </c>
      <c r="D274" s="2" t="str">
        <f t="shared" si="3"/>
        <v>Error?</v>
      </c>
    </row>
    <row r="275" spans="1:4" x14ac:dyDescent="0.2">
      <c r="A275" s="5">
        <v>214</v>
      </c>
      <c r="B275" s="138">
        <f>'Assets-Liab 5-6'!M18</f>
        <v>4494884</v>
      </c>
      <c r="D275" s="2" t="str">
        <f t="shared" si="3"/>
        <v>Error?</v>
      </c>
    </row>
    <row r="276" spans="1:4" x14ac:dyDescent="0.2">
      <c r="A276" s="5">
        <v>215</v>
      </c>
      <c r="B276" s="138">
        <f>'Assets-Liab 5-6'!M19</f>
        <v>5507438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35913009</v>
      </c>
      <c r="C279" s="2" t="s">
        <v>594</v>
      </c>
      <c r="D279" s="2" t="str">
        <f t="shared" si="3"/>
        <v>Error?</v>
      </c>
    </row>
    <row r="280" spans="1:4" x14ac:dyDescent="0.2">
      <c r="A280" s="5">
        <v>219</v>
      </c>
      <c r="B280" s="138">
        <f>'Assets-Liab 5-6'!M40</f>
        <v>35913009</v>
      </c>
      <c r="D280" s="2" t="str">
        <f t="shared" si="3"/>
        <v>Error?</v>
      </c>
    </row>
    <row r="281" spans="1:4" x14ac:dyDescent="0.2">
      <c r="A281" s="5">
        <v>220</v>
      </c>
      <c r="B281" s="138">
        <f>'Assets-Liab 5-6'!M41</f>
        <v>35913009</v>
      </c>
      <c r="C281" s="2" t="s">
        <v>594</v>
      </c>
      <c r="D281" s="2" t="str">
        <f t="shared" si="3"/>
        <v>Error?</v>
      </c>
    </row>
    <row r="282" spans="1:4" x14ac:dyDescent="0.2">
      <c r="A282" s="5">
        <v>221</v>
      </c>
      <c r="B282" s="138">
        <f>'Assets-Liab 5-6'!N21</f>
        <v>134830</v>
      </c>
      <c r="D282" s="2" t="str">
        <f t="shared" si="3"/>
        <v>Error?</v>
      </c>
    </row>
    <row r="283" spans="1:4" x14ac:dyDescent="0.2">
      <c r="A283" s="5">
        <v>222</v>
      </c>
      <c r="B283" s="138">
        <f>'Assets-Liab 5-6'!N22</f>
        <v>5834045</v>
      </c>
      <c r="D283" s="2" t="str">
        <f t="shared" si="3"/>
        <v>Error?</v>
      </c>
    </row>
    <row r="284" spans="1:4" x14ac:dyDescent="0.2">
      <c r="A284" s="5">
        <v>223</v>
      </c>
      <c r="B284" s="138">
        <f>'Assets-Liab 5-6'!N23</f>
        <v>5968875</v>
      </c>
      <c r="C284" s="2" t="s">
        <v>594</v>
      </c>
      <c r="D284" s="2" t="str">
        <f t="shared" si="3"/>
        <v>Error?</v>
      </c>
    </row>
    <row r="285" spans="1:4" x14ac:dyDescent="0.2">
      <c r="A285" s="5">
        <v>224</v>
      </c>
      <c r="B285" s="138">
        <f>'Assets-Liab 5-6'!N36</f>
        <v>5968875</v>
      </c>
      <c r="D285" s="2" t="str">
        <f t="shared" si="3"/>
        <v>Error?</v>
      </c>
    </row>
    <row r="286" spans="1:4" x14ac:dyDescent="0.2">
      <c r="A286" s="10">
        <v>225</v>
      </c>
      <c r="D286" s="2" t="str">
        <f t="shared" si="3"/>
        <v>OK</v>
      </c>
    </row>
    <row r="287" spans="1:4" x14ac:dyDescent="0.2">
      <c r="A287" s="5">
        <v>226</v>
      </c>
      <c r="B287" s="138">
        <f>'Assets-Liab 5-6'!N37</f>
        <v>5968875</v>
      </c>
      <c r="C287" s="2" t="s">
        <v>594</v>
      </c>
      <c r="D287" s="2" t="str">
        <f t="shared" si="3"/>
        <v>Error?</v>
      </c>
    </row>
    <row r="288" spans="1:4" x14ac:dyDescent="0.2">
      <c r="A288" s="5">
        <v>227</v>
      </c>
      <c r="B288" s="138">
        <f>'Assets-Liab 5-6'!N41</f>
        <v>5968875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4524530</v>
      </c>
      <c r="D705" s="2" t="str">
        <f t="shared" si="10"/>
        <v>Error?</v>
      </c>
    </row>
    <row r="706" spans="1:4" x14ac:dyDescent="0.2">
      <c r="A706" s="5">
        <v>645</v>
      </c>
      <c r="B706" s="138">
        <f>'Expenditures 15-22'!C16</f>
        <v>9552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396297</v>
      </c>
      <c r="D717" s="2" t="str">
        <f t="shared" si="10"/>
        <v>Error?</v>
      </c>
    </row>
    <row r="718" spans="1:4" x14ac:dyDescent="0.2">
      <c r="A718" s="5">
        <v>657</v>
      </c>
      <c r="B718" s="138">
        <f>'Expenditures 15-22'!C14</f>
        <v>210947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6260264</v>
      </c>
      <c r="C720" s="2" t="s">
        <v>594</v>
      </c>
      <c r="D720" s="2" t="str">
        <f t="shared" si="10"/>
        <v>Error?</v>
      </c>
    </row>
    <row r="721" spans="1:4" x14ac:dyDescent="0.2">
      <c r="A721" s="5">
        <v>660</v>
      </c>
      <c r="B721" s="138">
        <f>'Expenditures 15-22'!C36</f>
        <v>46185</v>
      </c>
      <c r="D721" s="2" t="str">
        <f t="shared" si="10"/>
        <v>Error?</v>
      </c>
    </row>
    <row r="722" spans="1:4" x14ac:dyDescent="0.2">
      <c r="A722" s="5">
        <v>661</v>
      </c>
      <c r="B722" s="138">
        <f>'Expenditures 15-22'!C37</f>
        <v>214554</v>
      </c>
      <c r="D722" s="2" t="str">
        <f t="shared" si="10"/>
        <v>Error?</v>
      </c>
    </row>
    <row r="723" spans="1:4" x14ac:dyDescent="0.2">
      <c r="A723" s="5">
        <v>662</v>
      </c>
      <c r="B723" s="138">
        <f>'Expenditures 15-22'!C38</f>
        <v>87555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120421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468715</v>
      </c>
      <c r="C727" s="2" t="s">
        <v>594</v>
      </c>
      <c r="D727" s="2" t="str">
        <f t="shared" si="10"/>
        <v>Error?</v>
      </c>
    </row>
    <row r="728" spans="1:4" x14ac:dyDescent="0.2">
      <c r="A728" s="5">
        <v>667</v>
      </c>
      <c r="B728" s="138">
        <f>'Expenditures 15-22'!C44</f>
        <v>26768</v>
      </c>
      <c r="D728" s="2" t="str">
        <f t="shared" si="10"/>
        <v>Error?</v>
      </c>
    </row>
    <row r="729" spans="1:4" x14ac:dyDescent="0.2">
      <c r="A729" s="5">
        <v>668</v>
      </c>
      <c r="B729" s="138">
        <f>'Expenditures 15-22'!C45</f>
        <v>102249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129017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201740</v>
      </c>
      <c r="D733" s="2" t="str">
        <f t="shared" si="10"/>
        <v>Error?</v>
      </c>
    </row>
    <row r="734" spans="1:4" x14ac:dyDescent="0.2">
      <c r="A734" s="5">
        <v>673</v>
      </c>
      <c r="B734" s="138">
        <f>'Expenditures 15-22'!C53</f>
        <v>201740</v>
      </c>
      <c r="C734" s="2" t="s">
        <v>594</v>
      </c>
      <c r="D734" s="2" t="str">
        <f t="shared" si="10"/>
        <v>Error?</v>
      </c>
    </row>
    <row r="735" spans="1:4" x14ac:dyDescent="0.2">
      <c r="A735" s="5">
        <v>674</v>
      </c>
      <c r="B735" s="138">
        <f>'Expenditures 15-22'!C55</f>
        <v>723902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723902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98586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270734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369320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1892694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8152958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593061</v>
      </c>
      <c r="D763" s="2" t="str">
        <f t="shared" si="10"/>
        <v>Error?</v>
      </c>
    </row>
    <row r="764" spans="1:4" x14ac:dyDescent="0.2">
      <c r="A764" s="5">
        <v>703</v>
      </c>
      <c r="B764" s="138">
        <f>'Expenditures 15-22'!D16</f>
        <v>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49631</v>
      </c>
      <c r="D775" s="2" t="str">
        <f t="shared" si="11"/>
        <v>Error?</v>
      </c>
    </row>
    <row r="776" spans="1:4" x14ac:dyDescent="0.2">
      <c r="A776" s="5">
        <v>715</v>
      </c>
      <c r="B776" s="138">
        <f>'Expenditures 15-22'!D14</f>
        <v>1659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785995</v>
      </c>
      <c r="C778" s="2" t="s">
        <v>594</v>
      </c>
      <c r="D778" s="2" t="str">
        <f t="shared" si="11"/>
        <v>Error?</v>
      </c>
    </row>
    <row r="779" spans="1:4" x14ac:dyDescent="0.2">
      <c r="A779" s="5">
        <v>718</v>
      </c>
      <c r="B779" s="138">
        <f>'Expenditures 15-22'!D36</f>
        <v>6984</v>
      </c>
      <c r="D779" s="2" t="str">
        <f t="shared" si="11"/>
        <v>Error?</v>
      </c>
    </row>
    <row r="780" spans="1:4" x14ac:dyDescent="0.2">
      <c r="A780" s="5">
        <v>719</v>
      </c>
      <c r="B780" s="138">
        <f>'Expenditures 15-22'!D37</f>
        <v>33523</v>
      </c>
      <c r="D780" s="2" t="str">
        <f t="shared" si="11"/>
        <v>Error?</v>
      </c>
    </row>
    <row r="781" spans="1:4" x14ac:dyDescent="0.2">
      <c r="A781" s="5">
        <v>720</v>
      </c>
      <c r="B781" s="138">
        <f>'Expenditures 15-22'!D38</f>
        <v>13309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14288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68104</v>
      </c>
      <c r="C785" s="2" t="s">
        <v>594</v>
      </c>
      <c r="D785" s="2" t="str">
        <f t="shared" si="11"/>
        <v>Error?</v>
      </c>
    </row>
    <row r="786" spans="1:4" x14ac:dyDescent="0.2">
      <c r="A786" s="5">
        <v>725</v>
      </c>
      <c r="B786" s="138">
        <f>'Expenditures 15-22'!D44</f>
        <v>9280</v>
      </c>
      <c r="D786" s="2" t="str">
        <f t="shared" si="11"/>
        <v>Error?</v>
      </c>
    </row>
    <row r="787" spans="1:4" x14ac:dyDescent="0.2">
      <c r="A787" s="5">
        <v>726</v>
      </c>
      <c r="B787" s="138">
        <f>'Expenditures 15-22'!D45</f>
        <v>7124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16404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29801</v>
      </c>
      <c r="D791" s="2" t="str">
        <f t="shared" si="11"/>
        <v>Error?</v>
      </c>
    </row>
    <row r="792" spans="1:4" x14ac:dyDescent="0.2">
      <c r="A792" s="5">
        <v>731</v>
      </c>
      <c r="B792" s="138">
        <f>'Expenditures 15-22'!D53</f>
        <v>29801</v>
      </c>
      <c r="C792" s="2" t="s">
        <v>594</v>
      </c>
      <c r="D792" s="2" t="str">
        <f t="shared" si="11"/>
        <v>Error?</v>
      </c>
    </row>
    <row r="793" spans="1:4" x14ac:dyDescent="0.2">
      <c r="A793" s="5">
        <v>732</v>
      </c>
      <c r="B793" s="138">
        <f>'Expenditures 15-22'!D55</f>
        <v>137322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137322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19385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25054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44439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296070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1082065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152535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4253</v>
      </c>
      <c r="D833" s="2" t="str">
        <f t="shared" si="12"/>
        <v>Error?</v>
      </c>
    </row>
    <row r="834" spans="1:4" x14ac:dyDescent="0.2">
      <c r="A834" s="5">
        <v>773</v>
      </c>
      <c r="B834" s="138">
        <f>'Expenditures 15-22'!E14</f>
        <v>36063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256186</v>
      </c>
      <c r="C836" s="2" t="s">
        <v>594</v>
      </c>
      <c r="D836" s="2" t="str">
        <f t="shared" si="12"/>
        <v>Error?</v>
      </c>
    </row>
    <row r="837" spans="1:4" x14ac:dyDescent="0.2">
      <c r="A837" s="5">
        <v>776</v>
      </c>
      <c r="B837" s="138">
        <f>'Expenditures 15-22'!E36</f>
        <v>607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11045</v>
      </c>
      <c r="D839" s="2" t="str">
        <f t="shared" si="12"/>
        <v>Error?</v>
      </c>
    </row>
    <row r="840" spans="1:4" x14ac:dyDescent="0.2">
      <c r="A840" s="5">
        <v>779</v>
      </c>
      <c r="B840" s="138">
        <f>'Expenditures 15-22'!E39</f>
        <v>74499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86151</v>
      </c>
      <c r="C843" s="2" t="s">
        <v>594</v>
      </c>
      <c r="D843" s="2" t="str">
        <f t="shared" si="12"/>
        <v>Error?</v>
      </c>
    </row>
    <row r="844" spans="1:4" x14ac:dyDescent="0.2">
      <c r="A844" s="5">
        <v>783</v>
      </c>
      <c r="B844" s="138">
        <f>'Expenditures 15-22'!E44</f>
        <v>40730</v>
      </c>
      <c r="D844" s="2" t="str">
        <f t="shared" si="12"/>
        <v>Error?</v>
      </c>
    </row>
    <row r="845" spans="1:4" x14ac:dyDescent="0.2">
      <c r="A845" s="5">
        <v>784</v>
      </c>
      <c r="B845" s="138">
        <f>'Expenditures 15-22'!E45</f>
        <v>3196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43926</v>
      </c>
      <c r="C847" s="2" t="s">
        <v>594</v>
      </c>
      <c r="D847" s="2" t="str">
        <f t="shared" si="12"/>
        <v>Error?</v>
      </c>
    </row>
    <row r="848" spans="1:4" x14ac:dyDescent="0.2">
      <c r="A848" s="5">
        <v>787</v>
      </c>
      <c r="B848" s="138">
        <f>'Expenditures 15-22'!E49</f>
        <v>82971</v>
      </c>
      <c r="D848" s="2" t="str">
        <f t="shared" si="12"/>
        <v>Error?</v>
      </c>
    </row>
    <row r="849" spans="1:4" x14ac:dyDescent="0.2">
      <c r="A849" s="5">
        <v>788</v>
      </c>
      <c r="B849" s="138">
        <f>'Expenditures 15-22'!E50</f>
        <v>3310</v>
      </c>
      <c r="D849" s="2" t="str">
        <f t="shared" si="12"/>
        <v>Error?</v>
      </c>
    </row>
    <row r="850" spans="1:4" x14ac:dyDescent="0.2">
      <c r="A850" s="5">
        <v>789</v>
      </c>
      <c r="B850" s="138">
        <f>'Expenditures 15-22'!E53</f>
        <v>86281</v>
      </c>
      <c r="C850" s="2" t="s">
        <v>594</v>
      </c>
      <c r="D850" s="2" t="str">
        <f t="shared" si="12"/>
        <v>Error?</v>
      </c>
    </row>
    <row r="851" spans="1:4" x14ac:dyDescent="0.2">
      <c r="A851" s="5">
        <v>790</v>
      </c>
      <c r="B851" s="138">
        <f>'Expenditures 15-22'!E55</f>
        <v>6193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6193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3730</v>
      </c>
      <c r="D855" s="2" t="str">
        <f t="shared" si="12"/>
        <v>Error?</v>
      </c>
    </row>
    <row r="856" spans="1:4" x14ac:dyDescent="0.2">
      <c r="A856" s="5">
        <v>795</v>
      </c>
      <c r="B856" s="138">
        <f>'Expenditures 15-22'!E61</f>
        <v>68832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14572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87134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309685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565871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344439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10441</v>
      </c>
      <c r="D891" s="2" t="str">
        <f t="shared" si="12"/>
        <v>Error?</v>
      </c>
    </row>
    <row r="892" spans="1:4" x14ac:dyDescent="0.2">
      <c r="A892" s="5">
        <v>831</v>
      </c>
      <c r="B892" s="138">
        <f>'Expenditures 15-22'!F14</f>
        <v>28804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427861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9153</v>
      </c>
      <c r="D896" s="2" t="str">
        <f t="shared" si="13"/>
        <v>Error?</v>
      </c>
    </row>
    <row r="897" spans="1:4" x14ac:dyDescent="0.2">
      <c r="A897" s="5">
        <v>836</v>
      </c>
      <c r="B897" s="138">
        <f>'Expenditures 15-22'!F38</f>
        <v>5150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457</v>
      </c>
      <c r="D899" s="2" t="str">
        <f t="shared" si="13"/>
        <v>Error?</v>
      </c>
    </row>
    <row r="900" spans="1:4" x14ac:dyDescent="0.2">
      <c r="A900" s="5">
        <v>839</v>
      </c>
      <c r="B900" s="138">
        <f>'Expenditures 15-22'!F41</f>
        <v>16624</v>
      </c>
      <c r="D900" s="2" t="str">
        <f t="shared" si="13"/>
        <v>Error?</v>
      </c>
    </row>
    <row r="901" spans="1:4" x14ac:dyDescent="0.2">
      <c r="A901" s="5">
        <v>840</v>
      </c>
      <c r="B901" s="138">
        <f>'Expenditures 15-22'!F42</f>
        <v>31384</v>
      </c>
      <c r="C901" s="2" t="s">
        <v>594</v>
      </c>
      <c r="D901" s="2" t="str">
        <f t="shared" si="13"/>
        <v>Error?</v>
      </c>
    </row>
    <row r="902" spans="1:4" x14ac:dyDescent="0.2">
      <c r="A902" s="5">
        <v>841</v>
      </c>
      <c r="B902" s="138">
        <f>'Expenditures 15-22'!F44</f>
        <v>194</v>
      </c>
      <c r="D902" s="2" t="str">
        <f t="shared" si="13"/>
        <v>Error?</v>
      </c>
    </row>
    <row r="903" spans="1:4" x14ac:dyDescent="0.2">
      <c r="A903" s="5">
        <v>842</v>
      </c>
      <c r="B903" s="138">
        <f>'Expenditures 15-22'!F45</f>
        <v>30273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30467</v>
      </c>
      <c r="C905" s="2" t="s">
        <v>594</v>
      </c>
      <c r="D905" s="2" t="str">
        <f t="shared" si="13"/>
        <v>Error?</v>
      </c>
    </row>
    <row r="906" spans="1:4" x14ac:dyDescent="0.2">
      <c r="A906" s="5">
        <v>845</v>
      </c>
      <c r="B906" s="138">
        <f>'Expenditures 15-22'!F49</f>
        <v>4487</v>
      </c>
      <c r="D906" s="2" t="str">
        <f t="shared" si="13"/>
        <v>Error?</v>
      </c>
    </row>
    <row r="907" spans="1:4" x14ac:dyDescent="0.2">
      <c r="A907" s="5">
        <v>846</v>
      </c>
      <c r="B907" s="138">
        <f>'Expenditures 15-22'!F50</f>
        <v>1997</v>
      </c>
      <c r="D907" s="2" t="str">
        <f t="shared" si="13"/>
        <v>Error?</v>
      </c>
    </row>
    <row r="908" spans="1:4" x14ac:dyDescent="0.2">
      <c r="A908" s="5">
        <v>847</v>
      </c>
      <c r="B908" s="138">
        <f>'Expenditures 15-22'!F53</f>
        <v>6484</v>
      </c>
      <c r="C908" s="2" t="s">
        <v>594</v>
      </c>
      <c r="D908" s="2" t="str">
        <f t="shared" si="13"/>
        <v>Error?</v>
      </c>
    </row>
    <row r="909" spans="1:4" x14ac:dyDescent="0.2">
      <c r="A909" s="5">
        <v>848</v>
      </c>
      <c r="B909" s="138">
        <f>'Expenditures 15-22'!F55</f>
        <v>16187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16187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2769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345162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347931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432453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860314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81555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32655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114210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26738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26738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26738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140948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15423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15423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4331</v>
      </c>
      <c r="D1022" s="2" t="str">
        <f t="shared" si="14"/>
        <v>Error?</v>
      </c>
    </row>
    <row r="1023" spans="1:4" x14ac:dyDescent="0.2">
      <c r="A1023" s="5">
        <v>962</v>
      </c>
      <c r="B1023" s="138">
        <f>'Expenditures 15-22'!H50</f>
        <v>1924</v>
      </c>
      <c r="D1023" s="2" t="str">
        <f t="shared" ref="D1023:D1086" si="15">IF(ISBLANK(B1023),"OK",IF(A1023-B1023=0,"OK","Error?"))</f>
        <v>Error?</v>
      </c>
    </row>
    <row r="1024" spans="1:4" x14ac:dyDescent="0.2">
      <c r="A1024" s="5">
        <v>963</v>
      </c>
      <c r="B1024" s="138">
        <f>'Expenditures 15-22'!H53</f>
        <v>6255</v>
      </c>
      <c r="C1024" s="2" t="s">
        <v>594</v>
      </c>
      <c r="D1024" s="2" t="str">
        <f t="shared" si="15"/>
        <v>Error?</v>
      </c>
    </row>
    <row r="1025" spans="1:4" x14ac:dyDescent="0.2">
      <c r="A1025" s="5">
        <v>964</v>
      </c>
      <c r="B1025" s="138">
        <f>'Expenditures 15-22'!H55</f>
        <v>2444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2444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8699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212767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236889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5696120</v>
      </c>
      <c r="C1093" s="2" t="s">
        <v>594</v>
      </c>
      <c r="D1093" s="2" t="str">
        <f t="shared" si="16"/>
        <v>Error?</v>
      </c>
    </row>
    <row r="1094" spans="1:4" x14ac:dyDescent="0.2">
      <c r="A1094" s="5">
        <v>1033</v>
      </c>
      <c r="B1094" s="138">
        <f>'Expenditures 15-22'!K16</f>
        <v>9577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460622</v>
      </c>
      <c r="C1105" s="2" t="s">
        <v>594</v>
      </c>
      <c r="D1105" s="2" t="str">
        <f t="shared" si="16"/>
        <v>Error?</v>
      </c>
    </row>
    <row r="1106" spans="1:4" x14ac:dyDescent="0.2">
      <c r="A1106" s="5">
        <v>1045</v>
      </c>
      <c r="B1106" s="138">
        <f>'Expenditures 15-22'!K14</f>
        <v>325551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7859939</v>
      </c>
      <c r="C1108" s="2" t="s">
        <v>594</v>
      </c>
      <c r="D1108" s="2" t="str">
        <f t="shared" si="16"/>
        <v>Error?</v>
      </c>
    </row>
    <row r="1109" spans="1:4" x14ac:dyDescent="0.2">
      <c r="A1109" s="5">
        <v>1048</v>
      </c>
      <c r="B1109" s="138">
        <f>'Expenditures 15-22'!K36</f>
        <v>53776</v>
      </c>
      <c r="C1109" s="2" t="s">
        <v>594</v>
      </c>
      <c r="D1109" s="2" t="str">
        <f t="shared" si="16"/>
        <v>Error?</v>
      </c>
    </row>
    <row r="1110" spans="1:4" x14ac:dyDescent="0.2">
      <c r="A1110" s="5">
        <v>1049</v>
      </c>
      <c r="B1110" s="138">
        <f>'Expenditures 15-22'!K37</f>
        <v>257230</v>
      </c>
      <c r="C1110" s="2" t="s">
        <v>594</v>
      </c>
      <c r="D1110" s="2" t="str">
        <f t="shared" si="16"/>
        <v>Error?</v>
      </c>
    </row>
    <row r="1111" spans="1:4" x14ac:dyDescent="0.2">
      <c r="A1111" s="5">
        <v>1050</v>
      </c>
      <c r="B1111" s="138">
        <f>'Expenditures 15-22'!K38</f>
        <v>117059</v>
      </c>
      <c r="C1111" s="2" t="s">
        <v>594</v>
      </c>
      <c r="D1111" s="2" t="str">
        <f t="shared" si="16"/>
        <v>Error?</v>
      </c>
    </row>
    <row r="1112" spans="1:4" x14ac:dyDescent="0.2">
      <c r="A1112" s="5">
        <v>1051</v>
      </c>
      <c r="B1112" s="138">
        <f>'Expenditures 15-22'!K39</f>
        <v>74499</v>
      </c>
      <c r="C1112" s="2" t="s">
        <v>594</v>
      </c>
      <c r="D1112" s="2" t="str">
        <f t="shared" si="16"/>
        <v>Error?</v>
      </c>
    </row>
    <row r="1113" spans="1:4" x14ac:dyDescent="0.2">
      <c r="A1113" s="5">
        <v>1052</v>
      </c>
      <c r="B1113" s="138">
        <f>'Expenditures 15-22'!K40</f>
        <v>135166</v>
      </c>
      <c r="C1113" s="2" t="s">
        <v>594</v>
      </c>
      <c r="D1113" s="2" t="str">
        <f t="shared" si="16"/>
        <v>Error?</v>
      </c>
    </row>
    <row r="1114" spans="1:4" x14ac:dyDescent="0.2">
      <c r="A1114" s="5">
        <v>1053</v>
      </c>
      <c r="B1114" s="138">
        <f>'Expenditures 15-22'!K41</f>
        <v>16624</v>
      </c>
      <c r="C1114" s="2" t="s">
        <v>594</v>
      </c>
      <c r="D1114" s="2" t="str">
        <f t="shared" si="16"/>
        <v>Error?</v>
      </c>
    </row>
    <row r="1115" spans="1:4" x14ac:dyDescent="0.2">
      <c r="A1115" s="5">
        <v>1054</v>
      </c>
      <c r="B1115" s="138">
        <f>'Expenditures 15-22'!K42</f>
        <v>654354</v>
      </c>
      <c r="C1115" s="2" t="s">
        <v>594</v>
      </c>
      <c r="D1115" s="2" t="str">
        <f t="shared" si="16"/>
        <v>Error?</v>
      </c>
    </row>
    <row r="1116" spans="1:4" x14ac:dyDescent="0.2">
      <c r="A1116" s="5">
        <v>1055</v>
      </c>
      <c r="B1116" s="138">
        <f>'Expenditures 15-22'!K44</f>
        <v>76972</v>
      </c>
      <c r="C1116" s="2" t="s">
        <v>594</v>
      </c>
      <c r="D1116" s="2" t="str">
        <f t="shared" si="16"/>
        <v>Error?</v>
      </c>
    </row>
    <row r="1117" spans="1:4" x14ac:dyDescent="0.2">
      <c r="A1117" s="5">
        <v>1056</v>
      </c>
      <c r="B1117" s="138">
        <f>'Expenditures 15-22'!K45</f>
        <v>142842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219814</v>
      </c>
      <c r="C1119" s="2" t="s">
        <v>594</v>
      </c>
      <c r="D1119" s="2" t="str">
        <f t="shared" si="16"/>
        <v>Error?</v>
      </c>
    </row>
    <row r="1120" spans="1:4" x14ac:dyDescent="0.2">
      <c r="A1120" s="5">
        <v>1059</v>
      </c>
      <c r="B1120" s="138">
        <f>'Expenditures 15-22'!K49</f>
        <v>91789</v>
      </c>
      <c r="C1120" s="2" t="s">
        <v>594</v>
      </c>
      <c r="D1120" s="2" t="str">
        <f t="shared" si="16"/>
        <v>Error?</v>
      </c>
    </row>
    <row r="1121" spans="1:4" x14ac:dyDescent="0.2">
      <c r="A1121" s="5">
        <v>1060</v>
      </c>
      <c r="B1121" s="138">
        <f>'Expenditures 15-22'!K50</f>
        <v>238772</v>
      </c>
      <c r="C1121" s="2" t="s">
        <v>594</v>
      </c>
      <c r="D1121" s="2" t="str">
        <f t="shared" si="16"/>
        <v>Error?</v>
      </c>
    </row>
    <row r="1122" spans="1:4" x14ac:dyDescent="0.2">
      <c r="A1122" s="5">
        <v>1061</v>
      </c>
      <c r="B1122" s="138">
        <f>'Expenditures 15-22'!K53</f>
        <v>330561</v>
      </c>
      <c r="C1122" s="2" t="s">
        <v>594</v>
      </c>
      <c r="D1122" s="2" t="str">
        <f t="shared" si="16"/>
        <v>Error?</v>
      </c>
    </row>
    <row r="1123" spans="1:4" x14ac:dyDescent="0.2">
      <c r="A1123" s="5">
        <v>1062</v>
      </c>
      <c r="B1123" s="138">
        <f>'Expenditures 15-22'!K55</f>
        <v>886048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886048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124470</v>
      </c>
      <c r="C1127" s="2" t="s">
        <v>594</v>
      </c>
      <c r="D1127" s="2" t="str">
        <f t="shared" si="16"/>
        <v>Error?</v>
      </c>
    </row>
    <row r="1128" spans="1:4" x14ac:dyDescent="0.2">
      <c r="A1128" s="5">
        <v>1067</v>
      </c>
      <c r="B1128" s="138">
        <f>'Expenditures 15-22'!K61</f>
        <v>68832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695677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888979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2979756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212767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11052462</v>
      </c>
      <c r="C1152" s="2" t="s">
        <v>594</v>
      </c>
      <c r="D1152" s="2" t="str">
        <f t="shared" si="17"/>
        <v>Error?</v>
      </c>
    </row>
    <row r="1153" spans="1:4" x14ac:dyDescent="0.2">
      <c r="A1153" s="5">
        <v>1092</v>
      </c>
      <c r="B1153" s="138">
        <f>'Expenditures 15-22'!K115</f>
        <v>-1031596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404776</v>
      </c>
      <c r="D1221" s="2" t="str">
        <f t="shared" si="18"/>
        <v>Error?</v>
      </c>
    </row>
    <row r="1222" spans="1:4" x14ac:dyDescent="0.2">
      <c r="A1222" s="10">
        <v>1161</v>
      </c>
      <c r="D1222" s="2" t="str">
        <f t="shared" si="18"/>
        <v>OK</v>
      </c>
    </row>
    <row r="1223" spans="1:4" x14ac:dyDescent="0.2">
      <c r="A1223" s="5">
        <v>1162</v>
      </c>
      <c r="B1223" s="138">
        <f>'Expenditures 15-22'!C127</f>
        <v>404776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404776</v>
      </c>
      <c r="C1225" s="2" t="s">
        <v>594</v>
      </c>
      <c r="D1225" s="2" t="str">
        <f t="shared" si="18"/>
        <v>Error?</v>
      </c>
    </row>
    <row r="1226" spans="1:4" x14ac:dyDescent="0.2">
      <c r="A1226" s="5">
        <v>1165</v>
      </c>
      <c r="B1226" s="138">
        <f>'Expenditures 15-22'!C151</f>
        <v>404776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74087</v>
      </c>
      <c r="D1229" s="2" t="str">
        <f t="shared" si="18"/>
        <v>Error?</v>
      </c>
    </row>
    <row r="1230" spans="1:4" x14ac:dyDescent="0.2">
      <c r="A1230" s="10">
        <v>1169</v>
      </c>
      <c r="D1230" s="2" t="str">
        <f t="shared" si="18"/>
        <v>OK</v>
      </c>
    </row>
    <row r="1231" spans="1:4" x14ac:dyDescent="0.2">
      <c r="A1231" s="5">
        <v>1170</v>
      </c>
      <c r="B1231" s="138">
        <f>'Expenditures 15-22'!D127</f>
        <v>74087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74087</v>
      </c>
      <c r="C1233" s="2" t="s">
        <v>594</v>
      </c>
      <c r="D1233" s="2" t="str">
        <f t="shared" si="18"/>
        <v>Error?</v>
      </c>
    </row>
    <row r="1234" spans="1:4" x14ac:dyDescent="0.2">
      <c r="A1234" s="5">
        <v>1173</v>
      </c>
      <c r="B1234" s="138">
        <f>'Expenditures 15-22'!D151</f>
        <v>74087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528</v>
      </c>
      <c r="D1236" s="2" t="str">
        <f t="shared" si="18"/>
        <v>Error?</v>
      </c>
    </row>
    <row r="1237" spans="1:4" x14ac:dyDescent="0.2">
      <c r="A1237" s="5">
        <v>1176</v>
      </c>
      <c r="B1237" s="138">
        <f>'Expenditures 15-22'!E124</f>
        <v>207500</v>
      </c>
      <c r="D1237" s="2" t="str">
        <f t="shared" si="18"/>
        <v>Error?</v>
      </c>
    </row>
    <row r="1238" spans="1:4" x14ac:dyDescent="0.2">
      <c r="A1238" s="10">
        <v>1177</v>
      </c>
      <c r="D1238" s="2" t="str">
        <f t="shared" si="18"/>
        <v>OK</v>
      </c>
    </row>
    <row r="1239" spans="1:4" x14ac:dyDescent="0.2">
      <c r="A1239" s="5">
        <v>1178</v>
      </c>
      <c r="B1239" s="138">
        <f>'Expenditures 15-22'!E127</f>
        <v>208028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208028</v>
      </c>
      <c r="C1241" s="2" t="s">
        <v>594</v>
      </c>
      <c r="D1241" s="2" t="str">
        <f t="shared" si="18"/>
        <v>Error?</v>
      </c>
    </row>
    <row r="1242" spans="1:4" x14ac:dyDescent="0.2">
      <c r="A1242" s="5">
        <v>1181</v>
      </c>
      <c r="B1242" s="138">
        <f>'Expenditures 15-22'!E151</f>
        <v>208028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3351</v>
      </c>
      <c r="D1244" s="2" t="str">
        <f t="shared" si="18"/>
        <v>Error?</v>
      </c>
    </row>
    <row r="1245" spans="1:4" x14ac:dyDescent="0.2">
      <c r="A1245" s="5">
        <v>1184</v>
      </c>
      <c r="B1245" s="138">
        <f>'Expenditures 15-22'!F124</f>
        <v>385647</v>
      </c>
      <c r="D1245" s="2" t="str">
        <f t="shared" si="18"/>
        <v>Error?</v>
      </c>
    </row>
    <row r="1246" spans="1:4" x14ac:dyDescent="0.2">
      <c r="A1246" s="10">
        <v>1185</v>
      </c>
      <c r="D1246" s="2" t="str">
        <f t="shared" si="18"/>
        <v>OK</v>
      </c>
    </row>
    <row r="1247" spans="1:4" x14ac:dyDescent="0.2">
      <c r="A1247" s="5">
        <v>1186</v>
      </c>
      <c r="B1247" s="138">
        <f>'Expenditures 15-22'!F127</f>
        <v>388998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388998</v>
      </c>
      <c r="C1249" s="2" t="s">
        <v>594</v>
      </c>
      <c r="D1249" s="2" t="str">
        <f t="shared" si="18"/>
        <v>Error?</v>
      </c>
    </row>
    <row r="1250" spans="1:4" x14ac:dyDescent="0.2">
      <c r="A1250" s="5">
        <v>1189</v>
      </c>
      <c r="B1250" s="138">
        <f>'Expenditures 15-22'!F151</f>
        <v>388998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48199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48199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48199</v>
      </c>
      <c r="C1258" s="2" t="s">
        <v>594</v>
      </c>
      <c r="D1258" s="2" t="str">
        <f t="shared" si="18"/>
        <v>Error?</v>
      </c>
    </row>
    <row r="1259" spans="1:4" x14ac:dyDescent="0.2">
      <c r="A1259" s="5">
        <v>1198</v>
      </c>
      <c r="B1259" s="138">
        <f>'Expenditures 15-22'!G151</f>
        <v>48199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2324</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2324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3879</v>
      </c>
      <c r="C1275" s="2" t="s">
        <v>594</v>
      </c>
      <c r="D1275" s="2" t="str">
        <f t="shared" si="18"/>
        <v>Error?</v>
      </c>
    </row>
    <row r="1276" spans="1:4" x14ac:dyDescent="0.2">
      <c r="A1276" s="5">
        <v>1215</v>
      </c>
      <c r="B1276" s="138">
        <f>'Expenditures 15-22'!K124</f>
        <v>1129292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1133171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1133171</v>
      </c>
      <c r="C1281" s="2" t="s">
        <v>594</v>
      </c>
      <c r="D1281" s="2" t="str">
        <f t="shared" si="19"/>
        <v>Error?</v>
      </c>
    </row>
    <row r="1282" spans="1:4" x14ac:dyDescent="0.2">
      <c r="A1282" s="5">
        <v>1221</v>
      </c>
      <c r="B1282" s="138">
        <f>'Expenditures 15-22'!K139</f>
        <v>2324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1135495</v>
      </c>
      <c r="C1288" s="2" t="s">
        <v>594</v>
      </c>
      <c r="D1288" s="2" t="str">
        <f t="shared" si="19"/>
        <v>Error?</v>
      </c>
    </row>
    <row r="1289" spans="1:4" x14ac:dyDescent="0.2">
      <c r="A1289" s="5">
        <v>1228</v>
      </c>
      <c r="B1289" s="138">
        <f>'Expenditures 15-22'!K152</f>
        <v>-344796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804980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245980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1050960</v>
      </c>
      <c r="C1317" s="2" t="s">
        <v>594</v>
      </c>
      <c r="D1317" s="2" t="str">
        <f t="shared" si="19"/>
        <v>Error?</v>
      </c>
    </row>
    <row r="1318" spans="1:4" x14ac:dyDescent="0.2">
      <c r="A1318" s="5">
        <v>1257</v>
      </c>
      <c r="B1318" s="138">
        <f>'Expenditures 15-22'!H174</f>
        <v>1050960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804980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245980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1050960</v>
      </c>
      <c r="C1331" s="2" t="s">
        <v>594</v>
      </c>
      <c r="D1331" s="2" t="str">
        <f t="shared" si="19"/>
        <v>Error?</v>
      </c>
    </row>
    <row r="1332" spans="1:4" x14ac:dyDescent="0.2">
      <c r="A1332" s="5">
        <v>1271</v>
      </c>
      <c r="B1332" s="138">
        <f>'Expenditures 15-22'!K174</f>
        <v>1050960</v>
      </c>
      <c r="C1332" s="2" t="s">
        <v>594</v>
      </c>
      <c r="D1332" s="2" t="str">
        <f t="shared" si="19"/>
        <v>Error?</v>
      </c>
    </row>
    <row r="1333" spans="1:4" x14ac:dyDescent="0.2">
      <c r="A1333" s="5">
        <v>1272</v>
      </c>
      <c r="B1333" s="138">
        <f>'Expenditures 15-22'!K175</f>
        <v>-336425</v>
      </c>
      <c r="C1333" s="2" t="s">
        <v>594</v>
      </c>
      <c r="D1333" s="2" t="str">
        <f t="shared" si="19"/>
        <v>Error?</v>
      </c>
    </row>
    <row r="1334" spans="1:4" x14ac:dyDescent="0.2">
      <c r="A1334" s="10">
        <v>1273</v>
      </c>
      <c r="D1334" s="2" t="str">
        <f t="shared" si="19"/>
        <v>OK</v>
      </c>
    </row>
    <row r="1335" spans="1:4" x14ac:dyDescent="0.2">
      <c r="A1335" s="5">
        <v>1274</v>
      </c>
      <c r="B1335" s="138">
        <f>'Expenditures 15-22'!C182</f>
        <v>407098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407098</v>
      </c>
      <c r="C1339" s="2" t="s">
        <v>594</v>
      </c>
      <c r="D1339" s="2" t="str">
        <f t="shared" si="19"/>
        <v>Error?</v>
      </c>
    </row>
    <row r="1340" spans="1:4" x14ac:dyDescent="0.2">
      <c r="A1340" s="5">
        <v>1279</v>
      </c>
      <c r="B1340" s="138">
        <f>'Expenditures 15-22'!C210</f>
        <v>407098</v>
      </c>
      <c r="C1340" s="2" t="s">
        <v>594</v>
      </c>
      <c r="D1340" s="2" t="str">
        <f t="shared" si="19"/>
        <v>Error?</v>
      </c>
    </row>
    <row r="1341" spans="1:4" x14ac:dyDescent="0.2">
      <c r="A1341" s="5">
        <v>1280</v>
      </c>
      <c r="B1341" s="138">
        <f>'Expenditures 15-22'!D182</f>
        <v>13446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13446</v>
      </c>
      <c r="C1345" s="2" t="s">
        <v>594</v>
      </c>
      <c r="D1345" s="2" t="str">
        <f t="shared" si="20"/>
        <v>Error?</v>
      </c>
    </row>
    <row r="1346" spans="1:4" x14ac:dyDescent="0.2">
      <c r="A1346" s="5">
        <v>1285</v>
      </c>
      <c r="B1346" s="138">
        <f>'Expenditures 15-22'!D210</f>
        <v>13446</v>
      </c>
      <c r="C1346" s="2" t="s">
        <v>594</v>
      </c>
      <c r="D1346" s="2" t="str">
        <f t="shared" si="20"/>
        <v>Error?</v>
      </c>
    </row>
    <row r="1347" spans="1:4" x14ac:dyDescent="0.2">
      <c r="A1347" s="5">
        <v>1286</v>
      </c>
      <c r="B1347" s="138">
        <f>'Expenditures 15-22'!E182</f>
        <v>66635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66635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66635</v>
      </c>
      <c r="C1353" s="2" t="s">
        <v>594</v>
      </c>
      <c r="D1353" s="2" t="str">
        <f t="shared" si="20"/>
        <v>Error?</v>
      </c>
    </row>
    <row r="1354" spans="1:4" x14ac:dyDescent="0.2">
      <c r="A1354" s="5">
        <v>1293</v>
      </c>
      <c r="B1354" s="138">
        <f>'Expenditures 15-22'!F182</f>
        <v>217427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217427</v>
      </c>
      <c r="C1358" s="2" t="s">
        <v>594</v>
      </c>
      <c r="D1358" s="2" t="str">
        <f t="shared" si="20"/>
        <v>Error?</v>
      </c>
    </row>
    <row r="1359" spans="1:4" x14ac:dyDescent="0.2">
      <c r="A1359" s="5">
        <v>1298</v>
      </c>
      <c r="B1359" s="138">
        <f>'Expenditures 15-22'!F210</f>
        <v>217427</v>
      </c>
      <c r="C1359" s="2" t="s">
        <v>594</v>
      </c>
      <c r="D1359" s="2" t="str">
        <f t="shared" si="20"/>
        <v>Error?</v>
      </c>
    </row>
    <row r="1360" spans="1:4" x14ac:dyDescent="0.2">
      <c r="A1360" s="5">
        <v>1299</v>
      </c>
      <c r="B1360" s="138">
        <f>'Expenditures 15-22'!G182</f>
        <v>175374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175374</v>
      </c>
      <c r="C1364" s="2" t="s">
        <v>594</v>
      </c>
      <c r="D1364" s="2" t="str">
        <f t="shared" si="20"/>
        <v>Error?</v>
      </c>
    </row>
    <row r="1365" spans="1:4" x14ac:dyDescent="0.2">
      <c r="A1365" s="5">
        <v>1304</v>
      </c>
      <c r="B1365" s="138">
        <f>'Expenditures 15-22'!G210</f>
        <v>175374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881365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881365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881365</v>
      </c>
      <c r="C1388" s="2" t="s">
        <v>594</v>
      </c>
      <c r="D1388" s="2" t="str">
        <f t="shared" si="20"/>
        <v>Error?</v>
      </c>
    </row>
    <row r="1389" spans="1:4" x14ac:dyDescent="0.2">
      <c r="A1389" s="5">
        <v>1328</v>
      </c>
      <c r="B1389" s="138">
        <f>'Expenditures 15-22'!K211</f>
        <v>33967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5400</v>
      </c>
      <c r="D1407" s="2" t="str">
        <f t="shared" ref="D1407:D1470" si="21">IF(ISBLANK(B1407),"OK",IF(A1407-B1407=0,"OK","Error?"))</f>
        <v>Error?</v>
      </c>
    </row>
    <row r="1408" spans="1:4" x14ac:dyDescent="0.2">
      <c r="A1408" s="5">
        <v>1347</v>
      </c>
      <c r="B1408" s="138">
        <f>'Expenditures 15-22'!D223</f>
        <v>9753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173270</v>
      </c>
      <c r="C1410" s="2" t="s">
        <v>594</v>
      </c>
      <c r="D1410" s="2" t="str">
        <f t="shared" si="21"/>
        <v>Error?</v>
      </c>
    </row>
    <row r="1411" spans="1:4" x14ac:dyDescent="0.2">
      <c r="A1411" s="5">
        <v>1350</v>
      </c>
      <c r="B1411" s="138">
        <f>'Expenditures 15-22'!D232</f>
        <v>670</v>
      </c>
      <c r="D1411" s="2" t="str">
        <f t="shared" si="21"/>
        <v>Error?</v>
      </c>
    </row>
    <row r="1412" spans="1:4" x14ac:dyDescent="0.2">
      <c r="A1412" s="5">
        <v>1351</v>
      </c>
      <c r="B1412" s="138">
        <f>'Expenditures 15-22'!D233</f>
        <v>8367</v>
      </c>
      <c r="D1412" s="2" t="str">
        <f t="shared" si="21"/>
        <v>Error?</v>
      </c>
    </row>
    <row r="1413" spans="1:4" x14ac:dyDescent="0.2">
      <c r="A1413" s="5">
        <v>1352</v>
      </c>
      <c r="B1413" s="138">
        <f>'Expenditures 15-22'!D234</f>
        <v>7734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18517</v>
      </c>
      <c r="C1417" s="2" t="s">
        <v>594</v>
      </c>
      <c r="D1417" s="2" t="str">
        <f t="shared" si="21"/>
        <v>Error?</v>
      </c>
    </row>
    <row r="1418" spans="1:4" x14ac:dyDescent="0.2">
      <c r="A1418" s="5">
        <v>1357</v>
      </c>
      <c r="B1418" s="138">
        <f>'Expenditures 15-22'!D240</f>
        <v>385</v>
      </c>
      <c r="D1418" s="2" t="str">
        <f t="shared" si="21"/>
        <v>Error?</v>
      </c>
    </row>
    <row r="1419" spans="1:4" x14ac:dyDescent="0.2">
      <c r="A1419" s="5">
        <v>1358</v>
      </c>
      <c r="B1419" s="138">
        <f>'Expenditures 15-22'!D241</f>
        <v>9679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10064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12272</v>
      </c>
      <c r="D1423" s="2" t="str">
        <f t="shared" si="21"/>
        <v>Error?</v>
      </c>
    </row>
    <row r="1424" spans="1:4" x14ac:dyDescent="0.2">
      <c r="A1424" s="5">
        <v>1363</v>
      </c>
      <c r="B1424" s="138">
        <f>'Expenditures 15-22'!D257</f>
        <v>17918</v>
      </c>
      <c r="C1424" s="2" t="s">
        <v>594</v>
      </c>
      <c r="D1424" s="2" t="str">
        <f t="shared" si="21"/>
        <v>Error?</v>
      </c>
    </row>
    <row r="1425" spans="1:4" x14ac:dyDescent="0.2">
      <c r="A1425" s="5">
        <v>1364</v>
      </c>
      <c r="B1425" s="138">
        <f>'Expenditures 15-22'!D259</f>
        <v>38166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38166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19991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77391</v>
      </c>
      <c r="D1431" s="2" t="str">
        <f t="shared" si="21"/>
        <v>Error?</v>
      </c>
    </row>
    <row r="1432" spans="1:4" x14ac:dyDescent="0.2">
      <c r="A1432" s="5">
        <v>1371</v>
      </c>
      <c r="B1432" s="138">
        <f>'Expenditures 15-22'!D267</f>
        <v>74938</v>
      </c>
      <c r="D1432" s="2" t="str">
        <f t="shared" si="21"/>
        <v>Error?</v>
      </c>
    </row>
    <row r="1433" spans="1:4" x14ac:dyDescent="0.2">
      <c r="A1433" s="5">
        <v>1372</v>
      </c>
      <c r="B1433" s="138">
        <f>'Expenditures 15-22'!D268</f>
        <v>53500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225820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310485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483755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5400</v>
      </c>
      <c r="C1471" s="2" t="s">
        <v>594</v>
      </c>
      <c r="D1471" s="2" t="str">
        <f t="shared" ref="D1471:D1534" si="22">IF(ISBLANK(B1471),"OK",IF(A1471-B1471=0,"OK","Error?"))</f>
        <v>Error?</v>
      </c>
    </row>
    <row r="1472" spans="1:4" x14ac:dyDescent="0.2">
      <c r="A1472" s="5">
        <v>1411</v>
      </c>
      <c r="B1472" s="138">
        <f>'Expenditures 15-22'!K223</f>
        <v>9753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173270</v>
      </c>
      <c r="C1474" s="2" t="s">
        <v>594</v>
      </c>
      <c r="D1474" s="2" t="str">
        <f t="shared" si="22"/>
        <v>Error?</v>
      </c>
    </row>
    <row r="1475" spans="1:4" x14ac:dyDescent="0.2">
      <c r="A1475" s="5">
        <v>1414</v>
      </c>
      <c r="B1475" s="138">
        <f>'Expenditures 15-22'!K232</f>
        <v>670</v>
      </c>
      <c r="C1475" s="2" t="s">
        <v>594</v>
      </c>
      <c r="D1475" s="2" t="str">
        <f t="shared" si="22"/>
        <v>Error?</v>
      </c>
    </row>
    <row r="1476" spans="1:4" x14ac:dyDescent="0.2">
      <c r="A1476" s="5">
        <v>1415</v>
      </c>
      <c r="B1476" s="138">
        <f>'Expenditures 15-22'!K233</f>
        <v>8367</v>
      </c>
      <c r="C1476" s="2" t="s">
        <v>594</v>
      </c>
      <c r="D1476" s="2" t="str">
        <f t="shared" si="22"/>
        <v>Error?</v>
      </c>
    </row>
    <row r="1477" spans="1:4" x14ac:dyDescent="0.2">
      <c r="A1477" s="5">
        <v>1416</v>
      </c>
      <c r="B1477" s="138">
        <f>'Expenditures 15-22'!K234</f>
        <v>7734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1746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18517</v>
      </c>
      <c r="C1481" s="2" t="s">
        <v>594</v>
      </c>
      <c r="D1481" s="2" t="str">
        <f t="shared" si="22"/>
        <v>Error?</v>
      </c>
    </row>
    <row r="1482" spans="1:4" x14ac:dyDescent="0.2">
      <c r="A1482" s="5">
        <v>1421</v>
      </c>
      <c r="B1482" s="138">
        <f>'Expenditures 15-22'!K240</f>
        <v>385</v>
      </c>
      <c r="C1482" s="2" t="s">
        <v>594</v>
      </c>
      <c r="D1482" s="2" t="str">
        <f t="shared" si="22"/>
        <v>Error?</v>
      </c>
    </row>
    <row r="1483" spans="1:4" x14ac:dyDescent="0.2">
      <c r="A1483" s="5">
        <v>1422</v>
      </c>
      <c r="B1483" s="138">
        <f>'Expenditures 15-22'!K241</f>
        <v>9679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10064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12272</v>
      </c>
      <c r="C1487" s="2" t="s">
        <v>594</v>
      </c>
      <c r="D1487" s="2" t="str">
        <f t="shared" si="22"/>
        <v>Error?</v>
      </c>
    </row>
    <row r="1488" spans="1:4" x14ac:dyDescent="0.2">
      <c r="A1488" s="5">
        <v>1427</v>
      </c>
      <c r="B1488" s="138">
        <f>'Expenditures 15-22'!K257</f>
        <v>17918</v>
      </c>
      <c r="C1488" s="2" t="s">
        <v>594</v>
      </c>
      <c r="D1488" s="2" t="str">
        <f t="shared" si="22"/>
        <v>Error?</v>
      </c>
    </row>
    <row r="1489" spans="1:4" x14ac:dyDescent="0.2">
      <c r="A1489" s="5">
        <v>1428</v>
      </c>
      <c r="B1489" s="138">
        <f>'Expenditures 15-22'!K259</f>
        <v>38166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38166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19991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77391</v>
      </c>
      <c r="C1495" s="2" t="s">
        <v>594</v>
      </c>
      <c r="D1495" s="2" t="str">
        <f t="shared" si="22"/>
        <v>Error?</v>
      </c>
    </row>
    <row r="1496" spans="1:4" x14ac:dyDescent="0.2">
      <c r="A1496" s="5">
        <v>1435</v>
      </c>
      <c r="B1496" s="138">
        <f>'Expenditures 15-22'!K267</f>
        <v>74938</v>
      </c>
      <c r="C1496" s="2" t="s">
        <v>594</v>
      </c>
      <c r="D1496" s="2" t="str">
        <f t="shared" si="22"/>
        <v>Error?</v>
      </c>
    </row>
    <row r="1497" spans="1:4" x14ac:dyDescent="0.2">
      <c r="A1497" s="5">
        <v>1436</v>
      </c>
      <c r="B1497" s="138">
        <f>'Expenditures 15-22'!K268</f>
        <v>53500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225820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310485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483755</v>
      </c>
      <c r="C1517" s="2" t="s">
        <v>594</v>
      </c>
      <c r="D1517" s="2" t="str">
        <f t="shared" si="22"/>
        <v>Error?</v>
      </c>
    </row>
    <row r="1518" spans="1:4" x14ac:dyDescent="0.2">
      <c r="A1518" s="5">
        <v>1457</v>
      </c>
      <c r="B1518" s="138">
        <f>'Expenditures 15-22'!K296</f>
        <v>-87851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145490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145490</v>
      </c>
      <c r="C1535" s="2" t="s">
        <v>594</v>
      </c>
      <c r="D1535" s="2" t="str">
        <f t="shared" ref="D1535:D1598" si="23">IF(ISBLANK(B1535),"OK",IF(A1535-B1535=0,"OK","Error?"))</f>
        <v>Error?</v>
      </c>
    </row>
    <row r="1536" spans="1:4" x14ac:dyDescent="0.2">
      <c r="A1536" s="5">
        <v>1475</v>
      </c>
      <c r="B1536" s="138">
        <f>'Expenditures 15-22'!E312</f>
        <v>145490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145490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145490</v>
      </c>
      <c r="C1559" s="2" t="s">
        <v>594</v>
      </c>
      <c r="D1559" s="2" t="str">
        <f t="shared" si="23"/>
        <v>Error?</v>
      </c>
    </row>
    <row r="1560" spans="1:4" x14ac:dyDescent="0.2">
      <c r="A1560" s="5">
        <v>1499</v>
      </c>
      <c r="B1560" s="138">
        <f>'Expenditures 15-22'!K312</f>
        <v>145490</v>
      </c>
      <c r="C1560" s="2" t="s">
        <v>594</v>
      </c>
      <c r="D1560" s="2" t="str">
        <f t="shared" si="23"/>
        <v>Error?</v>
      </c>
    </row>
    <row r="1561" spans="1:4" x14ac:dyDescent="0.2">
      <c r="A1561" s="5">
        <v>1500</v>
      </c>
      <c r="B1561" s="138">
        <f>'Expenditures 15-22'!K313</f>
        <v>276586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7650877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6619281</v>
      </c>
      <c r="C1630" s="2" t="s">
        <v>594</v>
      </c>
      <c r="D1630" s="2" t="str">
        <f t="shared" si="24"/>
        <v>Error?</v>
      </c>
    </row>
    <row r="1631" spans="1:4" x14ac:dyDescent="0.2">
      <c r="A1631" s="5">
        <v>1570</v>
      </c>
      <c r="B1631" s="138">
        <f>'Acct Summary 7-8'!D79</f>
        <v>767268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422472</v>
      </c>
      <c r="C1644" s="2" t="s">
        <v>594</v>
      </c>
      <c r="D1644" s="2" t="str">
        <f t="shared" si="24"/>
        <v>Error?</v>
      </c>
    </row>
    <row r="1645" spans="1:4" x14ac:dyDescent="0.2">
      <c r="A1645" s="5">
        <v>1584</v>
      </c>
      <c r="B1645" s="138">
        <f>'Acct Summary 7-8'!E79</f>
        <v>471255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134830</v>
      </c>
      <c r="C1658" s="2" t="s">
        <v>594</v>
      </c>
      <c r="D1658" s="2" t="str">
        <f t="shared" si="24"/>
        <v>Error?</v>
      </c>
    </row>
    <row r="1659" spans="1:4" x14ac:dyDescent="0.2">
      <c r="A1659" s="5">
        <v>1598</v>
      </c>
      <c r="B1659" s="138">
        <f>'Acct Summary 7-8'!F79</f>
        <v>1405540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1439507</v>
      </c>
      <c r="C1672" s="2" t="s">
        <v>594</v>
      </c>
      <c r="D1672" s="2" t="str">
        <f t="shared" si="25"/>
        <v>Error?</v>
      </c>
    </row>
    <row r="1673" spans="1:4" x14ac:dyDescent="0.2">
      <c r="A1673" s="5">
        <v>1612</v>
      </c>
      <c r="B1673" s="138">
        <f>'Acct Summary 7-8'!G79</f>
        <v>529979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442128</v>
      </c>
      <c r="C1686" s="2" t="s">
        <v>594</v>
      </c>
      <c r="D1686" s="2" t="str">
        <f t="shared" si="25"/>
        <v>Error?</v>
      </c>
    </row>
    <row r="1687" spans="1:4" x14ac:dyDescent="0.2">
      <c r="A1687" s="5">
        <v>1626</v>
      </c>
      <c r="B1687" s="138">
        <f>'Acct Summary 7-8'!H79</f>
        <v>240666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517252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2729486</v>
      </c>
      <c r="C1744" s="2" t="s">
        <v>594</v>
      </c>
      <c r="D1744" s="2" t="str">
        <f t="shared" si="26"/>
        <v>Error?</v>
      </c>
    </row>
    <row r="1745" spans="1:5" x14ac:dyDescent="0.2">
      <c r="A1745" s="5">
        <v>1684</v>
      </c>
      <c r="B1745" s="138">
        <f>'Tax Sched 23'!B5</f>
        <v>527090</v>
      </c>
      <c r="C1745" s="2" t="s">
        <v>594</v>
      </c>
      <c r="D1745" s="2" t="str">
        <f t="shared" si="26"/>
        <v>Error?</v>
      </c>
    </row>
    <row r="1746" spans="1:5" x14ac:dyDescent="0.2">
      <c r="A1746" s="5">
        <v>1685</v>
      </c>
      <c r="B1746" s="138">
        <f>'Tax Sched 23'!B6</f>
        <v>714535</v>
      </c>
      <c r="C1746" s="2" t="s">
        <v>594</v>
      </c>
      <c r="D1746" s="2" t="str">
        <f t="shared" si="26"/>
        <v>Error?</v>
      </c>
    </row>
    <row r="1747" spans="1:5" x14ac:dyDescent="0.2">
      <c r="A1747" s="5">
        <v>1686</v>
      </c>
      <c r="B1747" s="138">
        <f>'Tax Sched 23'!B7</f>
        <v>210888</v>
      </c>
      <c r="C1747" s="2" t="s">
        <v>594</v>
      </c>
      <c r="D1747" s="2" t="str">
        <f t="shared" si="26"/>
        <v>Error?</v>
      </c>
    </row>
    <row r="1748" spans="1:5" x14ac:dyDescent="0.2">
      <c r="A1748" s="5">
        <v>1687</v>
      </c>
      <c r="B1748" s="138">
        <f>'Tax Sched 23'!B8</f>
        <v>150767</v>
      </c>
      <c r="C1748" s="2" t="s">
        <v>594</v>
      </c>
      <c r="D1748" s="2" t="str">
        <f t="shared" si="26"/>
        <v>Error?</v>
      </c>
    </row>
    <row r="1749" spans="1:5" x14ac:dyDescent="0.2">
      <c r="A1749" s="5">
        <v>1688</v>
      </c>
      <c r="B1749" s="138">
        <f>'Tax Sched 23'!B10</f>
        <v>52490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328499</v>
      </c>
      <c r="C1752" s="2" t="s">
        <v>594</v>
      </c>
      <c r="D1752" s="2" t="str">
        <f t="shared" si="26"/>
        <v>Error?</v>
      </c>
    </row>
    <row r="1753" spans="1:5" x14ac:dyDescent="0.2">
      <c r="A1753" s="5">
        <v>1692</v>
      </c>
      <c r="B1753" s="138">
        <f>'Tax Sched 23'!B12</f>
        <v>52489</v>
      </c>
      <c r="C1753" s="2" t="s">
        <v>594</v>
      </c>
      <c r="D1753" s="2" t="str">
        <f t="shared" si="26"/>
        <v>Error?</v>
      </c>
    </row>
    <row r="1754" spans="1:5" x14ac:dyDescent="0.2">
      <c r="A1754" s="5">
        <v>1693</v>
      </c>
      <c r="B1754" s="138">
        <f>'Tax Sched 23'!B14</f>
        <v>42314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5087620</v>
      </c>
      <c r="C1759" s="2" t="s">
        <v>594</v>
      </c>
      <c r="D1759" s="2" t="str">
        <f t="shared" si="26"/>
        <v>Error?</v>
      </c>
    </row>
    <row r="1760" spans="1:5" x14ac:dyDescent="0.2">
      <c r="A1760" s="5">
        <v>1699</v>
      </c>
      <c r="B1760" s="138">
        <f>'Tax Sched 23'!D4</f>
        <v>2261045</v>
      </c>
      <c r="C1760" s="2" t="s">
        <v>594</v>
      </c>
      <c r="D1760" s="2" t="str">
        <f t="shared" si="26"/>
        <v>Error?</v>
      </c>
    </row>
    <row r="1761" spans="1:5" x14ac:dyDescent="0.2">
      <c r="A1761" s="5">
        <v>1700</v>
      </c>
      <c r="B1761" s="138">
        <f>'Tax Sched 23'!D5</f>
        <v>436601</v>
      </c>
      <c r="C1761" s="2" t="s">
        <v>594</v>
      </c>
      <c r="D1761" s="2" t="str">
        <f t="shared" si="26"/>
        <v>Error?</v>
      </c>
    </row>
    <row r="1762" spans="1:5" s="8" customFormat="1" x14ac:dyDescent="0.2">
      <c r="A1762" s="5">
        <v>1701</v>
      </c>
      <c r="B1762" s="138">
        <f>'Tax Sched 23'!D6</f>
        <v>596056</v>
      </c>
      <c r="C1762" s="2" t="s">
        <v>594</v>
      </c>
      <c r="D1762" s="2" t="str">
        <f t="shared" si="26"/>
        <v>Error?</v>
      </c>
      <c r="E1762" s="9"/>
    </row>
    <row r="1763" spans="1:5" x14ac:dyDescent="0.2">
      <c r="A1763" s="5">
        <v>1702</v>
      </c>
      <c r="B1763" s="138">
        <f>'Tax Sched 23'!D7</f>
        <v>174640</v>
      </c>
      <c r="C1763" s="2" t="s">
        <v>594</v>
      </c>
      <c r="D1763" s="2" t="str">
        <f t="shared" si="26"/>
        <v>Error?</v>
      </c>
    </row>
    <row r="1764" spans="1:5" x14ac:dyDescent="0.2">
      <c r="A1764" s="5">
        <v>1703</v>
      </c>
      <c r="B1764" s="138">
        <f>'Tax Sched 23'!D8</f>
        <v>124863</v>
      </c>
      <c r="C1764" s="2" t="s">
        <v>594</v>
      </c>
      <c r="D1764" s="2" t="str">
        <f t="shared" si="26"/>
        <v>Error?</v>
      </c>
    </row>
    <row r="1765" spans="1:5" x14ac:dyDescent="0.2">
      <c r="A1765" s="5">
        <v>1704</v>
      </c>
      <c r="B1765" s="138">
        <f>'Tax Sched 23'!D10</f>
        <v>43450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272084</v>
      </c>
      <c r="C1768" s="2" t="s">
        <v>594</v>
      </c>
      <c r="D1768" s="2" t="str">
        <f t="shared" si="26"/>
        <v>Error?</v>
      </c>
    </row>
    <row r="1769" spans="1:5" x14ac:dyDescent="0.2">
      <c r="A1769" s="5">
        <v>1708</v>
      </c>
      <c r="B1769" s="138">
        <f>'Tax Sched 23'!D12</f>
        <v>43449</v>
      </c>
      <c r="C1769" s="2" t="s">
        <v>594</v>
      </c>
      <c r="D1769" s="2" t="str">
        <f t="shared" si="26"/>
        <v>Error?</v>
      </c>
    </row>
    <row r="1770" spans="1:5" x14ac:dyDescent="0.2">
      <c r="A1770" s="5">
        <v>1709</v>
      </c>
      <c r="B1770" s="138">
        <f>'Tax Sched 23'!D14</f>
        <v>35012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4218366</v>
      </c>
      <c r="C1775" s="2" t="s">
        <v>594</v>
      </c>
      <c r="D1775" s="2" t="str">
        <f t="shared" si="26"/>
        <v>Error?</v>
      </c>
    </row>
    <row r="1776" spans="1:5" x14ac:dyDescent="0.2">
      <c r="A1776" s="5">
        <v>1715</v>
      </c>
      <c r="B1776" s="138">
        <f>'Tax Sched 23'!C4</f>
        <v>468441</v>
      </c>
      <c r="D1776" s="2" t="str">
        <f t="shared" si="26"/>
        <v>Error?</v>
      </c>
    </row>
    <row r="1777" spans="1:4" x14ac:dyDescent="0.2">
      <c r="A1777" s="5">
        <v>1716</v>
      </c>
      <c r="B1777" s="138">
        <f>'Tax Sched 23'!C5</f>
        <v>90489</v>
      </c>
      <c r="D1777" s="2" t="str">
        <f t="shared" si="26"/>
        <v>Error?</v>
      </c>
    </row>
    <row r="1778" spans="1:4" x14ac:dyDescent="0.2">
      <c r="A1778" s="5">
        <v>1717</v>
      </c>
      <c r="B1778" s="138">
        <f>'Tax Sched 23'!C6</f>
        <v>118479</v>
      </c>
      <c r="D1778" s="2" t="str">
        <f t="shared" si="26"/>
        <v>Error?</v>
      </c>
    </row>
    <row r="1779" spans="1:4" x14ac:dyDescent="0.2">
      <c r="A1779" s="5">
        <v>1718</v>
      </c>
      <c r="B1779" s="138">
        <f>'Tax Sched 23'!C7</f>
        <v>36248</v>
      </c>
      <c r="D1779" s="2" t="str">
        <f t="shared" si="26"/>
        <v>Error?</v>
      </c>
    </row>
    <row r="1780" spans="1:4" x14ac:dyDescent="0.2">
      <c r="A1780" s="5">
        <v>1719</v>
      </c>
      <c r="B1780" s="138">
        <f>'Tax Sched 23'!C8</f>
        <v>25904</v>
      </c>
      <c r="D1780" s="2" t="str">
        <f t="shared" si="26"/>
        <v>Error?</v>
      </c>
    </row>
    <row r="1781" spans="1:4" x14ac:dyDescent="0.2">
      <c r="A1781" s="5">
        <v>1720</v>
      </c>
      <c r="B1781" s="138">
        <f>'Tax Sched 23'!C10</f>
        <v>9040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56415</v>
      </c>
      <c r="D1784" s="2" t="str">
        <f t="shared" si="26"/>
        <v>Error?</v>
      </c>
    </row>
    <row r="1785" spans="1:4" x14ac:dyDescent="0.2">
      <c r="A1785" s="5">
        <v>1724</v>
      </c>
      <c r="B1785" s="138">
        <f>'Tax Sched 23'!C12</f>
        <v>9040</v>
      </c>
      <c r="D1785" s="2" t="str">
        <f t="shared" si="26"/>
        <v>Error?</v>
      </c>
    </row>
    <row r="1786" spans="1:4" x14ac:dyDescent="0.2">
      <c r="A1786" s="5">
        <v>1725</v>
      </c>
      <c r="B1786" s="138">
        <f>'Tax Sched 23'!C14</f>
        <v>7302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869254</v>
      </c>
      <c r="C1791" s="2" t="s">
        <v>594</v>
      </c>
      <c r="D1791" s="2" t="str">
        <f t="shared" ref="D1791:D1854" si="27">IF(ISBLANK(B1791),"OK",IF(A1791-B1791=0,"OK","Error?"))</f>
        <v>Error?</v>
      </c>
    </row>
    <row r="1792" spans="1:4" x14ac:dyDescent="0.2">
      <c r="A1792" s="5">
        <v>1731</v>
      </c>
      <c r="B1792" s="138">
        <f>'Tax Sched 23'!F4</f>
        <v>3683908</v>
      </c>
      <c r="C1792" s="2" t="s">
        <v>594</v>
      </c>
      <c r="D1792" s="2" t="str">
        <f t="shared" si="27"/>
        <v>Error?</v>
      </c>
    </row>
    <row r="1793" spans="1:4" x14ac:dyDescent="0.2">
      <c r="A1793" s="5">
        <v>1732</v>
      </c>
      <c r="B1793" s="138">
        <f>'Tax Sched 23'!F5</f>
        <v>711218</v>
      </c>
      <c r="C1793" s="2" t="s">
        <v>594</v>
      </c>
      <c r="D1793" s="2" t="str">
        <f t="shared" si="27"/>
        <v>Error?</v>
      </c>
    </row>
    <row r="1794" spans="1:4" x14ac:dyDescent="0.2">
      <c r="A1794" s="5">
        <v>1733</v>
      </c>
      <c r="B1794" s="138">
        <f>'Tax Sched 23'!F6</f>
        <v>932084</v>
      </c>
      <c r="C1794" s="2" t="s">
        <v>594</v>
      </c>
      <c r="D1794" s="2" t="str">
        <f t="shared" si="27"/>
        <v>Error?</v>
      </c>
    </row>
    <row r="1795" spans="1:4" x14ac:dyDescent="0.2">
      <c r="A1795" s="5">
        <v>1734</v>
      </c>
      <c r="B1795" s="138">
        <f>'Tax Sched 23'!F7</f>
        <v>284435</v>
      </c>
      <c r="C1795" s="2" t="s">
        <v>594</v>
      </c>
      <c r="D1795" s="2" t="str">
        <f t="shared" si="27"/>
        <v>Error?</v>
      </c>
    </row>
    <row r="1796" spans="1:4" x14ac:dyDescent="0.2">
      <c r="A1796" s="5">
        <v>1735</v>
      </c>
      <c r="B1796" s="138">
        <f>'Tax Sched 23'!F8</f>
        <v>203482</v>
      </c>
      <c r="C1796" s="2" t="s">
        <v>594</v>
      </c>
      <c r="D1796" s="2" t="str">
        <f t="shared" si="27"/>
        <v>Error?</v>
      </c>
    </row>
    <row r="1797" spans="1:4" x14ac:dyDescent="0.2">
      <c r="A1797" s="5">
        <v>1736</v>
      </c>
      <c r="B1797" s="138">
        <f>'Tax Sched 23'!F10</f>
        <v>71130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443752</v>
      </c>
      <c r="C1800" s="2" t="s">
        <v>594</v>
      </c>
      <c r="D1800" s="2" t="str">
        <f t="shared" si="27"/>
        <v>Error?</v>
      </c>
    </row>
    <row r="1801" spans="1:4" x14ac:dyDescent="0.2">
      <c r="A1801" s="5">
        <v>1740</v>
      </c>
      <c r="B1801" s="138">
        <f>'Tax Sched 23'!F12</f>
        <v>71130</v>
      </c>
      <c r="C1801" s="2" t="s">
        <v>594</v>
      </c>
      <c r="D1801" s="2" t="str">
        <f t="shared" si="27"/>
        <v>Error?</v>
      </c>
    </row>
    <row r="1802" spans="1:4" x14ac:dyDescent="0.2">
      <c r="A1802" s="5">
        <v>1741</v>
      </c>
      <c r="B1802" s="138">
        <f>'Tax Sched 23'!F14</f>
        <v>56835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6834327</v>
      </c>
      <c r="C1807" s="2" t="s">
        <v>594</v>
      </c>
      <c r="D1807" s="2" t="str">
        <f t="shared" si="27"/>
        <v>Error?</v>
      </c>
    </row>
    <row r="1808" spans="1:4" x14ac:dyDescent="0.2">
      <c r="A1808" s="5">
        <v>1747</v>
      </c>
      <c r="B1808" s="138">
        <f>'Tax Sched 23'!E4</f>
        <v>4152349</v>
      </c>
      <c r="D1808" s="2" t="str">
        <f t="shared" si="27"/>
        <v>Error?</v>
      </c>
    </row>
    <row r="1809" spans="1:4" x14ac:dyDescent="0.2">
      <c r="A1809" s="5">
        <v>1748</v>
      </c>
      <c r="B1809" s="138">
        <f>'Tax Sched 23'!E5</f>
        <v>801707</v>
      </c>
      <c r="D1809" s="2" t="str">
        <f t="shared" si="27"/>
        <v>Error?</v>
      </c>
    </row>
    <row r="1810" spans="1:4" x14ac:dyDescent="0.2">
      <c r="A1810" s="5">
        <v>1749</v>
      </c>
      <c r="B1810" s="138">
        <f>'Tax Sched 23'!E6</f>
        <v>1050563</v>
      </c>
      <c r="D1810" s="2" t="str">
        <f t="shared" si="27"/>
        <v>Error?</v>
      </c>
    </row>
    <row r="1811" spans="1:4" x14ac:dyDescent="0.2">
      <c r="A1811" s="5">
        <v>1750</v>
      </c>
      <c r="B1811" s="138">
        <f>'Tax Sched 23'!E7</f>
        <v>320683</v>
      </c>
      <c r="D1811" s="2" t="str">
        <f t="shared" si="27"/>
        <v>Error?</v>
      </c>
    </row>
    <row r="1812" spans="1:4" x14ac:dyDescent="0.2">
      <c r="A1812" s="5">
        <v>1751</v>
      </c>
      <c r="B1812" s="138">
        <f>'Tax Sched 23'!E8</f>
        <v>229386</v>
      </c>
      <c r="D1812" s="2" t="str">
        <f t="shared" si="27"/>
        <v>Error?</v>
      </c>
    </row>
    <row r="1813" spans="1:4" x14ac:dyDescent="0.2">
      <c r="A1813" s="5">
        <v>1752</v>
      </c>
      <c r="B1813" s="138">
        <f>'Tax Sched 23'!E10</f>
        <v>80170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500167</v>
      </c>
      <c r="D1816" s="2" t="str">
        <f t="shared" si="27"/>
        <v>Error?</v>
      </c>
    </row>
    <row r="1817" spans="1:4" x14ac:dyDescent="0.2">
      <c r="A1817" s="5">
        <v>1756</v>
      </c>
      <c r="B1817" s="138">
        <f>'Tax Sched 23'!E12</f>
        <v>80170</v>
      </c>
      <c r="D1817" s="2" t="str">
        <f t="shared" si="27"/>
        <v>Error?</v>
      </c>
    </row>
    <row r="1818" spans="1:4" x14ac:dyDescent="0.2">
      <c r="A1818" s="5">
        <v>1757</v>
      </c>
      <c r="B1818" s="138">
        <f>'Tax Sched 23'!E14</f>
        <v>64137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7703581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6143734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42314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42314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42314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322047</v>
      </c>
      <c r="D2008" s="2" t="str">
        <f t="shared" si="30"/>
        <v>Error?</v>
      </c>
    </row>
    <row r="2009" spans="1:4" x14ac:dyDescent="0.2">
      <c r="A2009" s="5">
        <v>1948</v>
      </c>
      <c r="B2009" s="138">
        <f>'Cap Outlay Deprec 26'!C8</f>
        <v>24862758</v>
      </c>
      <c r="D2009" s="2" t="str">
        <f t="shared" si="30"/>
        <v>Error?</v>
      </c>
    </row>
    <row r="2010" spans="1:4" x14ac:dyDescent="0.2">
      <c r="A2010" s="5">
        <v>1949</v>
      </c>
      <c r="B2010" s="138">
        <f>'Cap Outlay Deprec 26'!C10</f>
        <v>4461784</v>
      </c>
      <c r="D2010" s="2" t="str">
        <f t="shared" si="30"/>
        <v>Error?</v>
      </c>
    </row>
    <row r="2011" spans="1:4" x14ac:dyDescent="0.2">
      <c r="A2011" s="5">
        <v>1950</v>
      </c>
      <c r="B2011" s="138">
        <f>'Cap Outlay Deprec 26'!C12</f>
        <v>3195219</v>
      </c>
      <c r="D2011" s="2" t="str">
        <f t="shared" si="30"/>
        <v>Error?</v>
      </c>
    </row>
    <row r="2012" spans="1:4" x14ac:dyDescent="0.2">
      <c r="A2012" s="5">
        <v>1951</v>
      </c>
      <c r="B2012" s="138">
        <f>'Cap Outlay Deprec 26'!C13</f>
        <v>2171275</v>
      </c>
      <c r="D2012" s="2" t="str">
        <f t="shared" si="30"/>
        <v>Error?</v>
      </c>
    </row>
    <row r="2013" spans="1:4" x14ac:dyDescent="0.2">
      <c r="A2013" s="5">
        <v>1952</v>
      </c>
      <c r="B2013" s="138">
        <f>'Cap Outlay Deprec 26'!C16</f>
        <v>35035221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648349</v>
      </c>
      <c r="D2015" s="2" t="str">
        <f t="shared" si="30"/>
        <v>Error?</v>
      </c>
    </row>
    <row r="2016" spans="1:4" x14ac:dyDescent="0.2">
      <c r="A2016" s="5">
        <v>1955</v>
      </c>
      <c r="B2016" s="138">
        <f>'Cap Outlay Deprec 26'!D10</f>
        <v>33100</v>
      </c>
      <c r="D2016" s="2" t="str">
        <f t="shared" si="30"/>
        <v>Error?</v>
      </c>
    </row>
    <row r="2017" spans="1:4" x14ac:dyDescent="0.2">
      <c r="A2017" s="5">
        <v>1956</v>
      </c>
      <c r="B2017" s="138">
        <f>'Cap Outlay Deprec 26'!D12</f>
        <v>59392</v>
      </c>
      <c r="D2017" s="2" t="str">
        <f t="shared" si="30"/>
        <v>Error?</v>
      </c>
    </row>
    <row r="2018" spans="1:4" x14ac:dyDescent="0.2">
      <c r="A2018" s="5">
        <v>1957</v>
      </c>
      <c r="B2018" s="138">
        <f>'Cap Outlay Deprec 26'!D13</f>
        <v>328577</v>
      </c>
      <c r="D2018" s="2" t="str">
        <f t="shared" si="30"/>
        <v>Error?</v>
      </c>
    </row>
    <row r="2019" spans="1:4" x14ac:dyDescent="0.2">
      <c r="A2019" s="5">
        <v>1958</v>
      </c>
      <c r="B2019" s="138">
        <f>'Cap Outlay Deprec 26'!D16</f>
        <v>1422935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247025</v>
      </c>
      <c r="D2024" s="2" t="str">
        <f t="shared" si="30"/>
        <v>Error?</v>
      </c>
    </row>
    <row r="2025" spans="1:4" x14ac:dyDescent="0.2">
      <c r="A2025" s="5">
        <v>1964</v>
      </c>
      <c r="B2025" s="138">
        <f>'Cap Outlay Deprec 26'!E16</f>
        <v>545147</v>
      </c>
      <c r="C2025" s="2" t="s">
        <v>594</v>
      </c>
      <c r="D2025" s="2" t="str">
        <f t="shared" si="30"/>
        <v>Error?</v>
      </c>
    </row>
    <row r="2026" spans="1:4" x14ac:dyDescent="0.2">
      <c r="A2026" s="5">
        <v>1965</v>
      </c>
      <c r="B2026" s="138">
        <f>'Cap Outlay Deprec 26'!F5</f>
        <v>322047</v>
      </c>
      <c r="C2026" s="2" t="s">
        <v>594</v>
      </c>
      <c r="D2026" s="2" t="str">
        <f t="shared" si="30"/>
        <v>Error?</v>
      </c>
    </row>
    <row r="2027" spans="1:4" x14ac:dyDescent="0.2">
      <c r="A2027" s="5">
        <v>1966</v>
      </c>
      <c r="B2027" s="138">
        <f>'Cap Outlay Deprec 26'!F8</f>
        <v>25511107</v>
      </c>
      <c r="C2027" s="2" t="s">
        <v>594</v>
      </c>
      <c r="D2027" s="2" t="str">
        <f t="shared" si="30"/>
        <v>Error?</v>
      </c>
    </row>
    <row r="2028" spans="1:4" x14ac:dyDescent="0.2">
      <c r="A2028" s="5">
        <v>1967</v>
      </c>
      <c r="B2028" s="138">
        <f>'Cap Outlay Deprec 26'!F10</f>
        <v>4494884</v>
      </c>
      <c r="C2028" s="2" t="s">
        <v>594</v>
      </c>
      <c r="D2028" s="2" t="str">
        <f t="shared" si="30"/>
        <v>Error?</v>
      </c>
    </row>
    <row r="2029" spans="1:4" x14ac:dyDescent="0.2">
      <c r="A2029" s="5">
        <v>1968</v>
      </c>
      <c r="B2029" s="138">
        <f>'Cap Outlay Deprec 26'!F12</f>
        <v>3254611</v>
      </c>
      <c r="C2029" s="2" t="s">
        <v>594</v>
      </c>
      <c r="D2029" s="2" t="str">
        <f t="shared" si="30"/>
        <v>Error?</v>
      </c>
    </row>
    <row r="2030" spans="1:4" x14ac:dyDescent="0.2">
      <c r="A2030" s="5">
        <v>1969</v>
      </c>
      <c r="B2030" s="138">
        <f>'Cap Outlay Deprec 26'!F13</f>
        <v>2252827</v>
      </c>
      <c r="C2030" s="2" t="s">
        <v>594</v>
      </c>
      <c r="D2030" s="2" t="str">
        <f t="shared" si="30"/>
        <v>Error?</v>
      </c>
    </row>
    <row r="2031" spans="1:4" x14ac:dyDescent="0.2">
      <c r="A2031" s="5">
        <v>1970</v>
      </c>
      <c r="B2031" s="138">
        <f>'Cap Outlay Deprec 26'!F16</f>
        <v>35913009</v>
      </c>
      <c r="C2031" s="2" t="s">
        <v>594</v>
      </c>
      <c r="D2031" s="2" t="str">
        <f t="shared" si="30"/>
        <v>Error?</v>
      </c>
    </row>
    <row r="2032" spans="1:4" x14ac:dyDescent="0.2">
      <c r="A2032" s="10">
        <v>1971</v>
      </c>
      <c r="D2032" s="2" t="str">
        <f t="shared" si="30"/>
        <v>OK</v>
      </c>
    </row>
    <row r="2033" spans="1:4" x14ac:dyDescent="0.2">
      <c r="A2033" s="5">
        <v>1972</v>
      </c>
      <c r="B2033" s="138">
        <f>'Cap Outlay Deprec 26'!H8</f>
        <v>11047115</v>
      </c>
      <c r="D2033" s="2" t="str">
        <f t="shared" si="30"/>
        <v>Error?</v>
      </c>
    </row>
    <row r="2034" spans="1:4" x14ac:dyDescent="0.2">
      <c r="A2034" s="5">
        <v>1973</v>
      </c>
      <c r="B2034" s="138">
        <f>'Cap Outlay Deprec 26'!H10</f>
        <v>2239261</v>
      </c>
      <c r="D2034" s="2" t="str">
        <f t="shared" si="30"/>
        <v>Error?</v>
      </c>
    </row>
    <row r="2035" spans="1:4" x14ac:dyDescent="0.2">
      <c r="A2035" s="5">
        <v>1974</v>
      </c>
      <c r="B2035" s="138">
        <f>'Cap Outlay Deprec 26'!H12</f>
        <v>2840442</v>
      </c>
      <c r="D2035" s="2" t="str">
        <f t="shared" si="30"/>
        <v>Error?</v>
      </c>
    </row>
    <row r="2036" spans="1:4" x14ac:dyDescent="0.2">
      <c r="A2036" s="5">
        <v>1975</v>
      </c>
      <c r="B2036" s="138">
        <f>'Cap Outlay Deprec 26'!H13</f>
        <v>1762997</v>
      </c>
      <c r="D2036" s="2" t="str">
        <f t="shared" si="30"/>
        <v>Error?</v>
      </c>
    </row>
    <row r="2037" spans="1:4" x14ac:dyDescent="0.2">
      <c r="A2037" s="5">
        <v>1976</v>
      </c>
      <c r="B2037" s="138">
        <f>'Cap Outlay Deprec 26'!H16</f>
        <v>17889815</v>
      </c>
      <c r="C2037" s="2" t="s">
        <v>594</v>
      </c>
      <c r="D2037" s="2" t="str">
        <f t="shared" si="30"/>
        <v>Error?</v>
      </c>
    </row>
    <row r="2038" spans="1:4" x14ac:dyDescent="0.2">
      <c r="A2038" s="10">
        <v>1977</v>
      </c>
      <c r="D2038" s="2" t="str">
        <f t="shared" si="30"/>
        <v>OK</v>
      </c>
    </row>
    <row r="2039" spans="1:4" x14ac:dyDescent="0.2">
      <c r="A2039" s="5">
        <v>1978</v>
      </c>
      <c r="B2039" s="138">
        <f>'Cap Outlay Deprec 26'!I8</f>
        <v>657793</v>
      </c>
      <c r="D2039" s="2" t="str">
        <f t="shared" si="30"/>
        <v>Error?</v>
      </c>
    </row>
    <row r="2040" spans="1:4" x14ac:dyDescent="0.2">
      <c r="A2040" s="5">
        <v>1979</v>
      </c>
      <c r="B2040" s="138">
        <f>'Cap Outlay Deprec 26'!I10</f>
        <v>230789</v>
      </c>
      <c r="D2040" s="2" t="str">
        <f t="shared" si="30"/>
        <v>Error?</v>
      </c>
    </row>
    <row r="2041" spans="1:4" x14ac:dyDescent="0.2">
      <c r="A2041" s="5">
        <v>1980</v>
      </c>
      <c r="B2041" s="138">
        <f>'Cap Outlay Deprec 26'!I12</f>
        <v>77887</v>
      </c>
      <c r="D2041" s="2" t="str">
        <f t="shared" si="30"/>
        <v>Error?</v>
      </c>
    </row>
    <row r="2042" spans="1:4" x14ac:dyDescent="0.2">
      <c r="A2042" s="5">
        <v>1981</v>
      </c>
      <c r="B2042" s="138">
        <f>'Cap Outlay Deprec 26'!I13</f>
        <v>183010</v>
      </c>
      <c r="D2042" s="2" t="str">
        <f t="shared" si="30"/>
        <v>Error?</v>
      </c>
    </row>
    <row r="2043" spans="1:4" x14ac:dyDescent="0.2">
      <c r="A2043" s="5">
        <v>1982</v>
      </c>
      <c r="B2043" s="138">
        <f>'Cap Outlay Deprec 26'!I16</f>
        <v>1149479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223431</v>
      </c>
      <c r="D2048" s="2" t="str">
        <f t="shared" si="31"/>
        <v>Error?</v>
      </c>
    </row>
    <row r="2049" spans="1:4" x14ac:dyDescent="0.2">
      <c r="A2049" s="5">
        <v>1988</v>
      </c>
      <c r="B2049" s="138">
        <f>'Cap Outlay Deprec 26'!J16</f>
        <v>223431</v>
      </c>
      <c r="C2049" s="2" t="s">
        <v>594</v>
      </c>
      <c r="D2049" s="2" t="str">
        <f t="shared" si="31"/>
        <v>Error?</v>
      </c>
    </row>
    <row r="2050" spans="1:4" x14ac:dyDescent="0.2">
      <c r="A2050" s="10">
        <v>1989</v>
      </c>
      <c r="D2050" s="2" t="str">
        <f t="shared" si="31"/>
        <v>OK</v>
      </c>
    </row>
    <row r="2051" spans="1:4" x14ac:dyDescent="0.2">
      <c r="A2051" s="5">
        <v>1990</v>
      </c>
      <c r="B2051" s="138">
        <f>'Cap Outlay Deprec 26'!K8</f>
        <v>11704908</v>
      </c>
      <c r="C2051" s="2" t="s">
        <v>594</v>
      </c>
      <c r="D2051" s="2" t="str">
        <f t="shared" si="31"/>
        <v>Error?</v>
      </c>
    </row>
    <row r="2052" spans="1:4" x14ac:dyDescent="0.2">
      <c r="A2052" s="5">
        <v>1991</v>
      </c>
      <c r="B2052" s="138">
        <f>'Cap Outlay Deprec 26'!K10</f>
        <v>2470050</v>
      </c>
      <c r="C2052" s="2" t="s">
        <v>594</v>
      </c>
      <c r="D2052" s="2" t="str">
        <f t="shared" si="31"/>
        <v>Error?</v>
      </c>
    </row>
    <row r="2053" spans="1:4" x14ac:dyDescent="0.2">
      <c r="A2053" s="5">
        <v>1992</v>
      </c>
      <c r="B2053" s="138">
        <f>'Cap Outlay Deprec 26'!K12</f>
        <v>2918329</v>
      </c>
      <c r="C2053" s="2" t="s">
        <v>594</v>
      </c>
      <c r="D2053" s="2" t="str">
        <f t="shared" si="31"/>
        <v>Error?</v>
      </c>
    </row>
    <row r="2054" spans="1:4" x14ac:dyDescent="0.2">
      <c r="A2054" s="5">
        <v>1993</v>
      </c>
      <c r="B2054" s="138">
        <f>'Cap Outlay Deprec 26'!K13</f>
        <v>1722576</v>
      </c>
      <c r="C2054" s="2" t="s">
        <v>594</v>
      </c>
      <c r="D2054" s="2" t="str">
        <f t="shared" si="31"/>
        <v>Error?</v>
      </c>
    </row>
    <row r="2055" spans="1:4" x14ac:dyDescent="0.2">
      <c r="A2055" s="5">
        <v>1994</v>
      </c>
      <c r="B2055" s="138">
        <f>'Cap Outlay Deprec 26'!K16</f>
        <v>18815863</v>
      </c>
      <c r="C2055" s="2" t="s">
        <v>594</v>
      </c>
      <c r="D2055" s="2" t="str">
        <f t="shared" si="31"/>
        <v>Error?</v>
      </c>
    </row>
    <row r="2056" spans="1:4" x14ac:dyDescent="0.2">
      <c r="A2056" s="5">
        <v>1995</v>
      </c>
      <c r="B2056" s="138">
        <f>'Cap Outlay Deprec 26'!L5</f>
        <v>322047</v>
      </c>
      <c r="C2056" s="2" t="s">
        <v>594</v>
      </c>
      <c r="D2056" s="2" t="str">
        <f t="shared" si="31"/>
        <v>Error?</v>
      </c>
    </row>
    <row r="2057" spans="1:4" x14ac:dyDescent="0.2">
      <c r="A2057" s="5">
        <v>1996</v>
      </c>
      <c r="B2057" s="138">
        <f>'Cap Outlay Deprec 26'!L8</f>
        <v>13806199</v>
      </c>
      <c r="C2057" s="2" t="s">
        <v>594</v>
      </c>
      <c r="D2057" s="2" t="str">
        <f t="shared" si="31"/>
        <v>Error?</v>
      </c>
    </row>
    <row r="2058" spans="1:4" x14ac:dyDescent="0.2">
      <c r="A2058" s="5">
        <v>1997</v>
      </c>
      <c r="B2058" s="138">
        <f>'Cap Outlay Deprec 26'!L10</f>
        <v>2024834</v>
      </c>
      <c r="C2058" s="2" t="s">
        <v>594</v>
      </c>
      <c r="D2058" s="2" t="str">
        <f t="shared" si="31"/>
        <v>Error?</v>
      </c>
    </row>
    <row r="2059" spans="1:4" x14ac:dyDescent="0.2">
      <c r="A2059" s="5">
        <v>1998</v>
      </c>
      <c r="B2059" s="138">
        <f>'Cap Outlay Deprec 26'!L12</f>
        <v>336282</v>
      </c>
      <c r="C2059" s="2" t="s">
        <v>594</v>
      </c>
      <c r="D2059" s="2" t="str">
        <f t="shared" si="31"/>
        <v>Error?</v>
      </c>
    </row>
    <row r="2060" spans="1:4" x14ac:dyDescent="0.2">
      <c r="A2060" s="5">
        <v>1999</v>
      </c>
      <c r="B2060" s="138">
        <f>'Cap Outlay Deprec 26'!L13</f>
        <v>530251</v>
      </c>
      <c r="C2060" s="2" t="s">
        <v>594</v>
      </c>
      <c r="D2060" s="2" t="str">
        <f t="shared" si="31"/>
        <v>Error?</v>
      </c>
    </row>
    <row r="2061" spans="1:4" x14ac:dyDescent="0.2">
      <c r="A2061" s="5">
        <v>2000</v>
      </c>
      <c r="B2061" s="138">
        <f>'Cap Outlay Deprec 26'!L16</f>
        <v>17097146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212767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212767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2324</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2324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1439507</v>
      </c>
      <c r="D2475" s="2" t="str">
        <f t="shared" si="37"/>
        <v>Error?</v>
      </c>
    </row>
    <row r="2476" spans="1:4" x14ac:dyDescent="0.2">
      <c r="A2476" s="10">
        <v>2415</v>
      </c>
      <c r="D2476" s="2" t="str">
        <f t="shared" si="37"/>
        <v>OK</v>
      </c>
    </row>
    <row r="2477" spans="1:4" x14ac:dyDescent="0.2">
      <c r="A2477" s="5">
        <v>2416</v>
      </c>
      <c r="B2477" s="138">
        <f>'Assets-Liab 5-6'!G38</f>
        <v>442128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134830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517252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3567123</v>
      </c>
      <c r="C2551" s="2" t="s">
        <v>594</v>
      </c>
      <c r="D2551" s="2" t="str">
        <f t="shared" si="38"/>
        <v>Error?</v>
      </c>
    </row>
    <row r="2552" spans="1:4" x14ac:dyDescent="0.2">
      <c r="A2552" s="10">
        <v>2491</v>
      </c>
      <c r="D2552" s="2" t="str">
        <f t="shared" si="38"/>
        <v>OK</v>
      </c>
    </row>
    <row r="2553" spans="1:4" x14ac:dyDescent="0.2">
      <c r="A2553" s="5">
        <v>2492</v>
      </c>
      <c r="B2553" s="138">
        <f>'Acct Summary 7-8'!C6</f>
        <v>5688180</v>
      </c>
      <c r="C2553" s="2" t="s">
        <v>594</v>
      </c>
      <c r="D2553" s="2" t="str">
        <f t="shared" si="38"/>
        <v>Error?</v>
      </c>
    </row>
    <row r="2554" spans="1:4" x14ac:dyDescent="0.2">
      <c r="A2554" s="5">
        <v>2493</v>
      </c>
      <c r="B2554" s="138">
        <f>'Acct Summary 7-8'!C7</f>
        <v>765563</v>
      </c>
      <c r="C2554" s="2" t="s">
        <v>594</v>
      </c>
      <c r="D2554" s="2" t="str">
        <f t="shared" si="38"/>
        <v>Error?</v>
      </c>
    </row>
    <row r="2555" spans="1:4" x14ac:dyDescent="0.2">
      <c r="A2555" s="5">
        <v>2494</v>
      </c>
      <c r="B2555" s="138">
        <f>'Acct Summary 7-8'!C8</f>
        <v>10020866</v>
      </c>
      <c r="C2555" s="2" t="s">
        <v>594</v>
      </c>
      <c r="D2555" s="2" t="str">
        <f t="shared" si="38"/>
        <v>Error?</v>
      </c>
    </row>
    <row r="2556" spans="1:4" x14ac:dyDescent="0.2">
      <c r="A2556" s="5">
        <v>2495</v>
      </c>
      <c r="B2556" s="138">
        <f>'Acct Summary 7-8'!C12</f>
        <v>7859939</v>
      </c>
      <c r="C2556" s="2" t="s">
        <v>594</v>
      </c>
      <c r="D2556" s="2" t="str">
        <f t="shared" si="38"/>
        <v>Error?</v>
      </c>
    </row>
    <row r="2557" spans="1:4" x14ac:dyDescent="0.2">
      <c r="A2557" s="5">
        <v>2496</v>
      </c>
      <c r="B2557" s="138">
        <f>'Acct Summary 7-8'!C13</f>
        <v>2979756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212767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11052462</v>
      </c>
      <c r="C2561" s="2" t="s">
        <v>594</v>
      </c>
      <c r="D2561" s="2" t="str">
        <f t="shared" si="39"/>
        <v>Error?</v>
      </c>
    </row>
    <row r="2562" spans="1:4" x14ac:dyDescent="0.2">
      <c r="A2562" s="5">
        <v>2501</v>
      </c>
      <c r="B2562" s="138">
        <f>'Acct Summary 7-8'!C20</f>
        <v>-1031596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690699</v>
      </c>
      <c r="C2564" s="2" t="s">
        <v>594</v>
      </c>
      <c r="D2564" s="2" t="str">
        <f t="shared" si="39"/>
        <v>Error?</v>
      </c>
    </row>
    <row r="2565" spans="1:4" x14ac:dyDescent="0.2">
      <c r="A2565" s="10">
        <v>2504</v>
      </c>
      <c r="D2565" s="2" t="str">
        <f t="shared" si="39"/>
        <v>OK</v>
      </c>
    </row>
    <row r="2566" spans="1:4" x14ac:dyDescent="0.2">
      <c r="A2566" s="5">
        <v>2505</v>
      </c>
      <c r="B2566" s="138">
        <f>'Acct Summary 7-8'!D6</f>
        <v>100000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790699</v>
      </c>
      <c r="C2568" s="2" t="s">
        <v>594</v>
      </c>
      <c r="D2568" s="2" t="str">
        <f t="shared" si="39"/>
        <v>Error?</v>
      </c>
    </row>
    <row r="2569" spans="1:4" x14ac:dyDescent="0.2">
      <c r="A2569" s="5">
        <v>2508</v>
      </c>
      <c r="B2569" s="138">
        <f>'Acct Summary 7-8'!D13</f>
        <v>1133171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2324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1135495</v>
      </c>
      <c r="C2573" s="2" t="s">
        <v>594</v>
      </c>
      <c r="D2573" s="2" t="str">
        <f t="shared" si="39"/>
        <v>Error?</v>
      </c>
    </row>
    <row r="2574" spans="1:4" x14ac:dyDescent="0.2">
      <c r="A2574" s="5">
        <v>2513</v>
      </c>
      <c r="B2574" s="138">
        <f>'Acct Summary 7-8'!D20</f>
        <v>-344796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218517</v>
      </c>
      <c r="C2591" s="2" t="s">
        <v>594</v>
      </c>
      <c r="D2591" s="2" t="str">
        <f t="shared" si="39"/>
        <v>Error?</v>
      </c>
    </row>
    <row r="2592" spans="1:4" x14ac:dyDescent="0.2">
      <c r="A2592" s="10">
        <v>2531</v>
      </c>
      <c r="D2592" s="2" t="str">
        <f t="shared" si="39"/>
        <v>OK</v>
      </c>
    </row>
    <row r="2593" spans="1:4" x14ac:dyDescent="0.2">
      <c r="A2593" s="5">
        <v>2532</v>
      </c>
      <c r="B2593" s="138">
        <f>'Acct Summary 7-8'!F6</f>
        <v>696815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915332</v>
      </c>
      <c r="C2595" s="2" t="s">
        <v>594</v>
      </c>
      <c r="D2595" s="2" t="str">
        <f t="shared" si="39"/>
        <v>Error?</v>
      </c>
    </row>
    <row r="2596" spans="1:4" x14ac:dyDescent="0.2">
      <c r="A2596" s="5">
        <v>2535</v>
      </c>
      <c r="B2596" s="138">
        <f>'Acct Summary 7-8'!F13</f>
        <v>881365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881365</v>
      </c>
      <c r="C2600" s="2" t="s">
        <v>594</v>
      </c>
      <c r="D2600" s="2" t="str">
        <f t="shared" si="39"/>
        <v>Error?</v>
      </c>
    </row>
    <row r="2601" spans="1:4" x14ac:dyDescent="0.2">
      <c r="A2601" s="5">
        <v>2540</v>
      </c>
      <c r="B2601" s="138">
        <f>'Acct Summary 7-8'!F20</f>
        <v>33967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395904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395904</v>
      </c>
      <c r="C2606" s="2" t="s">
        <v>594</v>
      </c>
      <c r="D2606" s="2" t="str">
        <f t="shared" si="39"/>
        <v>Error?</v>
      </c>
    </row>
    <row r="2607" spans="1:4" x14ac:dyDescent="0.2">
      <c r="A2607" s="5">
        <v>2546</v>
      </c>
      <c r="B2607" s="138">
        <f>'Acct Summary 7-8'!G12</f>
        <v>173270</v>
      </c>
      <c r="C2607" s="2" t="s">
        <v>594</v>
      </c>
      <c r="D2607" s="2" t="str">
        <f t="shared" si="39"/>
        <v>Error?</v>
      </c>
    </row>
    <row r="2608" spans="1:4" x14ac:dyDescent="0.2">
      <c r="A2608" s="5">
        <v>2547</v>
      </c>
      <c r="B2608" s="138">
        <f>'Acct Summary 7-8'!G13</f>
        <v>310485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483755</v>
      </c>
      <c r="C2612" s="2" t="s">
        <v>594</v>
      </c>
      <c r="D2612" s="2" t="str">
        <f t="shared" si="39"/>
        <v>Error?</v>
      </c>
    </row>
    <row r="2613" spans="1:4" x14ac:dyDescent="0.2">
      <c r="A2613" s="5">
        <v>2552</v>
      </c>
      <c r="B2613" s="138">
        <f>'Acct Summary 7-8'!G20</f>
        <v>-87851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714535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714535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1050960</v>
      </c>
      <c r="C2634" s="2" t="s">
        <v>594</v>
      </c>
      <c r="D2634" s="2" t="str">
        <f t="shared" si="40"/>
        <v>Error?</v>
      </c>
    </row>
    <row r="2635" spans="1:4" x14ac:dyDescent="0.2">
      <c r="A2635" s="5">
        <v>2574</v>
      </c>
      <c r="B2635" s="138">
        <f>'Acct Summary 7-8'!E17</f>
        <v>1050960</v>
      </c>
      <c r="C2635" s="2" t="s">
        <v>594</v>
      </c>
      <c r="D2635" s="2" t="str">
        <f t="shared" si="40"/>
        <v>Error?</v>
      </c>
    </row>
    <row r="2636" spans="1:4" x14ac:dyDescent="0.2">
      <c r="A2636" s="5">
        <v>2575</v>
      </c>
      <c r="B2636" s="138">
        <f>'Acct Summary 7-8'!E20</f>
        <v>-336425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422076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422076</v>
      </c>
      <c r="C2658" s="2" t="s">
        <v>594</v>
      </c>
      <c r="D2658" s="2" t="str">
        <f t="shared" si="40"/>
        <v>Error?</v>
      </c>
    </row>
    <row r="2659" spans="1:4" x14ac:dyDescent="0.2">
      <c r="A2659" s="5">
        <v>2598</v>
      </c>
      <c r="B2659" s="138">
        <f>'Acct Summary 7-8'!H13</f>
        <v>145490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145490</v>
      </c>
      <c r="C2661" s="2" t="s">
        <v>594</v>
      </c>
      <c r="D2661" s="2" t="str">
        <f t="shared" si="40"/>
        <v>Error?</v>
      </c>
    </row>
    <row r="2662" spans="1:4" x14ac:dyDescent="0.2">
      <c r="A2662" s="5">
        <v>2601</v>
      </c>
      <c r="B2662" s="138">
        <f>'Acct Summary 7-8'!H20</f>
        <v>276586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77533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187926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425960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205628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425960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425960</v>
      </c>
      <c r="C2913" s="2" t="s">
        <v>594</v>
      </c>
      <c r="D2913" s="2" t="str">
        <f t="shared" si="44"/>
        <v>Error?</v>
      </c>
    </row>
    <row r="2914" spans="1:4" x14ac:dyDescent="0.2">
      <c r="A2914" s="5">
        <v>2853</v>
      </c>
      <c r="B2914" s="138">
        <f>'Assets-Liab 5-6'!L33</f>
        <v>205628</v>
      </c>
      <c r="D2914" s="2" t="str">
        <f t="shared" si="44"/>
        <v>Error?</v>
      </c>
    </row>
    <row r="2915" spans="1:4" x14ac:dyDescent="0.2">
      <c r="A2915" s="10">
        <v>2854</v>
      </c>
      <c r="D2915" s="2" t="str">
        <f t="shared" si="44"/>
        <v>OK</v>
      </c>
    </row>
    <row r="2916" spans="1:4" x14ac:dyDescent="0.2">
      <c r="A2916" s="5">
        <v>2855</v>
      </c>
      <c r="B2916" s="138">
        <f>'Assets-Liab 5-6'!L34</f>
        <v>205628</v>
      </c>
      <c r="C2916" s="2" t="s">
        <v>594</v>
      </c>
      <c r="D2916" s="2" t="str">
        <f t="shared" si="44"/>
        <v>Error?</v>
      </c>
    </row>
    <row r="2917" spans="1:4" x14ac:dyDescent="0.2">
      <c r="A2917" s="5">
        <v>2856</v>
      </c>
      <c r="B2917" s="138">
        <f>'Assets-Liab 5-6'!L41</f>
        <v>205628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7706</v>
      </c>
      <c r="D2955" s="2" t="str">
        <f t="shared" si="45"/>
        <v>Error?</v>
      </c>
    </row>
    <row r="2956" spans="1:4" x14ac:dyDescent="0.2">
      <c r="A2956" s="5">
        <v>2895</v>
      </c>
      <c r="B2956" s="138">
        <f>'Expenditures 15-22'!H79</f>
        <v>180086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24975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7706</v>
      </c>
      <c r="C2973" s="2" t="s">
        <v>594</v>
      </c>
      <c r="D2973" s="2" t="str">
        <f t="shared" si="45"/>
        <v>Error?</v>
      </c>
    </row>
    <row r="2974" spans="1:4" x14ac:dyDescent="0.2">
      <c r="A2974" s="5">
        <v>2913</v>
      </c>
      <c r="B2974" s="138">
        <f>'Expenditures 15-22'!K79</f>
        <v>180086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24975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2324</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2324</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155017</v>
      </c>
      <c r="D3055" s="2" t="str">
        <f t="shared" si="46"/>
        <v>Error?</v>
      </c>
    </row>
    <row r="3056" spans="1:4" x14ac:dyDescent="0.2">
      <c r="A3056" s="5">
        <v>2995</v>
      </c>
      <c r="B3056" s="138">
        <f>'Expenditures 15-22'!D10</f>
        <v>36526</v>
      </c>
      <c r="D3056" s="2" t="str">
        <f t="shared" si="46"/>
        <v>Error?</v>
      </c>
    </row>
    <row r="3057" spans="1:4" x14ac:dyDescent="0.2">
      <c r="A3057" s="5">
        <v>2996</v>
      </c>
      <c r="B3057" s="138">
        <f>'Expenditures 15-22'!E10</f>
        <v>452</v>
      </c>
      <c r="D3057" s="2" t="str">
        <f t="shared" si="46"/>
        <v>Error?</v>
      </c>
    </row>
    <row r="3058" spans="1:4" x14ac:dyDescent="0.2">
      <c r="A3058" s="5">
        <v>2997</v>
      </c>
      <c r="B3058" s="138">
        <f>'Expenditures 15-22'!F10</f>
        <v>20979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212974</v>
      </c>
      <c r="C3062" s="2" t="s">
        <v>594</v>
      </c>
      <c r="D3062" s="2" t="str">
        <f t="shared" si="46"/>
        <v>Error?</v>
      </c>
    </row>
    <row r="3063" spans="1:4" x14ac:dyDescent="0.2">
      <c r="A3063" s="10">
        <v>3002</v>
      </c>
      <c r="D3063" s="2" t="str">
        <f t="shared" si="46"/>
        <v>OK</v>
      </c>
    </row>
    <row r="3064" spans="1:4" x14ac:dyDescent="0.2">
      <c r="A3064" s="5">
        <v>3003</v>
      </c>
      <c r="B3064" s="138">
        <f>'Expenditures 15-22'!D219</f>
        <v>2265</v>
      </c>
      <c r="D3064" s="2" t="str">
        <f t="shared" si="46"/>
        <v>Error?</v>
      </c>
    </row>
    <row r="3065" spans="1:4" x14ac:dyDescent="0.2">
      <c r="A3065" s="5">
        <v>3004</v>
      </c>
      <c r="B3065" s="138">
        <f>'Expenditures 15-22'!K219</f>
        <v>2265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53592</v>
      </c>
      <c r="C3225" s="2" t="s">
        <v>594</v>
      </c>
      <c r="D3225" s="2" t="str">
        <f t="shared" si="49"/>
        <v>Error?</v>
      </c>
    </row>
    <row r="3226" spans="1:4" x14ac:dyDescent="0.2">
      <c r="A3226" s="5">
        <v>3165</v>
      </c>
      <c r="B3226" s="138">
        <f>'Acct Summary 7-8'!I8</f>
        <v>53592</v>
      </c>
      <c r="C3226" s="2" t="s">
        <v>594</v>
      </c>
      <c r="D3226" s="2" t="str">
        <f t="shared" si="49"/>
        <v>Error?</v>
      </c>
    </row>
    <row r="3227" spans="1:4" x14ac:dyDescent="0.2">
      <c r="A3227" s="5">
        <v>3166</v>
      </c>
      <c r="B3227" s="138">
        <f>'Acct Summary 7-8'!I20</f>
        <v>53592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-1031596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-344796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33967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-87851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-336425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276586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53592</v>
      </c>
      <c r="C3320" s="2" t="s">
        <v>594</v>
      </c>
      <c r="D3320" s="2" t="str">
        <f t="shared" si="50"/>
        <v>Error?</v>
      </c>
    </row>
    <row r="3321" spans="1:4" x14ac:dyDescent="0.2">
      <c r="A3321" s="5">
        <v>3260</v>
      </c>
      <c r="B3321" s="138">
        <f>'Acct Summary 7-8'!I79</f>
        <v>372368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425960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751728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83753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60051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902596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107763</v>
      </c>
      <c r="D3387" s="2" t="str">
        <f t="shared" si="51"/>
        <v>Error?</v>
      </c>
    </row>
    <row r="3388" spans="1:4" x14ac:dyDescent="0.2">
      <c r="A3388" s="5">
        <v>3327</v>
      </c>
      <c r="B3388" s="138">
        <f>'Expenditures 15-22'!D217</f>
        <v>38108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107763</v>
      </c>
      <c r="C3390" s="2" t="s">
        <v>594</v>
      </c>
      <c r="D3390" s="2" t="str">
        <f t="shared" si="51"/>
        <v>Error?</v>
      </c>
    </row>
    <row r="3391" spans="1:4" x14ac:dyDescent="0.2">
      <c r="A3391" s="5">
        <v>3330</v>
      </c>
      <c r="B3391" s="138">
        <f>'Expenditures 15-22'!K217</f>
        <v>38108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2433208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367834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134045</v>
      </c>
      <c r="D3417" s="2" t="str">
        <f t="shared" si="52"/>
        <v>Error?</v>
      </c>
    </row>
    <row r="3418" spans="1:4" x14ac:dyDescent="0.2">
      <c r="A3418" s="10">
        <v>3357</v>
      </c>
      <c r="D3418" s="2" t="str">
        <f t="shared" si="52"/>
        <v>OK</v>
      </c>
    </row>
    <row r="3419" spans="1:4" x14ac:dyDescent="0.2">
      <c r="A3419" s="5">
        <v>3358</v>
      </c>
      <c r="B3419" s="138">
        <f>'Assets-Liab 5-6'!F4</f>
        <v>723010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442128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517252</v>
      </c>
      <c r="D3425" s="2" t="str">
        <f t="shared" si="52"/>
        <v>Error?</v>
      </c>
    </row>
    <row r="3426" spans="1:4" x14ac:dyDescent="0.2">
      <c r="A3426" s="10">
        <v>3365</v>
      </c>
      <c r="D3426" s="2" t="str">
        <f t="shared" si="52"/>
        <v>OK</v>
      </c>
    </row>
    <row r="3427" spans="1:4" x14ac:dyDescent="0.2">
      <c r="A3427" s="5">
        <v>3366</v>
      </c>
      <c r="B3427" s="138">
        <f>'Assets-Liab 5-6'!I4</f>
        <v>238034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205628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226573</v>
      </c>
      <c r="C3446" s="2" t="s">
        <v>594</v>
      </c>
      <c r="D3446" s="2" t="str">
        <f t="shared" si="52"/>
        <v>Error?</v>
      </c>
    </row>
    <row r="3447" spans="1:4" x14ac:dyDescent="0.2">
      <c r="A3447" s="5">
        <v>3386</v>
      </c>
      <c r="B3447" s="138">
        <f>'Tax Sched 23'!D16</f>
        <v>187717</v>
      </c>
      <c r="C3447" s="2" t="s">
        <v>594</v>
      </c>
      <c r="D3447" s="2" t="str">
        <f t="shared" si="52"/>
        <v>Error?</v>
      </c>
    </row>
    <row r="3448" spans="1:4" x14ac:dyDescent="0.2">
      <c r="A3448" s="5">
        <v>3387</v>
      </c>
      <c r="B3448" s="138">
        <f>'Tax Sched 23'!C16</f>
        <v>38856</v>
      </c>
      <c r="D3448" s="2" t="str">
        <f t="shared" si="52"/>
        <v>Error?</v>
      </c>
    </row>
    <row r="3449" spans="1:4" x14ac:dyDescent="0.2">
      <c r="A3449" s="5">
        <v>3388</v>
      </c>
      <c r="B3449" s="138">
        <f>'Tax Sched 23'!F16</f>
        <v>305223</v>
      </c>
      <c r="C3449" s="2" t="s">
        <v>594</v>
      </c>
      <c r="D3449" s="2" t="str">
        <f t="shared" si="52"/>
        <v>Error?</v>
      </c>
    </row>
    <row r="3450" spans="1:4" x14ac:dyDescent="0.2">
      <c r="A3450" s="5">
        <v>3389</v>
      </c>
      <c r="B3450" s="138">
        <f>'Tax Sched 23'!E16</f>
        <v>344079</v>
      </c>
      <c r="D3450" s="2" t="str">
        <f t="shared" si="52"/>
        <v>Error?</v>
      </c>
    </row>
    <row r="3451" spans="1:4" x14ac:dyDescent="0.2">
      <c r="A3451" s="5">
        <v>3390</v>
      </c>
      <c r="B3451" s="138">
        <f>'Cap Outlay Deprec 26'!C15</f>
        <v>22138</v>
      </c>
      <c r="D3451" s="2" t="str">
        <f t="shared" si="52"/>
        <v>Error?</v>
      </c>
    </row>
    <row r="3452" spans="1:4" x14ac:dyDescent="0.2">
      <c r="A3452" s="5">
        <v>3391</v>
      </c>
      <c r="B3452" s="138">
        <f>'Cap Outlay Deprec 26'!D15</f>
        <v>353517</v>
      </c>
      <c r="D3452" s="2" t="str">
        <f t="shared" si="52"/>
        <v>Error?</v>
      </c>
    </row>
    <row r="3453" spans="1:4" x14ac:dyDescent="0.2">
      <c r="A3453" s="5">
        <v>3392</v>
      </c>
      <c r="B3453" s="138">
        <f>'Cap Outlay Deprec 26'!E15</f>
        <v>298122</v>
      </c>
      <c r="D3453" s="2" t="str">
        <f t="shared" si="52"/>
        <v>Error?</v>
      </c>
    </row>
    <row r="3454" spans="1:4" x14ac:dyDescent="0.2">
      <c r="A3454" s="5">
        <v>3393</v>
      </c>
      <c r="B3454" s="138">
        <f>'Cap Outlay Deprec 26'!F15</f>
        <v>77533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77533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643210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643294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643294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643294</v>
      </c>
      <c r="C3568" s="2" t="s">
        <v>594</v>
      </c>
      <c r="D3568" s="2" t="str">
        <f t="shared" si="54"/>
        <v>Error?</v>
      </c>
    </row>
    <row r="3569" spans="1:4" x14ac:dyDescent="0.2">
      <c r="A3569" s="5">
        <v>3508</v>
      </c>
      <c r="B3569" s="138">
        <f>'Acct Summary 7-8'!K4</f>
        <v>56499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56499</v>
      </c>
      <c r="C3571" s="2" t="s">
        <v>594</v>
      </c>
      <c r="D3571" s="2" t="str">
        <f t="shared" si="54"/>
        <v>Error?</v>
      </c>
    </row>
    <row r="3572" spans="1:4" x14ac:dyDescent="0.2">
      <c r="A3572" s="5">
        <v>3511</v>
      </c>
      <c r="B3572" s="138">
        <f>'Acct Summary 7-8'!K13</f>
        <v>592399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592399</v>
      </c>
      <c r="C3575" s="2" t="s">
        <v>594</v>
      </c>
      <c r="D3575" s="2" t="str">
        <f t="shared" si="54"/>
        <v>Error?</v>
      </c>
    </row>
    <row r="3576" spans="1:4" x14ac:dyDescent="0.2">
      <c r="A3576" s="5">
        <v>3515</v>
      </c>
      <c r="B3576" s="138">
        <f>'Acct Summary 7-8'!K20</f>
        <v>-535900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-535900</v>
      </c>
      <c r="C3588" s="2" t="s">
        <v>594</v>
      </c>
      <c r="D3588" s="2" t="str">
        <f t="shared" si="55"/>
        <v>Error?</v>
      </c>
    </row>
    <row r="3589" spans="1:4" x14ac:dyDescent="0.2">
      <c r="A3589" s="5">
        <v>3528</v>
      </c>
      <c r="B3589" s="138">
        <f>'Acct Summary 7-8'!K79</f>
        <v>1179194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643294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592399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592399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592399</v>
      </c>
      <c r="C3649" s="2" t="s">
        <v>594</v>
      </c>
      <c r="D3649" s="2" t="str">
        <f t="shared" si="56"/>
        <v>Error?</v>
      </c>
    </row>
    <row r="3650" spans="1:4" x14ac:dyDescent="0.2">
      <c r="A3650" s="5">
        <v>3589</v>
      </c>
      <c r="B3650" s="138">
        <f>'Expenditures 15-22'!G367</f>
        <v>592399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592399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592399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592399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592399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-535900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52489</v>
      </c>
      <c r="C3725" s="2" t="s">
        <v>594</v>
      </c>
      <c r="D3725" s="2" t="str">
        <f t="shared" si="57"/>
        <v>Error?</v>
      </c>
    </row>
    <row r="3726" spans="1:4" x14ac:dyDescent="0.2">
      <c r="A3726" s="5">
        <v>3665</v>
      </c>
      <c r="B3726" s="138">
        <f>'Tax Sched 23'!D13</f>
        <v>43449</v>
      </c>
      <c r="C3726" s="2" t="s">
        <v>594</v>
      </c>
      <c r="D3726" s="2" t="str">
        <f t="shared" si="57"/>
        <v>Error?</v>
      </c>
    </row>
    <row r="3727" spans="1:4" x14ac:dyDescent="0.2">
      <c r="A3727" s="5">
        <v>3666</v>
      </c>
      <c r="B3727" s="138">
        <f>'Tax Sched 23'!C13</f>
        <v>9040</v>
      </c>
      <c r="D3727" s="2" t="str">
        <f t="shared" si="57"/>
        <v>Error?</v>
      </c>
    </row>
    <row r="3728" spans="1:4" x14ac:dyDescent="0.2">
      <c r="A3728" s="5">
        <v>3667</v>
      </c>
      <c r="B3728" s="138">
        <f>'Tax Sched 23'!F13</f>
        <v>71130</v>
      </c>
      <c r="C3728" s="2" t="s">
        <v>594</v>
      </c>
      <c r="D3728" s="2" t="str">
        <f t="shared" si="57"/>
        <v>Error?</v>
      </c>
    </row>
    <row r="3729" spans="1:4" x14ac:dyDescent="0.2">
      <c r="A3729" s="5">
        <v>3668</v>
      </c>
      <c r="B3729" s="138">
        <f>'Tax Sched 23'!E13</f>
        <v>80170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5030190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15051056</v>
      </c>
      <c r="C4122" s="2" t="s">
        <v>594</v>
      </c>
      <c r="D4122" s="2" t="str">
        <f t="shared" si="63"/>
        <v>Error?</v>
      </c>
    </row>
    <row r="4123" spans="1:4" x14ac:dyDescent="0.2">
      <c r="A4123" s="5">
        <v>4062</v>
      </c>
      <c r="B4123" s="138">
        <f>'Acct Summary 7-8'!D10</f>
        <v>790699</v>
      </c>
      <c r="C4123" s="2" t="s">
        <v>594</v>
      </c>
      <c r="D4123" s="2" t="str">
        <f t="shared" si="63"/>
        <v>Error?</v>
      </c>
    </row>
    <row r="4124" spans="1:4" x14ac:dyDescent="0.2">
      <c r="A4124" s="5">
        <v>4063</v>
      </c>
      <c r="B4124" s="138">
        <f>'Acct Summary 7-8'!E10</f>
        <v>714535</v>
      </c>
      <c r="C4124" s="2" t="s">
        <v>594</v>
      </c>
      <c r="D4124" s="2" t="str">
        <f t="shared" si="63"/>
        <v>Error?</v>
      </c>
    </row>
    <row r="4125" spans="1:4" x14ac:dyDescent="0.2">
      <c r="A4125" s="5">
        <v>4064</v>
      </c>
      <c r="B4125" s="138">
        <f>'Acct Summary 7-8'!F10</f>
        <v>915332</v>
      </c>
      <c r="C4125" s="2" t="s">
        <v>594</v>
      </c>
      <c r="D4125" s="2" t="str">
        <f t="shared" si="63"/>
        <v>Error?</v>
      </c>
    </row>
    <row r="4126" spans="1:4" x14ac:dyDescent="0.2">
      <c r="A4126" s="5">
        <v>4065</v>
      </c>
      <c r="B4126" s="138">
        <f>'Acct Summary 7-8'!G10</f>
        <v>395904</v>
      </c>
      <c r="C4126" s="2" t="s">
        <v>594</v>
      </c>
      <c r="D4126" s="2" t="str">
        <f t="shared" si="63"/>
        <v>Error?</v>
      </c>
    </row>
    <row r="4127" spans="1:4" x14ac:dyDescent="0.2">
      <c r="A4127" s="5">
        <v>4066</v>
      </c>
      <c r="B4127" s="138">
        <f>'Acct Summary 7-8'!H10</f>
        <v>422076</v>
      </c>
      <c r="C4127" s="2" t="s">
        <v>594</v>
      </c>
      <c r="D4127" s="2" t="str">
        <f t="shared" si="63"/>
        <v>Error?</v>
      </c>
    </row>
    <row r="4128" spans="1:4" x14ac:dyDescent="0.2">
      <c r="A4128" s="5">
        <v>4067</v>
      </c>
      <c r="B4128" s="138">
        <f>'Acct Summary 7-8'!I10</f>
        <v>53592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56499</v>
      </c>
      <c r="C4130" s="2" t="s">
        <v>594</v>
      </c>
      <c r="D4130" s="2" t="str">
        <f t="shared" si="63"/>
        <v>Error?</v>
      </c>
    </row>
    <row r="4131" spans="1:4" x14ac:dyDescent="0.2">
      <c r="A4131" s="5">
        <v>4070</v>
      </c>
      <c r="B4131" s="138">
        <f>'Acct Summary 7-8'!C18</f>
        <v>5030190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16082652</v>
      </c>
      <c r="C4136" s="2" t="s">
        <v>594</v>
      </c>
      <c r="D4136" s="2" t="str">
        <f t="shared" si="63"/>
        <v>Error?</v>
      </c>
    </row>
    <row r="4137" spans="1:4" x14ac:dyDescent="0.2">
      <c r="A4137" s="5">
        <v>4076</v>
      </c>
      <c r="B4137" s="138">
        <f>'Acct Summary 7-8'!D19</f>
        <v>1135495</v>
      </c>
      <c r="C4137" s="2" t="s">
        <v>594</v>
      </c>
      <c r="D4137" s="2" t="str">
        <f t="shared" si="63"/>
        <v>Error?</v>
      </c>
    </row>
    <row r="4138" spans="1:4" x14ac:dyDescent="0.2">
      <c r="A4138" s="5">
        <v>4077</v>
      </c>
      <c r="B4138" s="138">
        <f>'Acct Summary 7-8'!E19</f>
        <v>1050960</v>
      </c>
      <c r="C4138" s="2" t="s">
        <v>594</v>
      </c>
      <c r="D4138" s="2" t="str">
        <f t="shared" si="63"/>
        <v>Error?</v>
      </c>
    </row>
    <row r="4139" spans="1:4" x14ac:dyDescent="0.2">
      <c r="A4139" s="5">
        <v>4078</v>
      </c>
      <c r="B4139" s="138">
        <f>'Acct Summary 7-8'!F19</f>
        <v>881365</v>
      </c>
      <c r="C4139" s="2" t="s">
        <v>594</v>
      </c>
      <c r="D4139" s="2" t="str">
        <f t="shared" si="63"/>
        <v>Error?</v>
      </c>
    </row>
    <row r="4140" spans="1:4" x14ac:dyDescent="0.2">
      <c r="A4140" s="5">
        <v>4079</v>
      </c>
      <c r="B4140" s="138">
        <f>'Acct Summary 7-8'!G19</f>
        <v>483755</v>
      </c>
      <c r="C4140" s="2" t="s">
        <v>594</v>
      </c>
      <c r="D4140" s="2" t="str">
        <f t="shared" si="63"/>
        <v>Error?</v>
      </c>
    </row>
    <row r="4141" spans="1:4" x14ac:dyDescent="0.2">
      <c r="A4141" s="5">
        <v>4080</v>
      </c>
      <c r="B4141" s="138">
        <f>'Acct Summary 7-8'!H19</f>
        <v>145490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592399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5968875</v>
      </c>
      <c r="C4171" s="2" t="s">
        <v>594</v>
      </c>
      <c r="D4171" s="2" t="str">
        <f t="shared" si="64"/>
        <v>Error?</v>
      </c>
    </row>
    <row r="4172" spans="1:4" x14ac:dyDescent="0.2">
      <c r="A4172" s="5">
        <v>4111</v>
      </c>
      <c r="B4172" s="138">
        <f>'Short-Term Long-Term Debt 24'!J49</f>
        <v>5834045</v>
      </c>
      <c r="C4172" s="2" t="s">
        <v>594</v>
      </c>
      <c r="D4172" s="2" t="str">
        <f t="shared" si="64"/>
        <v>Error?</v>
      </c>
    </row>
    <row r="4173" spans="1:4" x14ac:dyDescent="0.2">
      <c r="A4173" s="5">
        <v>4112</v>
      </c>
      <c r="B4173" s="138">
        <f>'Short-Term Long-Term Debt 24'!H49</f>
        <v>245980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71121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2537.9</v>
      </c>
      <c r="C4265" s="2" t="s">
        <v>594</v>
      </c>
      <c r="D4265" s="2" t="str">
        <f t="shared" si="65"/>
        <v>Error?</v>
      </c>
      <c r="E4265" s="128"/>
    </row>
    <row r="4266" spans="1:5" x14ac:dyDescent="0.2">
      <c r="A4266" s="12">
        <v>4205</v>
      </c>
      <c r="B4266" s="138">
        <f>('FP Info 3'!F10)*100000</f>
        <v>490</v>
      </c>
      <c r="C4266" s="2" t="s">
        <v>594</v>
      </c>
      <c r="D4266" s="2" t="str">
        <f t="shared" si="65"/>
        <v>Error?</v>
      </c>
      <c r="E4266" s="128"/>
    </row>
    <row r="4267" spans="1:5" x14ac:dyDescent="0.2">
      <c r="A4267" s="12">
        <v>4206</v>
      </c>
      <c r="B4267" s="138">
        <f>('FP Info 3'!H10)*100000</f>
        <v>196</v>
      </c>
      <c r="C4267" s="2" t="s">
        <v>594</v>
      </c>
      <c r="D4267" s="2" t="str">
        <f t="shared" si="65"/>
        <v>Error?</v>
      </c>
      <c r="E4267" s="128"/>
    </row>
    <row r="4268" spans="1:5" x14ac:dyDescent="0.2">
      <c r="A4268" s="12">
        <v>4207</v>
      </c>
      <c r="B4268" s="138">
        <f>('FP Info 3'!J10)*100000</f>
        <v>3224</v>
      </c>
      <c r="C4268" s="2" t="s">
        <v>594</v>
      </c>
      <c r="D4268" s="2" t="str">
        <f t="shared" si="65"/>
        <v>Error?</v>
      </c>
    </row>
    <row r="4269" spans="1:5" x14ac:dyDescent="0.2">
      <c r="A4269" s="12">
        <v>4208</v>
      </c>
      <c r="B4269" s="138">
        <f>'FP Info 3'!J16</f>
        <v>8907220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21825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11730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49372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1970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166579321</v>
      </c>
      <c r="D4995" s="2" t="str">
        <f t="shared" si="77"/>
        <v>Error?</v>
      </c>
    </row>
    <row r="4996" spans="1:4" x14ac:dyDescent="0.2">
      <c r="A4996" s="12">
        <v>4935</v>
      </c>
      <c r="B4996" s="138">
        <f>'FP Info 3'!H31</f>
        <v>22987946.298</v>
      </c>
      <c r="D4996" s="2" t="str">
        <f t="shared" si="77"/>
        <v>Error?</v>
      </c>
    </row>
    <row r="4997" spans="1:4" x14ac:dyDescent="0.2">
      <c r="A4997" s="12">
        <v>4936</v>
      </c>
      <c r="B4997" s="138">
        <f>'FP Info 3'!H37</f>
        <v>5968875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52489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2729486</v>
      </c>
      <c r="D5061" s="2" t="str">
        <f t="shared" si="78"/>
        <v>Error?</v>
      </c>
    </row>
    <row r="5062" spans="1:4" x14ac:dyDescent="0.2">
      <c r="A5062" s="10">
        <v>5001</v>
      </c>
      <c r="D5062" s="2" t="str">
        <f t="shared" si="78"/>
        <v>OK</v>
      </c>
    </row>
    <row r="5063" spans="1:4" x14ac:dyDescent="0.2">
      <c r="A5063" s="5">
        <v>5002</v>
      </c>
      <c r="B5063" s="138">
        <f>'Revenues 9-14'!C7</f>
        <v>42314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2824289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31336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31336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377251</v>
      </c>
      <c r="C5096" s="2" t="s">
        <v>594</v>
      </c>
      <c r="D5096" s="2" t="str">
        <f t="shared" si="78"/>
        <v>Error?</v>
      </c>
    </row>
    <row r="5097" spans="1:4" x14ac:dyDescent="0.2">
      <c r="A5097" s="5">
        <v>5036</v>
      </c>
      <c r="B5097" s="138">
        <f>'Revenues 9-14'!C77</f>
        <v>61098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57162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11289</v>
      </c>
      <c r="D5101" s="2" t="str">
        <f t="shared" si="78"/>
        <v>Error?</v>
      </c>
    </row>
    <row r="5102" spans="1:4" x14ac:dyDescent="0.2">
      <c r="A5102" s="5">
        <v>5041</v>
      </c>
      <c r="B5102" s="138">
        <f>'Revenues 9-14'!C82</f>
        <v>129549</v>
      </c>
      <c r="C5102" s="2" t="s">
        <v>594</v>
      </c>
      <c r="D5102" s="2" t="str">
        <f t="shared" si="78"/>
        <v>Error?</v>
      </c>
    </row>
    <row r="5103" spans="1:4" x14ac:dyDescent="0.2">
      <c r="A5103" s="5">
        <v>5042</v>
      </c>
      <c r="B5103" s="138">
        <f>'Revenues 9-14'!C84</f>
        <v>73047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73047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82887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33912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131651</v>
      </c>
      <c r="C5120" s="2" t="s">
        <v>594</v>
      </c>
      <c r="D5120" s="2" t="str">
        <f t="shared" si="79"/>
        <v>Error?</v>
      </c>
    </row>
    <row r="5121" spans="1:4" x14ac:dyDescent="0.2">
      <c r="A5121" s="5">
        <v>5060</v>
      </c>
      <c r="B5121" s="138">
        <f>'Revenues 9-14'!C109</f>
        <v>3567123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5253589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5253589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95797</v>
      </c>
      <c r="D5134" s="2" t="str">
        <f t="shared" si="79"/>
        <v>Error?</v>
      </c>
    </row>
    <row r="5135" spans="1:4" x14ac:dyDescent="0.2">
      <c r="A5135" s="5">
        <v>5074</v>
      </c>
      <c r="B5135" s="138">
        <f>'Revenues 9-14'!C126</f>
        <v>86119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183209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54742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55939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3560</v>
      </c>
      <c r="D5167" s="2" t="str">
        <f t="shared" si="79"/>
        <v>Error?</v>
      </c>
    </row>
    <row r="5168" spans="1:4" x14ac:dyDescent="0.2">
      <c r="A5168" s="5">
        <v>5107</v>
      </c>
      <c r="B5168" s="138">
        <f>'Revenues 9-14'!C147</f>
        <v>20673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169240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434591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5688180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188707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44639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233346</v>
      </c>
      <c r="C5246" s="2" t="s">
        <v>594</v>
      </c>
      <c r="D5246" s="2" t="str">
        <f t="shared" si="80"/>
        <v>Error?</v>
      </c>
    </row>
    <row r="5247" spans="1:4" x14ac:dyDescent="0.2">
      <c r="A5247" s="5">
        <v>5186</v>
      </c>
      <c r="B5247" s="138">
        <f>'Revenues 9-14'!C203</f>
        <v>207454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207454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241836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241836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765563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765563</v>
      </c>
      <c r="C5326" s="2" t="s">
        <v>594</v>
      </c>
      <c r="D5326" s="2" t="str">
        <f t="shared" si="82"/>
        <v>Error?</v>
      </c>
    </row>
    <row r="5327" spans="1:4" x14ac:dyDescent="0.2">
      <c r="A5327" s="5">
        <v>5266</v>
      </c>
      <c r="B5327" s="138">
        <f>'Revenues 9-14'!C275</f>
        <v>10020866</v>
      </c>
      <c r="C5327" s="2" t="s">
        <v>594</v>
      </c>
      <c r="D5327" s="2" t="str">
        <f t="shared" si="82"/>
        <v>Error?</v>
      </c>
    </row>
    <row r="5328" spans="1:4" x14ac:dyDescent="0.2">
      <c r="A5328" s="5">
        <v>5267</v>
      </c>
      <c r="B5328" s="138">
        <f>'Revenues 9-14'!D5</f>
        <v>527090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527090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153850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153850</v>
      </c>
      <c r="C5339" s="2" t="s">
        <v>594</v>
      </c>
      <c r="D5339" s="2" t="str">
        <f t="shared" si="82"/>
        <v>Error?</v>
      </c>
    </row>
    <row r="5340" spans="1:4" x14ac:dyDescent="0.2">
      <c r="A5340" s="5">
        <v>5279</v>
      </c>
      <c r="B5340" s="138">
        <f>'Revenues 9-14'!D65</f>
        <v>710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8010</v>
      </c>
      <c r="D5349" s="2" t="str">
        <f t="shared" si="82"/>
        <v>Error?</v>
      </c>
    </row>
    <row r="5350" spans="1:4" x14ac:dyDescent="0.2">
      <c r="A5350" s="5">
        <v>5289</v>
      </c>
      <c r="B5350" s="138">
        <f>'Revenues 9-14'!D96</f>
        <v>1039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9049</v>
      </c>
      <c r="C5355" s="2" t="s">
        <v>594</v>
      </c>
      <c r="D5355" s="2" t="str">
        <f t="shared" si="82"/>
        <v>Error?</v>
      </c>
    </row>
    <row r="5356" spans="1:4" x14ac:dyDescent="0.2">
      <c r="A5356" s="5">
        <v>5295</v>
      </c>
      <c r="B5356" s="138">
        <f>'Revenues 9-14'!D109</f>
        <v>690699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790699</v>
      </c>
      <c r="C5508" s="2" t="s">
        <v>594</v>
      </c>
      <c r="D5508" s="2" t="str">
        <f t="shared" si="85"/>
        <v>Error?</v>
      </c>
    </row>
    <row r="5509" spans="1:4" x14ac:dyDescent="0.2">
      <c r="A5509" s="5">
        <v>5448</v>
      </c>
      <c r="B5509" s="138">
        <f>'Revenues 9-14'!E5</f>
        <v>714535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714535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714535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714535</v>
      </c>
      <c r="C5552" s="2" t="s">
        <v>594</v>
      </c>
      <c r="D5552" s="2" t="str">
        <f t="shared" si="85"/>
        <v>Error?</v>
      </c>
    </row>
    <row r="5553" spans="1:4" x14ac:dyDescent="0.2">
      <c r="A5553" s="5">
        <v>5492</v>
      </c>
      <c r="B5553" s="138">
        <f>'Revenues 9-14'!F5</f>
        <v>210888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210888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3602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3602</v>
      </c>
      <c r="C5582" s="2" t="s">
        <v>594</v>
      </c>
      <c r="D5582" s="2" t="str">
        <f t="shared" si="86"/>
        <v>Error?</v>
      </c>
    </row>
    <row r="5583" spans="1:4" x14ac:dyDescent="0.2">
      <c r="A5583" s="5">
        <v>5522</v>
      </c>
      <c r="B5583" s="138">
        <f>'Revenues 9-14'!F96</f>
        <v>2927</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4027</v>
      </c>
      <c r="C5587" s="2" t="s">
        <v>594</v>
      </c>
      <c r="D5587" s="2" t="str">
        <f t="shared" si="86"/>
        <v>Error?</v>
      </c>
    </row>
    <row r="5588" spans="1:4" x14ac:dyDescent="0.2">
      <c r="A5588" s="5">
        <v>5527</v>
      </c>
      <c r="B5588" s="138">
        <f>'Revenues 9-14'!F109</f>
        <v>218517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638238</v>
      </c>
      <c r="D5615" s="2" t="str">
        <f t="shared" si="86"/>
        <v>Error?</v>
      </c>
    </row>
    <row r="5616" spans="1:4" x14ac:dyDescent="0.2">
      <c r="A5616" s="10">
        <v>5555</v>
      </c>
      <c r="D5616" s="2" t="str">
        <f t="shared" si="86"/>
        <v>OK</v>
      </c>
    </row>
    <row r="5617" spans="1:4" x14ac:dyDescent="0.2">
      <c r="A5617" s="5">
        <v>5556</v>
      </c>
      <c r="B5617" s="138">
        <f>'Revenues 9-14'!F152</f>
        <v>58577</v>
      </c>
      <c r="D5617" s="2" t="str">
        <f t="shared" si="86"/>
        <v>Error?</v>
      </c>
    </row>
    <row r="5618" spans="1:4" x14ac:dyDescent="0.2">
      <c r="A5618" s="5">
        <v>5557</v>
      </c>
      <c r="B5618" s="138">
        <f>'Revenues 9-14'!F154</f>
        <v>696815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696815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696815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915332</v>
      </c>
      <c r="C5720" s="2" t="s">
        <v>594</v>
      </c>
      <c r="D5720" s="2" t="str">
        <f t="shared" si="88"/>
        <v>Error?</v>
      </c>
    </row>
    <row r="5721" spans="1:4" x14ac:dyDescent="0.2">
      <c r="A5721" s="5">
        <v>5660</v>
      </c>
      <c r="B5721" s="138">
        <f>'Revenues 9-14'!G5</f>
        <v>150767</v>
      </c>
      <c r="D5721" s="2" t="str">
        <f t="shared" si="88"/>
        <v>Error?</v>
      </c>
    </row>
    <row r="5722" spans="1:4" x14ac:dyDescent="0.2">
      <c r="A5722" s="5">
        <v>5661</v>
      </c>
      <c r="B5722" s="138">
        <f>'Revenues 9-14'!G7</f>
        <v>0</v>
      </c>
      <c r="D5722" s="2" t="str">
        <f t="shared" si="88"/>
        <v>Error?</v>
      </c>
    </row>
    <row r="5723" spans="1:4" x14ac:dyDescent="0.2">
      <c r="A5723" s="5">
        <v>5662</v>
      </c>
      <c r="B5723" s="138">
        <f>'Revenues 9-14'!G8</f>
        <v>226573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377340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18564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18564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395904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422076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422076</v>
      </c>
      <c r="C5915" s="2" t="s">
        <v>594</v>
      </c>
      <c r="D5915" s="2" t="str">
        <f t="shared" si="91"/>
        <v>Error?</v>
      </c>
    </row>
    <row r="5916" spans="1:4" x14ac:dyDescent="0.2">
      <c r="A5916" s="5">
        <v>5855</v>
      </c>
      <c r="B5916" s="138">
        <f>'Revenues 9-14'!I5</f>
        <v>52490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52490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1102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53592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52489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52489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4010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56499</v>
      </c>
      <c r="C6023" s="2" t="s">
        <v>594</v>
      </c>
      <c r="D6023" s="2" t="str">
        <f t="shared" si="93"/>
        <v>Error?</v>
      </c>
    </row>
    <row r="6024" spans="1:5" x14ac:dyDescent="0.2">
      <c r="A6024" s="5">
        <v>5963</v>
      </c>
      <c r="B6024" s="138">
        <f>'Revenues 9-14'!G109</f>
        <v>395904</v>
      </c>
      <c r="C6024" s="2" t="s">
        <v>594</v>
      </c>
      <c r="D6024" s="2" t="str">
        <f t="shared" si="93"/>
        <v>Error?</v>
      </c>
    </row>
    <row r="6025" spans="1:5" x14ac:dyDescent="0.2">
      <c r="A6025" s="5">
        <v>5964</v>
      </c>
      <c r="B6025" s="138">
        <f>'Revenues 9-14'!H109</f>
        <v>422076</v>
      </c>
      <c r="C6025" s="2" t="s">
        <v>594</v>
      </c>
      <c r="D6025" s="2" t="str">
        <f t="shared" si="93"/>
        <v>Error?</v>
      </c>
    </row>
    <row r="6026" spans="1:5" x14ac:dyDescent="0.2">
      <c r="A6026" s="5">
        <v>5965</v>
      </c>
      <c r="B6026" s="138">
        <f>'Revenues 9-14'!I109</f>
        <v>53592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56499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377251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47134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1500.73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240870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240870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240870</v>
      </c>
      <c r="D6216" s="2" t="str">
        <f t="shared" si="96"/>
        <v>Error?</v>
      </c>
      <c r="E6216" s="2" t="s">
        <v>199</v>
      </c>
    </row>
    <row r="6217" spans="1:5" x14ac:dyDescent="0.2">
      <c r="A6217">
        <v>6156</v>
      </c>
      <c r="B6217" s="138">
        <f>'Assets-Liab 5-6'!J4</f>
        <v>240870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328499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328499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328499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371852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371852</v>
      </c>
      <c r="D6229" s="2" t="str">
        <f t="shared" si="96"/>
        <v>Error?</v>
      </c>
      <c r="E6229" s="2" t="s">
        <v>199</v>
      </c>
    </row>
    <row r="6230" spans="1:5" x14ac:dyDescent="0.2">
      <c r="A6230">
        <v>6169</v>
      </c>
      <c r="B6230" s="138">
        <f>'Acct Summary 7-8'!J20</f>
        <v>-43353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-43353</v>
      </c>
      <c r="D6263" s="2" t="str">
        <f t="shared" si="96"/>
        <v>Error?</v>
      </c>
      <c r="E6263" s="2" t="s">
        <v>199</v>
      </c>
    </row>
    <row r="6264" spans="1:5" x14ac:dyDescent="0.2">
      <c r="A6264">
        <v>6203</v>
      </c>
      <c r="B6264" s="138">
        <f>'Acct Summary 7-8'!J79</f>
        <v>284223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240870</v>
      </c>
      <c r="D6266" s="2" t="str">
        <f t="shared" si="96"/>
        <v>Error?</v>
      </c>
      <c r="E6266" s="2" t="s">
        <v>199</v>
      </c>
    </row>
    <row r="6267" spans="1:5" x14ac:dyDescent="0.2">
      <c r="A6267">
        <v>6206</v>
      </c>
      <c r="B6267" s="138">
        <f>'Acct Summary 7-8'!C82</f>
        <v>-1031596</v>
      </c>
      <c r="D6267" s="2" t="str">
        <f t="shared" si="96"/>
        <v>Error?</v>
      </c>
      <c r="E6267" s="2" t="s">
        <v>199</v>
      </c>
    </row>
    <row r="6268" spans="1:5" x14ac:dyDescent="0.2">
      <c r="A6268">
        <v>6207</v>
      </c>
      <c r="B6268" s="138">
        <f>'Acct Summary 7-8'!D82</f>
        <v>-344796</v>
      </c>
      <c r="D6268" s="2" t="str">
        <f t="shared" si="96"/>
        <v>Error?</v>
      </c>
      <c r="E6268" s="2" t="s">
        <v>199</v>
      </c>
    </row>
    <row r="6269" spans="1:5" x14ac:dyDescent="0.2">
      <c r="A6269">
        <v>6208</v>
      </c>
      <c r="B6269" s="138">
        <f>'Acct Summary 7-8'!E82</f>
        <v>-336425</v>
      </c>
      <c r="D6269" s="2" t="str">
        <f t="shared" si="96"/>
        <v>Error?</v>
      </c>
      <c r="E6269" s="2" t="s">
        <v>199</v>
      </c>
    </row>
    <row r="6270" spans="1:5" x14ac:dyDescent="0.2">
      <c r="A6270">
        <v>6209</v>
      </c>
      <c r="B6270" s="138">
        <f>'Acct Summary 7-8'!F82</f>
        <v>33967</v>
      </c>
      <c r="D6270" s="2" t="str">
        <f t="shared" si="96"/>
        <v>Error?</v>
      </c>
      <c r="E6270" s="2" t="s">
        <v>199</v>
      </c>
    </row>
    <row r="6271" spans="1:5" x14ac:dyDescent="0.2">
      <c r="A6271">
        <v>6210</v>
      </c>
      <c r="B6271" s="138">
        <f>'Acct Summary 7-8'!G82</f>
        <v>-87851</v>
      </c>
      <c r="D6271" s="2" t="str">
        <f t="shared" ref="D6271:D6334" si="97">IF(ISBLANK(B6271),"OK",IF(A6271-B6271=0,"OK","Error?"))</f>
        <v>Error?</v>
      </c>
      <c r="E6271" s="2" t="s">
        <v>199</v>
      </c>
    </row>
    <row r="6272" spans="1:5" x14ac:dyDescent="0.2">
      <c r="A6272">
        <v>6211</v>
      </c>
      <c r="B6272" s="138">
        <f>'Acct Summary 7-8'!H82</f>
        <v>276586</v>
      </c>
      <c r="D6272" s="2" t="str">
        <f t="shared" si="97"/>
        <v>Error?</v>
      </c>
      <c r="E6272" s="2" t="s">
        <v>199</v>
      </c>
    </row>
    <row r="6273" spans="1:5" x14ac:dyDescent="0.2">
      <c r="A6273">
        <v>6212</v>
      </c>
      <c r="B6273" s="138">
        <f>'Acct Summary 7-8'!I82</f>
        <v>53592</v>
      </c>
      <c r="D6273" s="2" t="str">
        <f t="shared" si="97"/>
        <v>Error?</v>
      </c>
      <c r="E6273" s="2" t="s">
        <v>199</v>
      </c>
    </row>
    <row r="6274" spans="1:5" x14ac:dyDescent="0.2">
      <c r="A6274">
        <v>6213</v>
      </c>
      <c r="B6274" s="138">
        <f>'Acct Summary 7-8'!J82</f>
        <v>-43353</v>
      </c>
      <c r="D6274" s="2" t="str">
        <f t="shared" si="97"/>
        <v>Error?</v>
      </c>
      <c r="E6274" s="2" t="s">
        <v>199</v>
      </c>
    </row>
    <row r="6275" spans="1:5" x14ac:dyDescent="0.2">
      <c r="A6275">
        <v>6214</v>
      </c>
      <c r="B6275" s="138">
        <f>'Acct Summary 7-8'!K82</f>
        <v>-535900</v>
      </c>
      <c r="D6275" s="2" t="str">
        <f t="shared" si="97"/>
        <v>Error?</v>
      </c>
      <c r="E6275" s="2" t="s">
        <v>199</v>
      </c>
    </row>
    <row r="6276" spans="1:5" x14ac:dyDescent="0.2">
      <c r="A6276">
        <v>6215</v>
      </c>
      <c r="B6276" s="138">
        <f>'Acct Summary 7-8'!C83</f>
        <v>-0.15584713808040482</v>
      </c>
      <c r="D6276" s="2" t="str">
        <f t="shared" si="97"/>
        <v>Error?</v>
      </c>
      <c r="E6276" s="2" t="s">
        <v>199</v>
      </c>
    </row>
    <row r="6277" spans="1:5" x14ac:dyDescent="0.2">
      <c r="A6277">
        <v>6216</v>
      </c>
      <c r="B6277" s="138">
        <f>'Acct Summary 7-8'!D83</f>
        <v>-0.81613929443844802</v>
      </c>
      <c r="D6277" s="2" t="str">
        <f t="shared" si="97"/>
        <v>Error?</v>
      </c>
      <c r="E6277" s="2" t="s">
        <v>199</v>
      </c>
    </row>
    <row r="6278" spans="1:5" x14ac:dyDescent="0.2">
      <c r="A6278">
        <v>6217</v>
      </c>
      <c r="B6278" s="138">
        <f>'Acct Summary 7-8'!E83</f>
        <v>-2.4951791144404063</v>
      </c>
      <c r="D6278" s="2" t="str">
        <f t="shared" si="97"/>
        <v>Error?</v>
      </c>
      <c r="E6278" s="2" t="s">
        <v>199</v>
      </c>
    </row>
    <row r="6279" spans="1:5" x14ac:dyDescent="0.2">
      <c r="A6279">
        <v>6218</v>
      </c>
      <c r="B6279" s="138">
        <f>'Acct Summary 7-8'!F83</f>
        <v>2.3596272890649368E-2</v>
      </c>
      <c r="D6279" s="2" t="str">
        <f t="shared" si="97"/>
        <v>Error?</v>
      </c>
      <c r="E6279" s="2" t="s">
        <v>199</v>
      </c>
    </row>
    <row r="6280" spans="1:5" x14ac:dyDescent="0.2">
      <c r="A6280">
        <v>6219</v>
      </c>
      <c r="B6280" s="138">
        <f>'Acct Summary 7-8'!G83</f>
        <v>-0.19870037636159665</v>
      </c>
      <c r="D6280" s="2" t="str">
        <f t="shared" si="97"/>
        <v>Error?</v>
      </c>
      <c r="E6280" s="2" t="s">
        <v>199</v>
      </c>
    </row>
    <row r="6281" spans="1:5" x14ac:dyDescent="0.2">
      <c r="A6281">
        <v>6220</v>
      </c>
      <c r="B6281" s="138">
        <f>'Acct Summary 7-8'!H83</f>
        <v>0.53472195370921716</v>
      </c>
      <c r="D6281" s="2" t="str">
        <f t="shared" si="97"/>
        <v>Error?</v>
      </c>
      <c r="E6281" s="2" t="s">
        <v>199</v>
      </c>
    </row>
    <row r="6282" spans="1:5" x14ac:dyDescent="0.2">
      <c r="A6282">
        <v>6221</v>
      </c>
      <c r="B6282" s="138">
        <f>'Acct Summary 7-8'!I83</f>
        <v>0.12581463048173538</v>
      </c>
      <c r="D6282" s="2" t="str">
        <f t="shared" si="97"/>
        <v>Error?</v>
      </c>
      <c r="E6282" s="2" t="s">
        <v>199</v>
      </c>
    </row>
    <row r="6283" spans="1:5" x14ac:dyDescent="0.2">
      <c r="A6283">
        <v>6222</v>
      </c>
      <c r="B6283" s="138">
        <f>'Acct Summary 7-8'!J83</f>
        <v>-0.17998505417860255</v>
      </c>
      <c r="D6283" s="2" t="str">
        <f t="shared" si="97"/>
        <v>Error?</v>
      </c>
      <c r="E6283" s="2" t="s">
        <v>199</v>
      </c>
    </row>
    <row r="6284" spans="1:5" x14ac:dyDescent="0.2">
      <c r="A6284">
        <v>6223</v>
      </c>
      <c r="B6284" s="138">
        <f>'Acct Summary 7-8'!K83</f>
        <v>-0.83305611431165216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328499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328499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10910</v>
      </c>
      <c r="D6339" s="2" t="str">
        <f t="shared" si="98"/>
        <v>Error?</v>
      </c>
      <c r="E6339" s="2" t="s">
        <v>199</v>
      </c>
    </row>
    <row r="6340" spans="1:5" x14ac:dyDescent="0.2">
      <c r="A6340">
        <v>6279</v>
      </c>
      <c r="B6340" s="138">
        <f>'Revenues 9-14'!C102</f>
        <v>3942</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328499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1197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91878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118438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34377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99684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13417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13417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13417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13417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9083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9083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9083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371852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9083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328499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1385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1385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1385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5788</v>
      </c>
      <c r="D7073" s="2" t="str">
        <f t="shared" si="109"/>
        <v>Error?</v>
      </c>
    </row>
    <row r="7074" spans="1:4" x14ac:dyDescent="0.2">
      <c r="A7074">
        <v>7013</v>
      </c>
      <c r="B7074" s="138">
        <f>'Expenditures 15-22'!K216</f>
        <v>5788</v>
      </c>
      <c r="D7074" s="2" t="str">
        <f t="shared" si="109"/>
        <v>Error?</v>
      </c>
    </row>
    <row r="7075" spans="1:4" x14ac:dyDescent="0.2">
      <c r="A7075">
        <v>7014</v>
      </c>
      <c r="B7075" s="138">
        <f>'Expenditures 15-22'!D218</f>
        <v>2773</v>
      </c>
      <c r="D7075" s="2" t="str">
        <f t="shared" si="109"/>
        <v>Error?</v>
      </c>
    </row>
    <row r="7076" spans="1:4" x14ac:dyDescent="0.2">
      <c r="A7076">
        <v>7015</v>
      </c>
      <c r="B7076" s="138">
        <f>'Expenditures 15-22'!K218</f>
        <v>2773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1291</v>
      </c>
      <c r="D7079" s="2" t="str">
        <f t="shared" si="109"/>
        <v>Error?</v>
      </c>
    </row>
    <row r="7080" spans="1:4" x14ac:dyDescent="0.2">
      <c r="A7080">
        <v>7019</v>
      </c>
      <c r="B7080" s="138">
        <f>'Expenditures 15-22'!K226</f>
        <v>1291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5646</v>
      </c>
      <c r="D7093" s="2" t="str">
        <f t="shared" si="109"/>
        <v>Error?</v>
      </c>
    </row>
    <row r="7094" spans="1:4" x14ac:dyDescent="0.2">
      <c r="A7094">
        <v>7033</v>
      </c>
      <c r="B7094" s="138">
        <f>'Expenditures 15-22'!K254</f>
        <v>5646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206611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206611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38399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89366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127765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36639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36639</v>
      </c>
      <c r="D7198" s="2" t="str">
        <f t="shared" si="111"/>
        <v>Error?</v>
      </c>
    </row>
    <row r="7199" spans="1:4" x14ac:dyDescent="0.2">
      <c r="A7199">
        <v>7138</v>
      </c>
      <c r="B7199" s="138">
        <f>'Expenditures 15-22'!C330</f>
        <v>38399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333453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371852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38399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333453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371852</v>
      </c>
      <c r="D7224" s="2" t="str">
        <f t="shared" si="111"/>
        <v>Error?</v>
      </c>
    </row>
    <row r="7225" spans="1:4" x14ac:dyDescent="0.2">
      <c r="A7225">
        <v>7164</v>
      </c>
      <c r="B7225" s="138">
        <f>'Expenditures 15-22'!K343</f>
        <v>-43353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10693</v>
      </c>
      <c r="D7246" s="2" t="str">
        <f t="shared" si="112"/>
        <v>Error?</v>
      </c>
    </row>
    <row r="7247" spans="1:4" x14ac:dyDescent="0.2">
      <c r="A7247">
        <f t="shared" si="113"/>
        <v>7186</v>
      </c>
      <c r="B7247" s="138">
        <f>'Expenditures 15-22'!E7</f>
        <v>1827</v>
      </c>
      <c r="D7247" s="2" t="str">
        <f t="shared" si="112"/>
        <v>Error?</v>
      </c>
    </row>
    <row r="7248" spans="1:4" x14ac:dyDescent="0.2">
      <c r="A7248">
        <f t="shared" si="113"/>
        <v>7187</v>
      </c>
      <c r="B7248" s="138">
        <f>'Expenditures 15-22'!F7</f>
        <v>14040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31308</v>
      </c>
      <c r="D7251" s="2" t="str">
        <f t="shared" si="112"/>
        <v>Error?</v>
      </c>
    </row>
    <row r="7252" spans="1:4" x14ac:dyDescent="0.2">
      <c r="A7252">
        <f t="shared" si="113"/>
        <v>7191</v>
      </c>
      <c r="B7252" s="138">
        <f>'Expenditures 15-22'!D9</f>
        <v>3069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89007</v>
      </c>
      <c r="D7263" s="2" t="str">
        <f t="shared" si="112"/>
        <v>Error?</v>
      </c>
    </row>
    <row r="7264" spans="1:4" x14ac:dyDescent="0.2">
      <c r="A7264">
        <f t="shared" si="113"/>
        <v>7203</v>
      </c>
      <c r="B7264" s="138">
        <f>'Expenditures 15-22'!D17</f>
        <v>7578</v>
      </c>
      <c r="D7264" s="2" t="str">
        <f t="shared" si="112"/>
        <v>Error?</v>
      </c>
    </row>
    <row r="7265" spans="1:5" x14ac:dyDescent="0.2">
      <c r="A7265">
        <f t="shared" si="113"/>
        <v>7204</v>
      </c>
      <c r="B7265" s="138">
        <f>'Expenditures 15-22'!E17</f>
        <v>1005</v>
      </c>
      <c r="D7265" s="2" t="str">
        <f t="shared" si="112"/>
        <v>Error?</v>
      </c>
    </row>
    <row r="7266" spans="1:5" x14ac:dyDescent="0.2">
      <c r="A7266">
        <f t="shared" si="113"/>
        <v>7205</v>
      </c>
      <c r="B7266" s="138">
        <f>'Expenditures 15-22'!F17</f>
        <v>2094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23885</v>
      </c>
      <c r="D7624" s="2" t="str">
        <f t="shared" si="124"/>
        <v>Error?</v>
      </c>
      <c r="E7624" s="2" t="s">
        <v>19</v>
      </c>
    </row>
    <row r="7625" spans="1:5" x14ac:dyDescent="0.2">
      <c r="A7625">
        <f t="shared" si="123"/>
        <v>7564</v>
      </c>
      <c r="B7625" s="138">
        <f>'Cap Outlay Deprec 26'!I17</f>
        <v>2388.5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1151867.5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10910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20673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31583</v>
      </c>
      <c r="D7719" s="2" t="str">
        <f t="shared" si="126"/>
        <v>Error?</v>
      </c>
      <c r="E7719" s="2" t="s">
        <v>881</v>
      </c>
    </row>
    <row r="7720" spans="1:6" x14ac:dyDescent="0.2">
      <c r="A7720">
        <v>7659</v>
      </c>
      <c r="B7720" s="138">
        <f>'Rest Tax Levies-Tort Im 25'!H14</f>
        <v>42314</v>
      </c>
      <c r="D7720" s="2" t="str">
        <f t="shared" si="126"/>
        <v>Error?</v>
      </c>
      <c r="E7720" s="2" t="s">
        <v>881</v>
      </c>
    </row>
    <row r="7721" spans="1:6" x14ac:dyDescent="0.2">
      <c r="A7721">
        <v>7660</v>
      </c>
      <c r="B7721" s="138">
        <f>'Rest Tax Levies-Tort Im 25'!K14</f>
        <v>31583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422076</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168900</v>
      </c>
      <c r="D7797" s="2" t="str">
        <f t="shared" si="127"/>
        <v>Error?</v>
      </c>
      <c r="E7797" s="4" t="s">
        <v>2017</v>
      </c>
    </row>
    <row r="7798" spans="1:5" x14ac:dyDescent="0.2">
      <c r="A7798">
        <v>7737</v>
      </c>
      <c r="B7798" s="138">
        <f>'Contracts Paid in CY 29'!F141</f>
        <v>79870</v>
      </c>
      <c r="D7798" s="2" t="str">
        <f t="shared" si="127"/>
        <v>Error?</v>
      </c>
      <c r="E7798" s="4" t="s">
        <v>2017</v>
      </c>
    </row>
    <row r="7799" spans="1:5" x14ac:dyDescent="0.2">
      <c r="A7799">
        <v>7738</v>
      </c>
      <c r="B7799" s="138">
        <f>'Contracts Paid in CY 29'!G141</f>
        <v>16600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9" zoomScale="110" zoomScaleNormal="110" workbookViewId="0">
      <selection activeCell="O18" sqref="O1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1799</v>
      </c>
      <c r="B4" s="2423"/>
      <c r="C4" s="2423"/>
      <c r="D4" s="2423"/>
      <c r="E4" s="2423"/>
      <c r="F4" s="2423"/>
      <c r="G4" s="2423"/>
      <c r="H4" s="2423"/>
      <c r="I4" s="2423"/>
      <c r="J4" s="2423"/>
      <c r="K4" s="2423"/>
      <c r="L4" s="242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4" t="str">
        <f>COVER!A17</f>
        <v>Sherrard CUSD 200</v>
      </c>
      <c r="B7" s="2425"/>
      <c r="C7" s="2425"/>
      <c r="D7" s="2426"/>
      <c r="E7" s="2427">
        <f>COVER!A13</f>
        <v>49081200026</v>
      </c>
      <c r="F7" s="2428"/>
      <c r="G7" s="2434" t="str">
        <f>COVER!T23</f>
        <v>066.004397</v>
      </c>
      <c r="H7" s="2435"/>
      <c r="I7" s="2435"/>
      <c r="J7" s="2435"/>
      <c r="K7" s="2435"/>
      <c r="L7" s="243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7"/>
      <c r="B9" s="2438"/>
      <c r="C9" s="2438"/>
      <c r="D9" s="2438"/>
      <c r="E9" s="2438"/>
      <c r="F9" s="2439"/>
      <c r="G9" s="2408" t="str">
        <f>COVER!T13</f>
        <v>Bohnsack &amp; Frommelt LLP</v>
      </c>
      <c r="H9" s="2440"/>
      <c r="I9" s="2440"/>
      <c r="J9" s="2440"/>
      <c r="K9" s="2440"/>
      <c r="L9" s="2441"/>
    </row>
    <row r="10" spans="1:29" ht="13.5" customHeight="1" x14ac:dyDescent="0.2">
      <c r="A10" s="2414" t="str">
        <f>COVER!A38</f>
        <v>Alan Boucher</v>
      </c>
      <c r="B10" s="2415"/>
      <c r="C10" s="2415"/>
      <c r="D10" s="2415"/>
      <c r="E10" s="2415"/>
      <c r="F10" s="2416"/>
      <c r="G10" s="2408" t="str">
        <f>COVER!T17</f>
        <v>1500 River Drive, Suite 200</v>
      </c>
      <c r="H10" s="2409"/>
      <c r="I10" s="2409"/>
      <c r="J10" s="2409"/>
      <c r="K10" s="2409"/>
      <c r="L10" s="2410"/>
    </row>
    <row r="11" spans="1:29" ht="13.5" customHeight="1" x14ac:dyDescent="0.2">
      <c r="A11" s="1185" t="s">
        <v>1599</v>
      </c>
      <c r="B11" s="1186"/>
      <c r="C11" s="1187"/>
      <c r="D11" s="1192"/>
      <c r="E11" s="1187"/>
      <c r="F11" s="1191"/>
      <c r="G11" s="2408" t="s">
        <v>2165</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t="str">
        <f>COVER!T25</f>
        <v>sarah@governmentalservice.com</v>
      </c>
      <c r="J13" s="2421"/>
      <c r="K13" s="2421"/>
      <c r="L13" s="2422"/>
    </row>
    <row r="14" spans="1:29" ht="13.5" customHeight="1" x14ac:dyDescent="0.2">
      <c r="A14" s="2408" t="str">
        <f>COVER!A19</f>
        <v>PO Box 369</v>
      </c>
      <c r="B14" s="2409"/>
      <c r="C14" s="2409"/>
      <c r="D14" s="2409"/>
      <c r="E14" s="2409"/>
      <c r="F14" s="2410"/>
      <c r="G14" s="1196" t="s">
        <v>1247</v>
      </c>
      <c r="H14" s="1194"/>
      <c r="I14" s="1194"/>
      <c r="J14" s="1194"/>
      <c r="K14" s="1194"/>
      <c r="L14" s="1195"/>
    </row>
    <row r="15" spans="1:29" ht="13.5" customHeight="1" x14ac:dyDescent="0.2">
      <c r="A15" s="2408" t="str">
        <f>COVER!A21</f>
        <v xml:space="preserve">Sherrard  </v>
      </c>
      <c r="B15" s="2409"/>
      <c r="C15" s="2409"/>
      <c r="D15" s="2409"/>
      <c r="E15" s="2409"/>
      <c r="F15" s="2410"/>
      <c r="G15" s="2405" t="str">
        <f>COVER!T15</f>
        <v>Sarah Bohnsack</v>
      </c>
      <c r="H15" s="2406"/>
      <c r="I15" s="2406"/>
      <c r="J15" s="2406"/>
      <c r="K15" s="2406"/>
      <c r="L15" s="2407"/>
    </row>
    <row r="16" spans="1:29" ht="12.2" customHeight="1" x14ac:dyDescent="0.2">
      <c r="A16" s="2430">
        <f>COVER!A25</f>
        <v>61281</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6" t="s">
        <v>1246</v>
      </c>
      <c r="H17" s="1194"/>
      <c r="I17" s="1194"/>
      <c r="J17" s="1194"/>
      <c r="K17" s="1198" t="s">
        <v>1245</v>
      </c>
      <c r="L17" s="1191"/>
      <c r="M17" s="1184"/>
    </row>
    <row r="18" spans="1:13" ht="12.2" customHeight="1" x14ac:dyDescent="0.2">
      <c r="A18" s="2414"/>
      <c r="B18" s="2415"/>
      <c r="C18" s="2415"/>
      <c r="D18" s="2415"/>
      <c r="E18" s="2415"/>
      <c r="F18" s="2416"/>
      <c r="G18" s="2424" t="str">
        <f>COVER!T21</f>
        <v>563-343-9595</v>
      </c>
      <c r="H18" s="2425"/>
      <c r="I18" s="2425"/>
      <c r="J18" s="2425"/>
      <c r="K18" s="2424">
        <f>COVER!X21</f>
        <v>0</v>
      </c>
      <c r="L18" s="242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6"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Sherrard CUSD 200</v>
      </c>
      <c r="B1" s="2423"/>
      <c r="C1" s="2423"/>
      <c r="D1" s="2423"/>
    </row>
    <row r="2" spans="1:11" s="1215" customFormat="1" ht="12.75" x14ac:dyDescent="0.2">
      <c r="A2" s="2447">
        <f>'Single Audit Cover'!E7</f>
        <v>49081200026</v>
      </c>
      <c r="B2" s="2448"/>
      <c r="C2" s="2448"/>
      <c r="D2" s="2448"/>
    </row>
    <row r="3" spans="1:11" s="1215" customFormat="1" ht="12.75" x14ac:dyDescent="0.2">
      <c r="A3" s="2446" t="s">
        <v>1593</v>
      </c>
      <c r="B3" s="2423"/>
      <c r="C3" s="2423"/>
      <c r="D3" s="242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I18" sqref="I1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Sherrard CUSD 200</v>
      </c>
      <c r="B1" s="2450"/>
      <c r="C1" s="2450"/>
      <c r="D1" s="2450"/>
      <c r="E1" s="2450"/>
    </row>
    <row r="2" spans="1:5" x14ac:dyDescent="0.2">
      <c r="A2" s="2451">
        <f>'Single Audit Cover'!E7</f>
        <v>49081200026</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765563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47134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-11730</v>
      </c>
    </row>
    <row r="19" spans="1:4" ht="13.5" thickBot="1" x14ac:dyDescent="0.25">
      <c r="A19" s="1265" t="s">
        <v>1297</v>
      </c>
      <c r="D19" s="1266">
        <f>SUM(D10:D17)</f>
        <v>800967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800967</v>
      </c>
    </row>
    <row r="33" spans="1:4" x14ac:dyDescent="0.2">
      <c r="D33" s="1269"/>
    </row>
    <row r="34" spans="1:4" x14ac:dyDescent="0.2">
      <c r="A34" s="317" t="s">
        <v>1294</v>
      </c>
    </row>
    <row r="35" spans="1:4" x14ac:dyDescent="0.2">
      <c r="A35" s="317" t="s">
        <v>1293</v>
      </c>
      <c r="B35" s="1258" t="s">
        <v>1292</v>
      </c>
      <c r="D35" s="1270">
        <f>+' SEFA3'!F16</f>
        <v>800967</v>
      </c>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800967</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Sherrard CUSD 200</v>
      </c>
      <c r="B1" s="2463"/>
      <c r="C1" s="2463"/>
      <c r="D1" s="2463"/>
      <c r="E1" s="2463"/>
      <c r="F1" s="2463"/>
    </row>
    <row r="2" spans="1:7" ht="13.5" customHeight="1" x14ac:dyDescent="0.2">
      <c r="A2" s="2464">
        <f>'Single Audit Cover'!E7</f>
        <v>49081200026</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2166</v>
      </c>
      <c r="B7" s="2462"/>
      <c r="C7" s="2462"/>
      <c r="D7" s="2462"/>
      <c r="E7" s="2462"/>
      <c r="F7" s="246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2159</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2" t="s">
        <v>2171</v>
      </c>
      <c r="B13" s="2462"/>
      <c r="C13" s="2462"/>
      <c r="D13" s="2462"/>
      <c r="E13" s="2462"/>
      <c r="F13" s="2462"/>
    </row>
    <row r="14" spans="1:7" ht="9.75" customHeight="1" x14ac:dyDescent="0.2">
      <c r="C14" s="1260"/>
      <c r="D14" s="1260"/>
    </row>
    <row r="15" spans="1:7" ht="13.5" customHeight="1" x14ac:dyDescent="0.2">
      <c r="C15" s="1870" t="s">
        <v>1332</v>
      </c>
      <c r="D15" s="2460" t="s">
        <v>1331</v>
      </c>
      <c r="E15" s="2460"/>
      <c r="F15" s="2460"/>
    </row>
    <row r="16" spans="1:7" ht="13.5" customHeight="1" x14ac:dyDescent="0.2">
      <c r="A16" s="1282"/>
      <c r="B16" s="1276" t="s">
        <v>1330</v>
      </c>
      <c r="C16" s="1870" t="s">
        <v>1329</v>
      </c>
      <c r="D16" s="2461" t="s">
        <v>1670</v>
      </c>
      <c r="E16" s="2461"/>
      <c r="F16" s="2461"/>
    </row>
    <row r="17" spans="1:6" ht="20.45" customHeight="1" x14ac:dyDescent="0.2">
      <c r="A17" s="1283"/>
      <c r="B17" s="1284" t="s">
        <v>2160</v>
      </c>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6" t="s">
        <v>2173</v>
      </c>
      <c r="B32" s="2456"/>
      <c r="C32" s="2456"/>
      <c r="D32" s="2456"/>
      <c r="E32" s="2456"/>
      <c r="F32" s="2456"/>
    </row>
    <row r="33" spans="1:6" ht="13.5" customHeight="1" x14ac:dyDescent="0.2">
      <c r="A33" s="328" t="s">
        <v>1509</v>
      </c>
      <c r="B33" s="328"/>
      <c r="C33" s="1288">
        <v>34104</v>
      </c>
      <c r="D33" s="1927"/>
      <c r="E33" s="1286"/>
    </row>
    <row r="34" spans="1:6" ht="13.5" customHeight="1" x14ac:dyDescent="0.2">
      <c r="A34" s="328" t="s">
        <v>1946</v>
      </c>
      <c r="B34" s="328"/>
      <c r="C34" s="1289">
        <v>13030</v>
      </c>
      <c r="D34" s="1927" t="s">
        <v>1671</v>
      </c>
      <c r="E34" s="2457">
        <f>+C33+C34</f>
        <v>47134</v>
      </c>
      <c r="F34" s="2458"/>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401</v>
      </c>
      <c r="D38" s="1927"/>
      <c r="E38" s="1286"/>
    </row>
    <row r="39" spans="1:6" ht="14.25" customHeight="1" x14ac:dyDescent="0.2">
      <c r="A39" s="328"/>
      <c r="B39" s="328" t="s">
        <v>1511</v>
      </c>
      <c r="C39" s="1292" t="s">
        <v>401</v>
      </c>
      <c r="D39" s="1927"/>
      <c r="E39" s="1286"/>
    </row>
    <row r="40" spans="1:6" ht="14.25" customHeight="1" x14ac:dyDescent="0.2">
      <c r="A40" s="328"/>
      <c r="B40" s="328" t="s">
        <v>1512</v>
      </c>
      <c r="C40" s="1292" t="s">
        <v>401</v>
      </c>
      <c r="D40" s="1927"/>
      <c r="E40" s="1286"/>
    </row>
    <row r="41" spans="1:6" ht="14.25" customHeight="1" x14ac:dyDescent="0.2">
      <c r="A41" s="328"/>
      <c r="B41" s="328" t="s">
        <v>1513</v>
      </c>
      <c r="C41" s="1292" t="s">
        <v>401</v>
      </c>
      <c r="D41" s="1927"/>
      <c r="E41" s="1286"/>
    </row>
    <row r="42" spans="1:6" ht="14.25" customHeight="1" x14ac:dyDescent="0.2">
      <c r="A42" s="328" t="s">
        <v>1514</v>
      </c>
      <c r="B42" s="328"/>
      <c r="C42" s="1925" t="s">
        <v>401</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69"/>
      <c r="C50" s="1869"/>
      <c r="D50" s="1869"/>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J18" sqref="J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Sherrard CUSD 200</v>
      </c>
      <c r="C1" s="2467"/>
      <c r="D1" s="2467"/>
      <c r="E1" s="2467"/>
      <c r="F1" s="2467"/>
      <c r="G1" s="2467"/>
      <c r="H1" s="2467"/>
      <c r="I1" s="2467"/>
      <c r="J1" s="2467"/>
      <c r="K1" s="2467"/>
      <c r="L1" s="2467"/>
      <c r="M1" s="2467"/>
    </row>
    <row r="2" spans="2:14" ht="15" x14ac:dyDescent="0.2">
      <c r="B2" s="2464">
        <f>'Single Audit Cover'!E7</f>
        <v>49081200026</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2093</v>
      </c>
      <c r="C11" s="1338"/>
      <c r="D11" s="1339"/>
      <c r="E11" s="1340"/>
      <c r="F11" s="1340"/>
      <c r="G11" s="1340"/>
      <c r="H11" s="1340"/>
      <c r="I11" s="1340"/>
      <c r="J11" s="1340"/>
      <c r="K11" s="1340"/>
      <c r="L11" s="1340">
        <f>+G11+I11+K11</f>
        <v>0</v>
      </c>
      <c r="M11" s="1340"/>
    </row>
    <row r="12" spans="2:14" ht="20.100000000000001" customHeight="1" x14ac:dyDescent="0.2">
      <c r="B12" s="1337" t="s">
        <v>2094</v>
      </c>
      <c r="C12" s="1341"/>
      <c r="D12" s="1342"/>
      <c r="E12" s="1343"/>
      <c r="F12" s="1343"/>
      <c r="G12" s="1343"/>
      <c r="H12" s="1343"/>
      <c r="I12" s="1343"/>
      <c r="J12" s="1343"/>
      <c r="K12" s="1343"/>
      <c r="L12" s="1340">
        <f t="shared" ref="L12:L27" si="0">+G12+I12+K12</f>
        <v>0</v>
      </c>
      <c r="M12" s="1343"/>
    </row>
    <row r="13" spans="2:14" ht="20.100000000000001" customHeight="1" x14ac:dyDescent="0.2">
      <c r="B13" s="1337" t="s">
        <v>2095</v>
      </c>
      <c r="C13" s="1341"/>
      <c r="D13" s="1342"/>
      <c r="E13" s="1343"/>
      <c r="F13" s="1343"/>
      <c r="G13" s="1343"/>
      <c r="H13" s="1343"/>
      <c r="I13" s="1343"/>
      <c r="J13" s="1343"/>
      <c r="K13" s="1343"/>
      <c r="L13" s="1340">
        <f t="shared" si="0"/>
        <v>0</v>
      </c>
      <c r="M13" s="1343"/>
    </row>
    <row r="14" spans="2:14" ht="20.100000000000001" customHeight="1" x14ac:dyDescent="0.2">
      <c r="B14" s="1337" t="s">
        <v>2096</v>
      </c>
      <c r="C14" s="1341">
        <v>10.553000000000001</v>
      </c>
      <c r="D14" s="1342" t="s">
        <v>2102</v>
      </c>
      <c r="E14" s="1343">
        <v>39722</v>
      </c>
      <c r="F14" s="1343">
        <v>6877</v>
      </c>
      <c r="G14" s="1343">
        <v>39722</v>
      </c>
      <c r="H14" s="1343">
        <v>0</v>
      </c>
      <c r="I14" s="1343">
        <v>6877</v>
      </c>
      <c r="J14" s="1343">
        <v>0</v>
      </c>
      <c r="K14" s="1343">
        <v>0</v>
      </c>
      <c r="L14" s="1340">
        <f t="shared" si="0"/>
        <v>46599</v>
      </c>
      <c r="M14" s="1343" t="s">
        <v>2104</v>
      </c>
    </row>
    <row r="15" spans="2:14" ht="20.100000000000001" customHeight="1" x14ac:dyDescent="0.2">
      <c r="B15" s="1337" t="s">
        <v>2096</v>
      </c>
      <c r="C15" s="1341">
        <v>10.553000000000001</v>
      </c>
      <c r="D15" s="1342" t="s">
        <v>2152</v>
      </c>
      <c r="E15" s="1343">
        <v>0</v>
      </c>
      <c r="F15" s="1343">
        <v>37762</v>
      </c>
      <c r="G15" s="1343">
        <v>0</v>
      </c>
      <c r="H15" s="1343">
        <v>0</v>
      </c>
      <c r="I15" s="1343">
        <v>37762</v>
      </c>
      <c r="J15" s="1343">
        <v>0</v>
      </c>
      <c r="K15" s="1343">
        <v>0</v>
      </c>
      <c r="L15" s="1340">
        <f t="shared" si="0"/>
        <v>37762</v>
      </c>
      <c r="M15" s="1343" t="s">
        <v>2104</v>
      </c>
    </row>
    <row r="16" spans="2:14" ht="20.100000000000001" customHeight="1" x14ac:dyDescent="0.2">
      <c r="B16" s="1337" t="s">
        <v>2097</v>
      </c>
      <c r="C16" s="1341">
        <v>10.555</v>
      </c>
      <c r="D16" s="1342" t="s">
        <v>2103</v>
      </c>
      <c r="E16" s="1343">
        <v>170187</v>
      </c>
      <c r="F16" s="1343">
        <v>31381</v>
      </c>
      <c r="G16" s="1343">
        <v>170187</v>
      </c>
      <c r="H16" s="1343">
        <v>0</v>
      </c>
      <c r="I16" s="1343">
        <v>31381</v>
      </c>
      <c r="J16" s="1343">
        <v>0</v>
      </c>
      <c r="K16" s="1343">
        <v>0</v>
      </c>
      <c r="L16" s="1340">
        <f t="shared" si="0"/>
        <v>201568</v>
      </c>
      <c r="M16" s="1343" t="s">
        <v>2104</v>
      </c>
    </row>
    <row r="17" spans="2:14" ht="20.100000000000001" customHeight="1" x14ac:dyDescent="0.2">
      <c r="B17" s="1337" t="s">
        <v>2097</v>
      </c>
      <c r="C17" s="1341">
        <v>10.555</v>
      </c>
      <c r="D17" s="1342" t="s">
        <v>2153</v>
      </c>
      <c r="E17" s="1343">
        <v>0</v>
      </c>
      <c r="F17" s="1343">
        <v>157326</v>
      </c>
      <c r="G17" s="1343">
        <v>0</v>
      </c>
      <c r="H17" s="1343">
        <v>0</v>
      </c>
      <c r="I17" s="1343">
        <v>157326</v>
      </c>
      <c r="J17" s="1343">
        <v>0</v>
      </c>
      <c r="K17" s="1343">
        <v>0</v>
      </c>
      <c r="L17" s="1340">
        <f t="shared" si="0"/>
        <v>157326</v>
      </c>
      <c r="M17" s="1343" t="s">
        <v>2104</v>
      </c>
    </row>
    <row r="18" spans="2:14" ht="20.100000000000001" customHeight="1" x14ac:dyDescent="0.2">
      <c r="B18" s="1337" t="s">
        <v>2098</v>
      </c>
      <c r="C18" s="1341">
        <v>10.555</v>
      </c>
      <c r="D18" s="1342">
        <v>49081200026</v>
      </c>
      <c r="E18" s="1343">
        <v>0</v>
      </c>
      <c r="F18" s="1343">
        <v>34104</v>
      </c>
      <c r="G18" s="1343">
        <v>0</v>
      </c>
      <c r="H18" s="1343">
        <v>0</v>
      </c>
      <c r="I18" s="1343">
        <v>34104</v>
      </c>
      <c r="J18" s="1343">
        <v>0</v>
      </c>
      <c r="K18" s="1343">
        <v>0</v>
      </c>
      <c r="L18" s="1340">
        <f t="shared" si="0"/>
        <v>34104</v>
      </c>
      <c r="M18" s="1343" t="s">
        <v>2104</v>
      </c>
    </row>
    <row r="19" spans="2:14" ht="20.100000000000001" customHeight="1" x14ac:dyDescent="0.2">
      <c r="B19" s="1337" t="s">
        <v>2099</v>
      </c>
      <c r="C19" s="1341">
        <v>10.555</v>
      </c>
      <c r="D19" s="1342">
        <v>49081200026</v>
      </c>
      <c r="E19" s="1343">
        <v>0</v>
      </c>
      <c r="F19" s="1343">
        <v>13030</v>
      </c>
      <c r="G19" s="1343">
        <v>0</v>
      </c>
      <c r="H19" s="1343">
        <v>0</v>
      </c>
      <c r="I19" s="1343">
        <v>13030</v>
      </c>
      <c r="J19" s="1343">
        <v>0</v>
      </c>
      <c r="K19" s="1343">
        <v>0</v>
      </c>
      <c r="L19" s="1340">
        <f t="shared" si="0"/>
        <v>13030</v>
      </c>
      <c r="M19" s="1343" t="s">
        <v>2104</v>
      </c>
    </row>
    <row r="20" spans="2:14" ht="20.100000000000001" customHeight="1" x14ac:dyDescent="0.2">
      <c r="B20" s="1337" t="s">
        <v>2100</v>
      </c>
      <c r="C20" s="1341"/>
      <c r="D20" s="1342"/>
      <c r="E20" s="1343">
        <f>E14+E15+E16+E17+E18+E19</f>
        <v>209909</v>
      </c>
      <c r="F20" s="1343">
        <f>+F14+F15+F16+F17+F18+F19</f>
        <v>280480</v>
      </c>
      <c r="G20" s="1343">
        <f>+G14+G15+G16+G17+G18+G19</f>
        <v>209909</v>
      </c>
      <c r="H20" s="1343">
        <v>0</v>
      </c>
      <c r="I20" s="1343">
        <f>+I14+I15+I16+I17+I18+I19</f>
        <v>280480</v>
      </c>
      <c r="J20" s="1343">
        <f>+J14+J15+J16+J17+J18+J19</f>
        <v>0</v>
      </c>
      <c r="K20" s="1343">
        <f>+K14+K15+K16+K17+K18+K19</f>
        <v>0</v>
      </c>
      <c r="L20" s="1340">
        <f t="shared" si="0"/>
        <v>490389</v>
      </c>
      <c r="M20" s="1343" t="s">
        <v>2104</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2101</v>
      </c>
      <c r="C22" s="1341"/>
      <c r="D22" s="1342"/>
      <c r="E22" s="1343">
        <f>E20</f>
        <v>209909</v>
      </c>
      <c r="F22" s="1343">
        <f>+F20</f>
        <v>280480</v>
      </c>
      <c r="G22" s="1343">
        <f>+G20</f>
        <v>209909</v>
      </c>
      <c r="H22" s="1343">
        <v>0</v>
      </c>
      <c r="I22" s="1343">
        <f>+I20</f>
        <v>280480</v>
      </c>
      <c r="J22" s="1343">
        <f>+J20</f>
        <v>0</v>
      </c>
      <c r="K22" s="1343">
        <f>+K20</f>
        <v>0</v>
      </c>
      <c r="L22" s="1340">
        <f t="shared" si="0"/>
        <v>490389</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2082</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21" sqref="B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Sherrard CUSD 200</v>
      </c>
      <c r="C1" s="2467"/>
      <c r="D1" s="2467"/>
      <c r="E1" s="2467"/>
      <c r="F1" s="2467"/>
      <c r="G1" s="2467"/>
      <c r="H1" s="2467"/>
      <c r="I1" s="2467"/>
      <c r="J1" s="2467"/>
      <c r="K1" s="2467"/>
      <c r="L1" s="2467"/>
      <c r="M1" s="2467"/>
    </row>
    <row r="2" spans="2:14" ht="15" x14ac:dyDescent="0.2">
      <c r="B2" s="2464">
        <f>'Single Audit Cover'!E7</f>
        <v>49081200026</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2106</v>
      </c>
      <c r="C12" s="1341"/>
      <c r="D12" s="1342"/>
      <c r="E12" s="1343"/>
      <c r="F12" s="1343"/>
      <c r="G12" s="1343"/>
      <c r="H12" s="1343"/>
      <c r="I12" s="1343"/>
      <c r="J12" s="1343"/>
      <c r="K12" s="1343"/>
      <c r="L12" s="1340">
        <f t="shared" ref="L12:L27" si="0">+G12+I12+K12</f>
        <v>0</v>
      </c>
      <c r="M12" s="1343"/>
    </row>
    <row r="13" spans="2:14" ht="20.100000000000001" customHeight="1" x14ac:dyDescent="0.2">
      <c r="B13" s="1337" t="s">
        <v>2157</v>
      </c>
      <c r="C13" s="1341" t="s">
        <v>2109</v>
      </c>
      <c r="D13" s="1342" t="s">
        <v>2112</v>
      </c>
      <c r="E13" s="1343">
        <v>157639</v>
      </c>
      <c r="F13" s="1343">
        <v>62476</v>
      </c>
      <c r="G13" s="1343">
        <v>209016</v>
      </c>
      <c r="H13" s="1343">
        <v>0</v>
      </c>
      <c r="I13" s="1343">
        <v>11099</v>
      </c>
      <c r="J13" s="1343">
        <v>0</v>
      </c>
      <c r="K13" s="1343">
        <v>0</v>
      </c>
      <c r="L13" s="1340">
        <f t="shared" si="0"/>
        <v>220115</v>
      </c>
      <c r="M13" s="1343">
        <v>239292</v>
      </c>
    </row>
    <row r="14" spans="2:14" ht="20.100000000000001" customHeight="1" x14ac:dyDescent="0.2">
      <c r="B14" s="1337" t="s">
        <v>2157</v>
      </c>
      <c r="C14" s="1341" t="s">
        <v>2109</v>
      </c>
      <c r="D14" s="1342" t="s">
        <v>2154</v>
      </c>
      <c r="E14" s="1343">
        <v>0</v>
      </c>
      <c r="F14" s="1343">
        <v>144978</v>
      </c>
      <c r="G14" s="1343">
        <v>0</v>
      </c>
      <c r="H14" s="1343">
        <v>0</v>
      </c>
      <c r="I14" s="1343">
        <v>210515</v>
      </c>
      <c r="J14" s="1343">
        <v>0</v>
      </c>
      <c r="K14" s="1343">
        <v>0</v>
      </c>
      <c r="L14" s="1340">
        <f t="shared" si="0"/>
        <v>210515</v>
      </c>
      <c r="M14" s="1343">
        <v>232695</v>
      </c>
    </row>
    <row r="15" spans="2:14" ht="20.100000000000001" customHeight="1" x14ac:dyDescent="0.2">
      <c r="B15" s="1337" t="s">
        <v>2168</v>
      </c>
      <c r="C15" s="1341" t="s">
        <v>2110</v>
      </c>
      <c r="D15" s="1342" t="s">
        <v>2113</v>
      </c>
      <c r="E15" s="1343">
        <v>29748</v>
      </c>
      <c r="F15" s="1343">
        <v>17861</v>
      </c>
      <c r="G15" s="1343">
        <v>47609</v>
      </c>
      <c r="H15" s="1343">
        <v>0</v>
      </c>
      <c r="I15" s="1343">
        <v>0</v>
      </c>
      <c r="J15" s="1343">
        <v>0</v>
      </c>
      <c r="K15" s="1343">
        <v>0</v>
      </c>
      <c r="L15" s="1340">
        <f t="shared" si="0"/>
        <v>47609</v>
      </c>
      <c r="M15" s="1343">
        <v>49545</v>
      </c>
    </row>
    <row r="16" spans="2:14" ht="20.100000000000001" customHeight="1" x14ac:dyDescent="0.2">
      <c r="B16" s="1337" t="s">
        <v>2168</v>
      </c>
      <c r="C16" s="1341" t="s">
        <v>2110</v>
      </c>
      <c r="D16" s="1342" t="s">
        <v>2155</v>
      </c>
      <c r="E16" s="1343">
        <v>0</v>
      </c>
      <c r="F16" s="1343">
        <v>31511</v>
      </c>
      <c r="G16" s="1343">
        <v>0</v>
      </c>
      <c r="H16" s="1343">
        <v>0</v>
      </c>
      <c r="I16" s="1343">
        <v>47133</v>
      </c>
      <c r="J16" s="1343">
        <v>0</v>
      </c>
      <c r="K16" s="1343">
        <v>0</v>
      </c>
      <c r="L16" s="1340">
        <f t="shared" si="0"/>
        <v>47133</v>
      </c>
      <c r="M16" s="1343">
        <v>53082</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2107</v>
      </c>
      <c r="C19" s="1341"/>
      <c r="D19" s="1342"/>
      <c r="E19" s="1343"/>
      <c r="F19" s="1343"/>
      <c r="G19" s="1343"/>
      <c r="H19" s="1343"/>
      <c r="I19" s="1343"/>
      <c r="J19" s="1343"/>
      <c r="K19" s="1343"/>
      <c r="L19" s="1340">
        <f t="shared" si="0"/>
        <v>0</v>
      </c>
      <c r="M19" s="1343"/>
    </row>
    <row r="20" spans="2:14" ht="20.100000000000001" customHeight="1" x14ac:dyDescent="0.2">
      <c r="B20" s="1337" t="s">
        <v>2172</v>
      </c>
      <c r="C20" s="1341" t="s">
        <v>2111</v>
      </c>
      <c r="D20" s="1342" t="s">
        <v>2156</v>
      </c>
      <c r="E20" s="1343">
        <v>0</v>
      </c>
      <c r="F20" s="1343">
        <v>241836</v>
      </c>
      <c r="G20" s="1343">
        <v>0</v>
      </c>
      <c r="H20" s="1343">
        <v>0</v>
      </c>
      <c r="I20" s="1343">
        <v>241836</v>
      </c>
      <c r="J20" s="1343">
        <v>0</v>
      </c>
      <c r="K20" s="1343">
        <v>0</v>
      </c>
      <c r="L20" s="1340">
        <f t="shared" si="0"/>
        <v>241836</v>
      </c>
      <c r="M20" s="1343">
        <v>241836</v>
      </c>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2108</v>
      </c>
      <c r="C23" s="1341"/>
      <c r="D23" s="1342"/>
      <c r="E23" s="1343">
        <f t="shared" ref="E23:K23" si="1">+E13+E14+E15+E16+E20</f>
        <v>187387</v>
      </c>
      <c r="F23" s="1343">
        <f t="shared" si="1"/>
        <v>498662</v>
      </c>
      <c r="G23" s="1343">
        <f t="shared" si="1"/>
        <v>256625</v>
      </c>
      <c r="H23" s="1343">
        <f t="shared" si="1"/>
        <v>0</v>
      </c>
      <c r="I23" s="1343">
        <f t="shared" si="1"/>
        <v>510583</v>
      </c>
      <c r="J23" s="1343">
        <f t="shared" si="1"/>
        <v>0</v>
      </c>
      <c r="K23" s="1343">
        <f t="shared" si="1"/>
        <v>0</v>
      </c>
      <c r="L23" s="1340">
        <f>+L13+L14+L15+L16+L18+L19+L20</f>
        <v>767208</v>
      </c>
      <c r="M23" s="1343"/>
    </row>
    <row r="24" spans="2:14" ht="20.100000000000001" customHeight="1" x14ac:dyDescent="0.2">
      <c r="B24" s="1337" t="s">
        <v>2167</v>
      </c>
      <c r="C24" s="1341"/>
      <c r="D24" s="1342"/>
      <c r="E24" s="1343"/>
      <c r="F24" s="1343"/>
      <c r="G24" s="1343"/>
      <c r="H24" s="1343"/>
      <c r="I24" s="1343"/>
      <c r="J24" s="1343"/>
      <c r="K24" s="1343"/>
      <c r="L24" s="1340">
        <f t="shared" si="0"/>
        <v>0</v>
      </c>
      <c r="M24" s="1343"/>
    </row>
    <row r="25" spans="2:14" ht="20.100000000000001" customHeight="1" x14ac:dyDescent="0.2">
      <c r="B25" s="1337" t="s">
        <v>2169</v>
      </c>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O18" sqref="O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Sherrard CUSD 200</v>
      </c>
      <c r="C1" s="2467"/>
      <c r="D1" s="2467"/>
      <c r="E1" s="2467"/>
      <c r="F1" s="2467"/>
      <c r="G1" s="2467"/>
      <c r="H1" s="2467"/>
      <c r="I1" s="2467"/>
      <c r="J1" s="2467"/>
      <c r="K1" s="2467"/>
      <c r="L1" s="2467"/>
      <c r="M1" s="2467"/>
    </row>
    <row r="2" spans="2:14" ht="15" x14ac:dyDescent="0.2">
      <c r="B2" s="2464">
        <f>'Single Audit Cover'!E7</f>
        <v>49081200026</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2114</v>
      </c>
      <c r="C11" s="1338"/>
      <c r="D11" s="1339"/>
      <c r="E11" s="1340"/>
      <c r="F11" s="1340"/>
      <c r="G11" s="1340"/>
      <c r="H11" s="1340"/>
      <c r="I11" s="1340"/>
      <c r="J11" s="1340"/>
      <c r="K11" s="1340"/>
      <c r="L11" s="1340">
        <f>+G11+I11+K11</f>
        <v>0</v>
      </c>
      <c r="M11" s="1340"/>
    </row>
    <row r="12" spans="2:14" ht="20.100000000000001" customHeight="1" x14ac:dyDescent="0.2">
      <c r="B12" s="1337" t="s">
        <v>2115</v>
      </c>
      <c r="C12" s="1341"/>
      <c r="D12" s="1342"/>
      <c r="E12" s="1343"/>
      <c r="F12" s="1343"/>
      <c r="G12" s="1343"/>
      <c r="H12" s="1343"/>
      <c r="I12" s="1343"/>
      <c r="J12" s="1343"/>
      <c r="K12" s="1343"/>
      <c r="L12" s="1340">
        <f t="shared" ref="L12:L27" si="0">+G12+I12+K12</f>
        <v>0</v>
      </c>
      <c r="M12" s="1343"/>
    </row>
    <row r="13" spans="2:14" ht="20.100000000000001" customHeight="1" x14ac:dyDescent="0.2">
      <c r="B13" s="1337" t="s">
        <v>2116</v>
      </c>
      <c r="C13" s="1341">
        <v>93.778000000000006</v>
      </c>
      <c r="D13" s="1342" t="s">
        <v>2158</v>
      </c>
      <c r="E13" s="1343">
        <v>0</v>
      </c>
      <c r="F13" s="1343">
        <v>21825</v>
      </c>
      <c r="G13" s="1343">
        <v>0</v>
      </c>
      <c r="H13" s="1343">
        <v>0</v>
      </c>
      <c r="I13" s="1343">
        <v>21825</v>
      </c>
      <c r="J13" s="1343">
        <v>0</v>
      </c>
      <c r="K13" s="1343">
        <v>0</v>
      </c>
      <c r="L13" s="1340">
        <f t="shared" si="0"/>
        <v>21825</v>
      </c>
      <c r="M13" s="1343" t="s">
        <v>2104</v>
      </c>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c r="C15" s="1341"/>
      <c r="D15" s="1342"/>
      <c r="E15" s="1343"/>
      <c r="F15" s="1343"/>
      <c r="G15" s="1343"/>
      <c r="H15" s="1343"/>
      <c r="I15" s="1343"/>
      <c r="J15" s="1343"/>
      <c r="K15" s="1343"/>
      <c r="L15" s="1340">
        <f t="shared" si="0"/>
        <v>0</v>
      </c>
      <c r="M15" s="1343"/>
    </row>
    <row r="16" spans="2:14" ht="20.100000000000001" customHeight="1" x14ac:dyDescent="0.2">
      <c r="B16" s="1337" t="s">
        <v>2117</v>
      </c>
      <c r="C16" s="1341"/>
      <c r="D16" s="1342"/>
      <c r="E16" s="1343">
        <f>+' SEFA'!E22+' SEFA2'!E23+' SEFA3'!E13</f>
        <v>397296</v>
      </c>
      <c r="F16" s="1343">
        <f>+' SEFA'!F22+' SEFA2'!F23+' SEFA3'!F13</f>
        <v>800967</v>
      </c>
      <c r="G16" s="1343">
        <f>+' SEFA'!G22+' SEFA2'!G23+' SEFA3'!G13</f>
        <v>466534</v>
      </c>
      <c r="H16" s="1343">
        <f>+' SEFA'!H22+' SEFA2'!H23+' SEFA3'!H13</f>
        <v>0</v>
      </c>
      <c r="I16" s="1343">
        <f>+' SEFA'!I22+' SEFA2'!I23+' SEFA3'!I13</f>
        <v>812888</v>
      </c>
      <c r="J16" s="1343">
        <f>+' SEFA'!J22+' SEFA2'!J23+' SEFA3'!J13</f>
        <v>0</v>
      </c>
      <c r="K16" s="1343">
        <f>+' SEFA'!K22+' SEFA2'!K23+' SEFA3'!K13</f>
        <v>0</v>
      </c>
      <c r="L16" s="1340">
        <f t="shared" si="0"/>
        <v>1279422</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52" zoomScale="110" zoomScaleNormal="110" workbookViewId="0">
      <selection activeCell="P41" sqref="P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Sherrard CUSD 200</v>
      </c>
      <c r="C1" s="2485"/>
      <c r="D1" s="2485"/>
      <c r="E1" s="2485"/>
      <c r="F1" s="2485"/>
      <c r="G1" s="2485"/>
      <c r="H1" s="2485"/>
      <c r="I1" s="2485"/>
      <c r="J1" s="1422"/>
    </row>
    <row r="2" spans="2:10" s="317" customFormat="1" ht="12.75" customHeight="1" x14ac:dyDescent="0.2">
      <c r="B2" s="2486">
        <f>'Single Audit Cover'!E7</f>
        <v>49081200026</v>
      </c>
      <c r="C2" s="2487"/>
      <c r="D2" s="2487"/>
      <c r="E2" s="2487"/>
      <c r="F2" s="2487"/>
      <c r="G2" s="2487"/>
      <c r="H2" s="2487"/>
      <c r="I2" s="2487"/>
      <c r="J2" s="1422"/>
    </row>
    <row r="3" spans="2:10" s="317" customFormat="1" ht="12.75" customHeight="1" x14ac:dyDescent="0.2">
      <c r="B3" s="2488" t="s">
        <v>1347</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1346</v>
      </c>
      <c r="C7" s="2489"/>
      <c r="D7" s="2489"/>
      <c r="E7" s="2489"/>
      <c r="F7" s="2489"/>
      <c r="G7" s="2489"/>
      <c r="H7" s="2489"/>
      <c r="I7" s="248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0" t="s">
        <v>2092</v>
      </c>
      <c r="D11" s="249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1" t="s">
        <v>2092</v>
      </c>
      <c r="E29" s="2491"/>
      <c r="F29" s="2491"/>
      <c r="G29" s="2491"/>
      <c r="H29" s="2491"/>
      <c r="I29" s="2491"/>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2" t="s">
        <v>1851</v>
      </c>
      <c r="D37" s="2493"/>
      <c r="E37" s="2493"/>
      <c r="F37" s="2494"/>
      <c r="G37" s="2492" t="s">
        <v>1674</v>
      </c>
      <c r="H37" s="2493"/>
      <c r="I37" s="2494"/>
    </row>
    <row r="38" spans="2:9" ht="16.5" customHeight="1" x14ac:dyDescent="0.2">
      <c r="B38" s="1444"/>
      <c r="C38" s="2481" t="s">
        <v>2118</v>
      </c>
      <c r="D38" s="2482"/>
      <c r="E38" s="2482"/>
      <c r="F38" s="2483"/>
      <c r="G38" s="2495"/>
      <c r="H38" s="2496"/>
      <c r="I38" s="2497"/>
    </row>
    <row r="39" spans="2:9" ht="16.5" customHeight="1" x14ac:dyDescent="0.2">
      <c r="B39" s="1444">
        <v>10.553000000000001</v>
      </c>
      <c r="C39" s="2477" t="s">
        <v>1119</v>
      </c>
      <c r="D39" s="2478"/>
      <c r="E39" s="2478"/>
      <c r="F39" s="2479"/>
      <c r="G39" s="2480">
        <v>44639</v>
      </c>
      <c r="H39" s="2480"/>
      <c r="I39" s="2480"/>
    </row>
    <row r="40" spans="2:9" ht="16.5" customHeight="1" x14ac:dyDescent="0.2">
      <c r="B40" s="1444">
        <v>10.555</v>
      </c>
      <c r="C40" s="2477" t="s">
        <v>1118</v>
      </c>
      <c r="D40" s="2478"/>
      <c r="E40" s="2478"/>
      <c r="F40" s="2479"/>
      <c r="G40" s="2480">
        <v>188707</v>
      </c>
      <c r="H40" s="2480"/>
      <c r="I40" s="2480"/>
    </row>
    <row r="41" spans="2:9" ht="16.5" customHeight="1" x14ac:dyDescent="0.2">
      <c r="B41" s="1444">
        <v>10.555</v>
      </c>
      <c r="C41" s="2477" t="s">
        <v>2119</v>
      </c>
      <c r="D41" s="2478"/>
      <c r="E41" s="2478"/>
      <c r="F41" s="2479"/>
      <c r="G41" s="2480">
        <v>47134</v>
      </c>
      <c r="H41" s="2480"/>
      <c r="I41" s="2480"/>
    </row>
    <row r="42" spans="2:9" ht="16.5" customHeight="1" x14ac:dyDescent="0.2">
      <c r="B42" s="1444" t="s">
        <v>2111</v>
      </c>
      <c r="C42" s="2481" t="s">
        <v>2120</v>
      </c>
      <c r="D42" s="2482"/>
      <c r="E42" s="2482"/>
      <c r="F42" s="2483"/>
      <c r="G42" s="2480">
        <v>241836</v>
      </c>
      <c r="H42" s="2480"/>
      <c r="I42" s="2480"/>
    </row>
    <row r="43" spans="2:9" ht="16.5" customHeight="1" x14ac:dyDescent="0.2">
      <c r="B43" s="1444"/>
      <c r="C43" s="2470" t="s">
        <v>1675</v>
      </c>
      <c r="D43" s="2471"/>
      <c r="E43" s="2471"/>
      <c r="F43" s="2472"/>
      <c r="G43" s="2473">
        <f>SUM(G38:I42)</f>
        <v>522316</v>
      </c>
      <c r="H43" s="2473"/>
      <c r="I43" s="2473"/>
    </row>
    <row r="44" spans="2:9" ht="12.75" customHeight="1" x14ac:dyDescent="0.2"/>
    <row r="45" spans="2:9" ht="12.75" customHeight="1" x14ac:dyDescent="0.2">
      <c r="B45" s="1435" t="s">
        <v>1949</v>
      </c>
      <c r="D45" s="2474">
        <f>+' SEFA3'!I16</f>
        <v>812888</v>
      </c>
      <c r="E45" s="2475"/>
    </row>
    <row r="46" spans="2:9" ht="5.25" customHeight="1" x14ac:dyDescent="0.2">
      <c r="B46" s="1445"/>
      <c r="D46" s="1446"/>
      <c r="E46" s="1447"/>
    </row>
    <row r="47" spans="2:9" ht="12.75" customHeight="1" x14ac:dyDescent="0.2">
      <c r="B47" s="1300" t="s">
        <v>1676</v>
      </c>
      <c r="C47" s="1300"/>
      <c r="D47" s="1448">
        <f>+G43/D45</f>
        <v>0.642543622245623</v>
      </c>
      <c r="E47" s="1449"/>
      <c r="F47" s="1450"/>
      <c r="I47" s="1451"/>
    </row>
    <row r="48" spans="2:9" ht="9.9499999999999993" customHeight="1" x14ac:dyDescent="0.2"/>
    <row r="49" spans="1:9" x14ac:dyDescent="0.2">
      <c r="B49" s="1368" t="s">
        <v>1335</v>
      </c>
      <c r="C49" s="1282"/>
      <c r="D49" s="1282"/>
      <c r="E49" s="2476">
        <v>750000</v>
      </c>
      <c r="F49" s="2476"/>
      <c r="G49" s="2476"/>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zoomScale="110" zoomScaleNormal="110" workbookViewId="0">
      <selection activeCell="B31" sqref="B31:K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Sherrard CUSD 200</v>
      </c>
      <c r="C1" s="2484"/>
      <c r="D1" s="2484"/>
      <c r="E1" s="2484"/>
      <c r="F1" s="2484"/>
      <c r="G1" s="2484"/>
      <c r="H1" s="2484"/>
      <c r="I1" s="2484"/>
      <c r="J1" s="2484"/>
      <c r="K1" s="2484"/>
      <c r="L1" s="1374"/>
      <c r="M1" s="1374"/>
    </row>
    <row r="2" spans="1:13" ht="12" customHeight="1" x14ac:dyDescent="0.2">
      <c r="B2" s="2486">
        <f>'Single Audit Cover'!E7</f>
        <v>49081200026</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35.25" customHeight="1" x14ac:dyDescent="0.2">
      <c r="B14" s="2499" t="s">
        <v>2121</v>
      </c>
      <c r="C14" s="2499"/>
      <c r="D14" s="2499"/>
      <c r="E14" s="2499"/>
      <c r="F14" s="2499"/>
      <c r="G14" s="2499"/>
      <c r="H14" s="2499"/>
      <c r="I14" s="2499"/>
      <c r="J14" s="2499"/>
      <c r="K14" s="2499"/>
      <c r="L14" s="1397"/>
    </row>
    <row r="15" spans="1:13" s="1282" customFormat="1" ht="13.5" customHeight="1" x14ac:dyDescent="0.2">
      <c r="B15" s="1393" t="s">
        <v>1357</v>
      </c>
      <c r="C15" s="1393"/>
      <c r="D15" s="1394"/>
      <c r="E15" s="1394"/>
      <c r="F15" s="1394"/>
      <c r="G15" s="1395"/>
      <c r="H15" s="1394"/>
      <c r="I15" s="1395"/>
      <c r="J15" s="1394"/>
      <c r="K15" s="1394"/>
      <c r="L15" s="1396"/>
    </row>
    <row r="16" spans="1:13" ht="24.75" customHeight="1" x14ac:dyDescent="0.2">
      <c r="B16" s="2499" t="s">
        <v>2122</v>
      </c>
      <c r="C16" s="2499"/>
      <c r="D16" s="2499"/>
      <c r="E16" s="2499"/>
      <c r="F16" s="2499"/>
      <c r="G16" s="2499"/>
      <c r="H16" s="2499"/>
      <c r="I16" s="2499"/>
      <c r="J16" s="2499"/>
      <c r="K16" s="2499"/>
      <c r="L16" s="1381"/>
    </row>
    <row r="17" spans="2:12" ht="4.5" customHeight="1" x14ac:dyDescent="0.2">
      <c r="B17" s="1398"/>
      <c r="C17" s="1398"/>
      <c r="L17" s="1381"/>
    </row>
    <row r="18" spans="2:12" s="1282" customFormat="1" ht="13.5" customHeight="1" x14ac:dyDescent="0.2">
      <c r="B18" s="1393" t="s">
        <v>1843</v>
      </c>
      <c r="C18" s="1393"/>
      <c r="D18" s="1394"/>
      <c r="E18" s="1394"/>
      <c r="F18" s="1394"/>
      <c r="G18" s="1395"/>
      <c r="H18" s="1394"/>
      <c r="I18" s="1395"/>
      <c r="J18" s="1394"/>
      <c r="K18" s="1394"/>
      <c r="L18" s="1396"/>
    </row>
    <row r="19" spans="2:12" ht="77.25" customHeight="1" x14ac:dyDescent="0.2">
      <c r="B19" s="2503" t="s">
        <v>2209</v>
      </c>
      <c r="C19" s="2503"/>
      <c r="D19" s="2499"/>
      <c r="E19" s="2499"/>
      <c r="F19" s="2499"/>
      <c r="G19" s="2499"/>
      <c r="H19" s="2499"/>
      <c r="I19" s="2499"/>
      <c r="J19" s="2499"/>
      <c r="K19" s="2499"/>
      <c r="L19" s="1381"/>
    </row>
    <row r="20" spans="2:12" ht="4.5" customHeight="1" x14ac:dyDescent="0.2">
      <c r="B20" s="1400"/>
      <c r="C20" s="1400"/>
      <c r="L20" s="1381"/>
    </row>
    <row r="21" spans="2:12" ht="13.5" customHeight="1" x14ac:dyDescent="0.2">
      <c r="B21" s="1393" t="s">
        <v>1356</v>
      </c>
      <c r="C21" s="1393"/>
      <c r="D21" s="1379"/>
      <c r="E21" s="1379"/>
      <c r="F21" s="1379"/>
      <c r="G21" s="1380"/>
      <c r="H21" s="1379"/>
      <c r="I21" s="1380"/>
      <c r="J21" s="1379"/>
      <c r="K21" s="1379"/>
      <c r="L21" s="1381"/>
    </row>
    <row r="22" spans="2:12" ht="16.5" customHeight="1" x14ac:dyDescent="0.2">
      <c r="B22" s="2499" t="s">
        <v>2123</v>
      </c>
      <c r="C22" s="2499"/>
      <c r="D22" s="2499"/>
      <c r="E22" s="2499"/>
      <c r="F22" s="2499"/>
      <c r="G22" s="2499"/>
      <c r="H22" s="2499"/>
      <c r="I22" s="2499"/>
      <c r="J22" s="2499"/>
      <c r="K22" s="2499"/>
      <c r="L22" s="1381"/>
    </row>
    <row r="23" spans="2:12" ht="4.5" customHeight="1" x14ac:dyDescent="0.2">
      <c r="B23" s="1398"/>
      <c r="C23" s="1398"/>
      <c r="L23" s="1381"/>
    </row>
    <row r="24" spans="2:12" ht="13.5" customHeight="1" x14ac:dyDescent="0.2">
      <c r="B24" s="1393" t="s">
        <v>1355</v>
      </c>
      <c r="C24" s="1393"/>
      <c r="D24" s="1379"/>
      <c r="E24" s="1379"/>
      <c r="F24" s="1379"/>
      <c r="G24" s="1380"/>
      <c r="H24" s="1379"/>
      <c r="I24" s="1380"/>
      <c r="J24" s="1379"/>
      <c r="K24" s="1379"/>
      <c r="L24" s="1381"/>
    </row>
    <row r="25" spans="2:12" ht="33.75" customHeight="1" x14ac:dyDescent="0.2">
      <c r="B25" s="2499" t="s">
        <v>2124</v>
      </c>
      <c r="C25" s="2499"/>
      <c r="D25" s="2499"/>
      <c r="E25" s="2499"/>
      <c r="F25" s="2499"/>
      <c r="G25" s="2499"/>
      <c r="H25" s="2499"/>
      <c r="I25" s="2499"/>
      <c r="J25" s="2499"/>
      <c r="K25" s="2499"/>
      <c r="L25" s="1381"/>
    </row>
    <row r="26" spans="2:12" ht="4.5" customHeight="1" x14ac:dyDescent="0.2">
      <c r="B26" s="1398"/>
      <c r="C26" s="1398"/>
      <c r="L26" s="1381"/>
    </row>
    <row r="27" spans="2:12" ht="13.5" customHeight="1" x14ac:dyDescent="0.2">
      <c r="B27" s="1401" t="s">
        <v>1354</v>
      </c>
      <c r="C27" s="1401"/>
      <c r="D27" s="1379"/>
      <c r="E27" s="1379"/>
      <c r="F27" s="1379"/>
      <c r="G27" s="1380"/>
      <c r="H27" s="1379"/>
      <c r="I27" s="1380"/>
      <c r="J27" s="1379"/>
      <c r="K27" s="1379"/>
      <c r="L27" s="1381"/>
    </row>
    <row r="28" spans="2:12" ht="297.75" customHeight="1" x14ac:dyDescent="0.2">
      <c r="B28" s="2498" t="s">
        <v>2125</v>
      </c>
      <c r="C28" s="2498"/>
      <c r="D28" s="2499"/>
      <c r="E28" s="2499"/>
      <c r="F28" s="2499"/>
      <c r="G28" s="2499"/>
      <c r="H28" s="2499"/>
      <c r="I28" s="2499"/>
      <c r="J28" s="2499"/>
      <c r="K28" s="2499"/>
      <c r="L28" s="1381"/>
    </row>
    <row r="29" spans="2:12" ht="4.5" customHeight="1" x14ac:dyDescent="0.2">
      <c r="B29" s="1402"/>
      <c r="C29" s="1402"/>
      <c r="D29" s="322"/>
      <c r="E29" s="322"/>
      <c r="F29" s="322"/>
      <c r="G29" s="1383"/>
      <c r="H29" s="322"/>
      <c r="I29" s="1383"/>
      <c r="J29" s="322"/>
      <c r="K29" s="322"/>
      <c r="L29" s="1381"/>
    </row>
    <row r="30" spans="2:12" s="322" customFormat="1" ht="13.5" customHeight="1" x14ac:dyDescent="0.2">
      <c r="B30" s="1403" t="s">
        <v>1844</v>
      </c>
      <c r="C30" s="1403"/>
      <c r="D30" s="1378"/>
      <c r="E30" s="1379"/>
      <c r="F30" s="1379"/>
      <c r="G30" s="1380"/>
      <c r="H30" s="1379"/>
      <c r="I30" s="1380"/>
      <c r="J30" s="1379"/>
      <c r="K30" s="1379"/>
      <c r="L30" s="1381"/>
    </row>
    <row r="31" spans="2:12" s="322" customFormat="1" ht="81.75" customHeight="1" x14ac:dyDescent="0.2">
      <c r="B31" s="2498" t="s">
        <v>2126</v>
      </c>
      <c r="C31" s="2498"/>
      <c r="D31" s="2499"/>
      <c r="E31" s="2499"/>
      <c r="F31" s="2499"/>
      <c r="G31" s="2499"/>
      <c r="H31" s="2499"/>
      <c r="I31" s="2499"/>
      <c r="J31" s="2499"/>
      <c r="K31" s="2499"/>
      <c r="L31" s="1381"/>
    </row>
    <row r="32" spans="2:12" s="322" customFormat="1" ht="4.5" customHeight="1" x14ac:dyDescent="0.2">
      <c r="B32" s="1402"/>
      <c r="C32" s="1402"/>
      <c r="G32" s="1383"/>
      <c r="I32" s="1383"/>
      <c r="L32" s="1381"/>
    </row>
    <row r="33" spans="2:13" ht="11.85" customHeight="1" x14ac:dyDescent="0.2">
      <c r="B33" s="1419" t="s">
        <v>1845</v>
      </c>
      <c r="C33" s="1419"/>
      <c r="D33" s="322"/>
      <c r="E33" s="322"/>
      <c r="F33" s="322"/>
      <c r="L33" s="1381"/>
    </row>
    <row r="34" spans="2:13" ht="9.6" customHeight="1" x14ac:dyDescent="0.2">
      <c r="B34" s="1300" t="s">
        <v>1951</v>
      </c>
      <c r="C34" s="1300"/>
      <c r="L34" s="1381"/>
    </row>
    <row r="35" spans="2:13" ht="9.6" customHeight="1" x14ac:dyDescent="0.2">
      <c r="B35" s="1300" t="s">
        <v>1952</v>
      </c>
      <c r="C35" s="1300"/>
    </row>
    <row r="36" spans="2:13" ht="11.85" customHeight="1" x14ac:dyDescent="0.2">
      <c r="B36" s="1420" t="s">
        <v>1846</v>
      </c>
      <c r="C36" s="1420"/>
    </row>
    <row r="37" spans="2:13" ht="9.6" customHeight="1" x14ac:dyDescent="0.2">
      <c r="B37" s="1300" t="s">
        <v>1348</v>
      </c>
      <c r="C37" s="1300"/>
      <c r="M37" s="1421"/>
    </row>
    <row r="38" spans="2:13" ht="12.6" customHeight="1" x14ac:dyDescent="0.2">
      <c r="B38" s="1420" t="s">
        <v>1847</v>
      </c>
      <c r="C38" s="1420"/>
      <c r="M38" s="1421"/>
    </row>
    <row r="39" spans="2:13" ht="9.6" customHeight="1" x14ac:dyDescent="0.2">
      <c r="B39" s="1300"/>
      <c r="C39" s="1300"/>
      <c r="M39" s="1421"/>
    </row>
  </sheetData>
  <mergeCells count="12">
    <mergeCell ref="B31:K31"/>
    <mergeCell ref="B1:K1"/>
    <mergeCell ref="B2:K2"/>
    <mergeCell ref="B3:K3"/>
    <mergeCell ref="B4:K4"/>
    <mergeCell ref="B7:K7"/>
    <mergeCell ref="B14:K14"/>
    <mergeCell ref="B16:K16"/>
    <mergeCell ref="B19:K19"/>
    <mergeCell ref="B22:K22"/>
    <mergeCell ref="B25:K25"/>
    <mergeCell ref="B28:K28"/>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Sherrard CUSD 200</v>
      </c>
      <c r="C1" s="2484"/>
      <c r="D1" s="2484"/>
      <c r="E1" s="2484"/>
      <c r="F1" s="2484"/>
      <c r="G1" s="2484"/>
      <c r="H1" s="2484"/>
      <c r="I1" s="2484"/>
      <c r="J1" s="2484"/>
      <c r="K1" s="2484"/>
      <c r="L1" s="1374"/>
      <c r="M1" s="1374"/>
    </row>
    <row r="2" spans="1:13" ht="12" customHeight="1" x14ac:dyDescent="0.2">
      <c r="B2" s="2486">
        <f>'Single Audit Cover'!E7</f>
        <v>49081200026</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955"/>
      <c r="M3" s="1955"/>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30" customHeight="1" x14ac:dyDescent="0.2">
      <c r="B14" s="2499" t="s">
        <v>2121</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12.75" customHeight="1" x14ac:dyDescent="0.2">
      <c r="B17" s="2499" t="s">
        <v>2127</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81.75" customHeight="1" x14ac:dyDescent="0.2">
      <c r="B20" s="2503" t="s">
        <v>2210</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12.75" customHeight="1" x14ac:dyDescent="0.2">
      <c r="B23" s="2499" t="s">
        <v>2123</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12" customHeight="1" x14ac:dyDescent="0.2">
      <c r="B26" s="2499" t="s">
        <v>2128</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181.5" customHeight="1" x14ac:dyDescent="0.2">
      <c r="B29" s="2498" t="s">
        <v>2129</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76.5" customHeight="1" x14ac:dyDescent="0.2">
      <c r="B32" s="2498" t="s">
        <v>2130</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hidden="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Sherrard CUSD 200</v>
      </c>
      <c r="C1" s="2484"/>
      <c r="D1" s="2484"/>
      <c r="E1" s="2484"/>
      <c r="F1" s="2484"/>
      <c r="G1" s="2484"/>
      <c r="H1" s="2484"/>
      <c r="I1" s="2484"/>
      <c r="J1" s="2484"/>
      <c r="K1" s="2484"/>
      <c r="L1" s="1374"/>
      <c r="M1" s="1374"/>
    </row>
    <row r="2" spans="1:13" ht="12" customHeight="1" x14ac:dyDescent="0.2">
      <c r="B2" s="2486">
        <f>'Single Audit Cover'!E7</f>
        <v>49081200026</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955"/>
      <c r="M3" s="1955"/>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3</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28.5" customHeight="1" x14ac:dyDescent="0.2">
      <c r="B14" s="2499" t="s">
        <v>2131</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17.25" customHeight="1" x14ac:dyDescent="0.2">
      <c r="B17" s="2499" t="s">
        <v>2132</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3" t="s">
        <v>2133</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17.25" customHeight="1" x14ac:dyDescent="0.2">
      <c r="B23" s="2499" t="s">
        <v>2123</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18" customHeight="1" x14ac:dyDescent="0.2">
      <c r="B26" s="2499" t="s">
        <v>2134</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114" customHeight="1" x14ac:dyDescent="0.2">
      <c r="B29" s="2498" t="s">
        <v>2135</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129" customHeight="1" x14ac:dyDescent="0.2">
      <c r="B32" s="2498" t="s">
        <v>2136</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Sherrard CUSD 200</v>
      </c>
      <c r="C1" s="2484"/>
      <c r="D1" s="2484"/>
      <c r="E1" s="2484"/>
      <c r="F1" s="2484"/>
      <c r="G1" s="2484"/>
      <c r="H1" s="2484"/>
      <c r="I1" s="2484"/>
      <c r="J1" s="2484"/>
      <c r="K1" s="2484"/>
      <c r="L1" s="1374"/>
      <c r="M1" s="1374"/>
    </row>
    <row r="2" spans="1:13" ht="12" customHeight="1" x14ac:dyDescent="0.2">
      <c r="B2" s="2486">
        <f>'Single Audit Cover'!E7</f>
        <v>49081200026</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955"/>
      <c r="M3" s="1955"/>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4</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4.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27" customHeight="1" x14ac:dyDescent="0.2">
      <c r="B14" s="2499" t="s">
        <v>2131</v>
      </c>
      <c r="C14" s="2499"/>
      <c r="D14" s="2499"/>
      <c r="E14" s="2499"/>
      <c r="F14" s="2499"/>
      <c r="G14" s="2499"/>
      <c r="H14" s="2499"/>
      <c r="I14" s="2499"/>
      <c r="J14" s="2499"/>
      <c r="K14" s="2499"/>
      <c r="L14" s="1397"/>
    </row>
    <row r="15" spans="1:13" ht="4.5" hidden="1"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15" customHeight="1" x14ac:dyDescent="0.2">
      <c r="B17" s="2499" t="s">
        <v>2137</v>
      </c>
      <c r="C17" s="2499"/>
      <c r="D17" s="2499"/>
      <c r="E17" s="2499"/>
      <c r="F17" s="2499"/>
      <c r="G17" s="2499"/>
      <c r="H17" s="2499"/>
      <c r="I17" s="2499"/>
      <c r="J17" s="2499"/>
      <c r="K17" s="2499"/>
      <c r="L17" s="1381"/>
    </row>
    <row r="18" spans="2:12" ht="0.7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39" customHeight="1" x14ac:dyDescent="0.2">
      <c r="B20" s="2503" t="s">
        <v>2138</v>
      </c>
      <c r="C20" s="2503"/>
      <c r="D20" s="2499"/>
      <c r="E20" s="2499"/>
      <c r="F20" s="2499"/>
      <c r="G20" s="2499"/>
      <c r="H20" s="2499"/>
      <c r="I20" s="2499"/>
      <c r="J20" s="2499"/>
      <c r="K20" s="2499"/>
      <c r="L20" s="1381"/>
    </row>
    <row r="21" spans="2:12" ht="1.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15" customHeight="1" x14ac:dyDescent="0.2">
      <c r="B23" s="2499" t="s">
        <v>2139</v>
      </c>
      <c r="C23" s="2499"/>
      <c r="D23" s="2499"/>
      <c r="E23" s="2499"/>
      <c r="F23" s="2499"/>
      <c r="G23" s="2499"/>
      <c r="H23" s="2499"/>
      <c r="I23" s="2499"/>
      <c r="J23" s="2499"/>
      <c r="K23" s="2499"/>
      <c r="L23" s="1381"/>
    </row>
    <row r="24" spans="2:12" ht="4.5" hidden="1"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16.5" customHeight="1" x14ac:dyDescent="0.2">
      <c r="B26" s="2499" t="s">
        <v>2140</v>
      </c>
      <c r="C26" s="2499"/>
      <c r="D26" s="2499"/>
      <c r="E26" s="2499"/>
      <c r="F26" s="2499"/>
      <c r="G26" s="2499"/>
      <c r="H26" s="2499"/>
      <c r="I26" s="2499"/>
      <c r="J26" s="2499"/>
      <c r="K26" s="2499"/>
      <c r="L26" s="1381"/>
    </row>
    <row r="27" spans="2:12" ht="0.7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168.75" customHeight="1" x14ac:dyDescent="0.2">
      <c r="B29" s="2498" t="s">
        <v>2170</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147.75" customHeight="1" x14ac:dyDescent="0.2">
      <c r="B32" s="2498" t="s">
        <v>2141</v>
      </c>
      <c r="C32" s="2498"/>
      <c r="D32" s="2499"/>
      <c r="E32" s="2499"/>
      <c r="F32" s="2499"/>
      <c r="G32" s="2499"/>
      <c r="H32" s="2499"/>
      <c r="I32" s="2499"/>
      <c r="J32" s="2499"/>
      <c r="K32" s="2499"/>
      <c r="L32" s="1381"/>
    </row>
    <row r="33" spans="1:13" s="322" customFormat="1" ht="4.5" hidden="1" customHeight="1" x14ac:dyDescent="0.2">
      <c r="B33" s="1402"/>
      <c r="C33" s="1402"/>
      <c r="G33" s="1383"/>
      <c r="I33" s="1383"/>
      <c r="L33" s="1381"/>
    </row>
    <row r="34" spans="1:13" s="322" customFormat="1" ht="6" hidden="1" customHeigh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Sherrard CUSD 200</v>
      </c>
      <c r="C1" s="2507"/>
      <c r="D1" s="2507"/>
      <c r="E1" s="2507"/>
      <c r="F1" s="2507"/>
      <c r="G1" s="2507"/>
      <c r="H1" s="2507"/>
      <c r="I1" s="2507"/>
      <c r="J1" s="2507"/>
      <c r="K1" s="2507"/>
      <c r="L1" s="1465"/>
    </row>
    <row r="2" spans="1:12" ht="12.75" customHeight="1" x14ac:dyDescent="0.2">
      <c r="B2" s="2508">
        <f>'Single Audit Cover'!E7</f>
        <v>49081200026</v>
      </c>
      <c r="C2" s="2508"/>
      <c r="D2" s="2508"/>
      <c r="E2" s="2508"/>
      <c r="F2" s="2508"/>
      <c r="G2" s="2508"/>
      <c r="H2" s="2508"/>
      <c r="I2" s="2508"/>
      <c r="J2" s="2508"/>
      <c r="K2" s="2508"/>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2142</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1"/>
  <sheetViews>
    <sheetView showGridLines="0" zoomScale="110" zoomScaleNormal="110" workbookViewId="0">
      <selection activeCell="A29" sqref="A29:XFD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Sherrard CUSD 200</v>
      </c>
      <c r="C1" s="2484"/>
      <c r="D1" s="2484"/>
      <c r="E1" s="1491"/>
    </row>
    <row r="2" spans="2:5" s="1282" customFormat="1" ht="12.75" customHeight="1" x14ac:dyDescent="0.2">
      <c r="B2" s="2486">
        <f>'Single Audit Cover'!E7</f>
        <v>49081200026</v>
      </c>
      <c r="C2" s="2486"/>
      <c r="D2" s="2486"/>
      <c r="E2" s="1492"/>
    </row>
    <row r="3" spans="2:5" ht="12.75" customHeight="1" x14ac:dyDescent="0.2">
      <c r="B3" s="2500" t="s">
        <v>1866</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32.25" customHeight="1" x14ac:dyDescent="0.2">
      <c r="B7" s="1496" t="s">
        <v>2143</v>
      </c>
      <c r="C7" s="1956" t="s">
        <v>2147</v>
      </c>
      <c r="D7" s="324" t="s">
        <v>2174</v>
      </c>
      <c r="E7" s="324"/>
    </row>
    <row r="8" spans="2:5" ht="25.5" customHeight="1" x14ac:dyDescent="0.2">
      <c r="B8" s="1496" t="s">
        <v>2144</v>
      </c>
      <c r="C8" s="1956" t="s">
        <v>2148</v>
      </c>
      <c r="D8" s="324" t="s">
        <v>2175</v>
      </c>
      <c r="E8" s="324"/>
    </row>
    <row r="9" spans="2:5" ht="25.5" customHeight="1" x14ac:dyDescent="0.2">
      <c r="B9" s="1497" t="s">
        <v>2145</v>
      </c>
      <c r="C9" s="1957" t="s">
        <v>2149</v>
      </c>
      <c r="D9" s="323" t="s">
        <v>2176</v>
      </c>
      <c r="E9" s="323"/>
    </row>
    <row r="10" spans="2:5" ht="27" customHeight="1" x14ac:dyDescent="0.2">
      <c r="B10" s="1496" t="s">
        <v>2146</v>
      </c>
      <c r="C10" s="1957" t="s">
        <v>2150</v>
      </c>
      <c r="D10" s="323" t="s">
        <v>2177</v>
      </c>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8"/>
      <c r="C30" s="323"/>
      <c r="D30" s="323"/>
      <c r="E30" s="323"/>
    </row>
    <row r="31" spans="2:5" ht="13.5" customHeight="1" x14ac:dyDescent="0.2">
      <c r="B31" s="1499"/>
      <c r="C31" s="323"/>
      <c r="D31" s="323"/>
      <c r="E31" s="323"/>
    </row>
    <row r="32" spans="2:5" ht="13.5" customHeight="1" x14ac:dyDescent="0.2">
      <c r="B32" s="1500"/>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500"/>
      <c r="C35" s="323"/>
      <c r="D35" s="323"/>
      <c r="E35" s="323"/>
    </row>
    <row r="36" spans="2:5" ht="13.5" customHeight="1" x14ac:dyDescent="0.2">
      <c r="B36" s="1499"/>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1"/>
      <c r="C39" s="323"/>
      <c r="D39" s="323"/>
      <c r="E39" s="323"/>
    </row>
    <row r="40" spans="2:5" ht="13.5" customHeight="1" x14ac:dyDescent="0.2">
      <c r="B40" s="1502"/>
      <c r="C40" s="323"/>
      <c r="D40" s="323"/>
      <c r="E40" s="323"/>
    </row>
    <row r="41" spans="2:5" ht="12.75" customHeight="1" x14ac:dyDescent="0.2">
      <c r="B41" s="1503"/>
      <c r="C41" s="1504"/>
      <c r="D41" s="1504"/>
      <c r="E41" s="323"/>
    </row>
    <row r="42" spans="2:5" ht="12.2" customHeight="1" x14ac:dyDescent="0.2">
      <c r="B42" s="1257" t="s">
        <v>1380</v>
      </c>
      <c r="C42" s="322"/>
    </row>
    <row r="43" spans="2:5" ht="12.2" customHeight="1" x14ac:dyDescent="0.2">
      <c r="B43" s="1505" t="s">
        <v>1869</v>
      </c>
    </row>
    <row r="44" spans="2:5" ht="12.2" customHeight="1" x14ac:dyDescent="0.2">
      <c r="B44" s="1505" t="s">
        <v>1870</v>
      </c>
    </row>
    <row r="45" spans="2:5" ht="12.2" customHeight="1" x14ac:dyDescent="0.2">
      <c r="B45" s="1506" t="s">
        <v>1379</v>
      </c>
    </row>
    <row r="46" spans="2:5" ht="12.2" customHeight="1" x14ac:dyDescent="0.2">
      <c r="B46" s="1506" t="s">
        <v>1378</v>
      </c>
    </row>
    <row r="47" spans="2:5" ht="12.2" customHeight="1" x14ac:dyDescent="0.2">
      <c r="B47" s="1506" t="s">
        <v>1377</v>
      </c>
    </row>
    <row r="48" spans="2:5" ht="12.2" customHeight="1" x14ac:dyDescent="0.2">
      <c r="B48" s="1506" t="s">
        <v>1376</v>
      </c>
    </row>
    <row r="51" spans="2:5" ht="12.75" customHeight="1" x14ac:dyDescent="0.2"/>
    <row r="52" spans="2:5" ht="12.75" customHeight="1" x14ac:dyDescent="0.2">
      <c r="B52" s="1267"/>
    </row>
    <row r="53" spans="2:5" ht="12.75" customHeight="1" x14ac:dyDescent="0.2"/>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5" spans="2:2" x14ac:dyDescent="0.2">
      <c r="B65" s="1419"/>
    </row>
    <row r="66" spans="2:2" x14ac:dyDescent="0.2">
      <c r="B66" s="1300"/>
    </row>
    <row r="67" spans="2:2" x14ac:dyDescent="0.2">
      <c r="B67" s="1300"/>
    </row>
    <row r="68" spans="2:2" x14ac:dyDescent="0.2">
      <c r="B68" s="1420"/>
    </row>
    <row r="69" spans="2:2" x14ac:dyDescent="0.2">
      <c r="B69" s="1420"/>
    </row>
    <row r="70" spans="2:2" x14ac:dyDescent="0.2">
      <c r="B70" s="1420"/>
    </row>
    <row r="71" spans="2:2" x14ac:dyDescent="0.2">
      <c r="B71"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166579321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2.5378999999999999E-2</v>
      </c>
      <c r="E10" s="356" t="s">
        <v>1062</v>
      </c>
      <c r="F10" s="355">
        <v>4.8999999999999998E-3</v>
      </c>
      <c r="G10" s="356" t="s">
        <v>1062</v>
      </c>
      <c r="H10" s="355">
        <v>1.9599999999999999E-3</v>
      </c>
      <c r="I10" s="356" t="s">
        <v>1063</v>
      </c>
      <c r="J10" s="1754">
        <f>ROUND(D10+F10+H10,5)</f>
        <v>3.2239999999999998E-2</v>
      </c>
      <c r="K10" s="222"/>
      <c r="L10" s="355">
        <v>4.8999999999999998E-3</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11780489</v>
      </c>
      <c r="E16" s="356"/>
      <c r="F16" s="1755">
        <f>SUM('Acct Summary 7-8'!C17,'Acct Summary 7-8'!D17,'Acct Summary 7-8'!F17)</f>
        <v>13069322</v>
      </c>
      <c r="G16" s="356"/>
      <c r="H16" s="1755">
        <f>SUM(D16-F16)</f>
        <v>-1288833</v>
      </c>
      <c r="I16" s="222"/>
      <c r="J16" s="1755">
        <f>SUM('Acct Summary 7-8'!C81,'Acct Summary 7-8'!D81,'Acct Summary 7-8'!F81,'Acct Summary 7-8'!I81)</f>
        <v>8907220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22987946.298</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5968875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32" sqref="K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Sherrard CUSD 200</v>
      </c>
      <c r="E7" s="391"/>
      <c r="G7" s="252"/>
      <c r="H7" s="387"/>
      <c r="I7" s="387"/>
      <c r="J7" s="387"/>
      <c r="K7" s="387"/>
      <c r="L7" s="329"/>
      <c r="M7" s="329"/>
      <c r="N7" s="329"/>
      <c r="O7" s="329"/>
      <c r="P7" s="329"/>
    </row>
    <row r="8" spans="1:18" ht="12.75" x14ac:dyDescent="0.2">
      <c r="A8" s="329"/>
      <c r="B8" s="329"/>
      <c r="C8" s="389" t="s">
        <v>1187</v>
      </c>
      <c r="D8" s="392">
        <f>COVER!A13</f>
        <v>49081200026</v>
      </c>
      <c r="E8" s="393"/>
      <c r="G8" s="329"/>
      <c r="H8" s="329"/>
      <c r="I8" s="329"/>
      <c r="J8" s="329"/>
      <c r="K8" s="329"/>
      <c r="L8" s="329"/>
      <c r="M8" s="329"/>
      <c r="N8" s="329"/>
      <c r="O8" s="329"/>
      <c r="P8" s="329"/>
    </row>
    <row r="9" spans="1:18" ht="12.75" x14ac:dyDescent="0.2">
      <c r="A9" s="329"/>
      <c r="B9" s="329"/>
      <c r="C9" s="389" t="s">
        <v>737</v>
      </c>
      <c r="D9" s="394" t="str">
        <f>COVER!A15</f>
        <v>Mercer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8907220</v>
      </c>
      <c r="I12" s="404"/>
      <c r="J12" s="404"/>
      <c r="K12" s="405">
        <f>TRUNC((H12/H13*100000),5)/100000</f>
        <v>0.75609934349999997</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11780489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13069322</v>
      </c>
      <c r="I17" s="404"/>
      <c r="J17" s="416"/>
      <c r="K17" s="405">
        <f>TRUNC((H17/H18*100000),5)/100000</f>
        <v>1.1094040323000001</v>
      </c>
      <c r="L17" s="406"/>
      <c r="M17" s="417" t="s">
        <v>1233</v>
      </c>
      <c r="O17" s="418" t="str">
        <f>IF(AND(O16="2", J20 &gt; 2),"1",IF(AND(O16 = "1", J20 &gt; 2),"2",IF(AND(O16="1", J20 &gt;1),"1","0")))</f>
        <v>1</v>
      </c>
      <c r="P17" s="218"/>
    </row>
    <row r="18" spans="1:18" s="408" customFormat="1" ht="11.25" x14ac:dyDescent="0.2">
      <c r="A18" s="218"/>
      <c r="B18" s="401"/>
      <c r="C18" s="2122" t="s">
        <v>1384</v>
      </c>
      <c r="D18" s="2123"/>
      <c r="E18" s="218"/>
      <c r="F18" s="419" t="s">
        <v>827</v>
      </c>
      <c r="G18" s="402"/>
      <c r="H18" s="403">
        <f>SUM('Acct Summary 7-8'!C8+'Acct Summary 7-8'!D8+'Acct Summary 7-8'!F8+'Acct Summary 7-8'!I8)+H19</f>
        <v>11780489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5.9970306999999998</v>
      </c>
      <c r="K20" s="405">
        <f>IF(K17&lt;=1,"0",IF(AND(O16="2", J20 &gt; 2),TRUNC(((K12-0.1)/(K17-1)*100),5)/100,IF(AND(O16 = "1", J20 &gt; 2),TRUNC(((K12-0.1)/(K17-1)*100),5)/100,IF(AND(O16="1", J20 &gt;1),TRUNC(((K12-0.1)/(K17-1)*100),5)/100,""))))</f>
        <v>5.9970306999999998</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8907220</v>
      </c>
      <c r="I24" s="422"/>
      <c r="J24" s="422"/>
      <c r="K24" s="423">
        <f>TRUNC(((H24/H25*100000)/100000),2)</f>
        <v>245.35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36303.67222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4564939.7126799999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5968875</v>
      </c>
      <c r="I32" s="420"/>
      <c r="J32" s="420"/>
      <c r="K32" s="423">
        <f>TRUNC(100-((((H32/H33*100))*100)/100),2)</f>
        <v>74.03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22987946.298</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v>2433208</v>
      </c>
      <c r="D4" s="466">
        <v>367834</v>
      </c>
      <c r="E4" s="466">
        <v>134045</v>
      </c>
      <c r="F4" s="466">
        <v>723010</v>
      </c>
      <c r="G4" s="466">
        <v>442128</v>
      </c>
      <c r="H4" s="466">
        <v>517252</v>
      </c>
      <c r="I4" s="466">
        <v>238034</v>
      </c>
      <c r="J4" s="467">
        <v>240870</v>
      </c>
      <c r="K4" s="466">
        <v>643210</v>
      </c>
      <c r="L4" s="466">
        <v>205628</v>
      </c>
      <c r="M4" s="468"/>
      <c r="N4" s="469"/>
    </row>
    <row r="5" spans="1:14" x14ac:dyDescent="0.2">
      <c r="A5" s="463" t="s">
        <v>1049</v>
      </c>
      <c r="B5" s="470">
        <v>120</v>
      </c>
      <c r="C5" s="465">
        <v>4186073</v>
      </c>
      <c r="D5" s="466">
        <v>54638</v>
      </c>
      <c r="E5" s="466">
        <v>785</v>
      </c>
      <c r="F5" s="466">
        <v>716497</v>
      </c>
      <c r="G5" s="466"/>
      <c r="H5" s="466"/>
      <c r="I5" s="466">
        <v>187926</v>
      </c>
      <c r="J5" s="467"/>
      <c r="K5" s="471">
        <v>84</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6619281</v>
      </c>
      <c r="D13" s="1759">
        <f t="shared" ref="D13:L13" si="0">SUM(D4:D12)</f>
        <v>422472</v>
      </c>
      <c r="E13" s="1759">
        <f t="shared" si="0"/>
        <v>134830</v>
      </c>
      <c r="F13" s="1759">
        <f t="shared" si="0"/>
        <v>1439507</v>
      </c>
      <c r="G13" s="1759">
        <f t="shared" si="0"/>
        <v>442128</v>
      </c>
      <c r="H13" s="1759">
        <f t="shared" si="0"/>
        <v>517252</v>
      </c>
      <c r="I13" s="1759">
        <f t="shared" si="0"/>
        <v>425960</v>
      </c>
      <c r="J13" s="1759">
        <f t="shared" si="0"/>
        <v>240870</v>
      </c>
      <c r="K13" s="1759">
        <f t="shared" si="0"/>
        <v>643294</v>
      </c>
      <c r="L13" s="1759">
        <f t="shared" si="0"/>
        <v>205628</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322047</v>
      </c>
      <c r="N16" s="484"/>
    </row>
    <row r="17" spans="1:14" s="485" customFormat="1" ht="12.75" customHeight="1" x14ac:dyDescent="0.2">
      <c r="A17" s="482" t="s">
        <v>1470</v>
      </c>
      <c r="B17" s="483">
        <v>230</v>
      </c>
      <c r="C17" s="477"/>
      <c r="D17" s="477"/>
      <c r="E17" s="477"/>
      <c r="F17" s="477"/>
      <c r="G17" s="477"/>
      <c r="H17" s="477"/>
      <c r="I17" s="477"/>
      <c r="J17" s="477"/>
      <c r="K17" s="477"/>
      <c r="L17" s="477"/>
      <c r="M17" s="467">
        <v>25511107</v>
      </c>
      <c r="N17" s="484"/>
    </row>
    <row r="18" spans="1:14" s="485" customFormat="1" ht="12.75" customHeight="1" x14ac:dyDescent="0.2">
      <c r="A18" s="482" t="s">
        <v>1471</v>
      </c>
      <c r="B18" s="483">
        <v>240</v>
      </c>
      <c r="C18" s="477"/>
      <c r="D18" s="477"/>
      <c r="E18" s="477"/>
      <c r="F18" s="477"/>
      <c r="G18" s="477"/>
      <c r="H18" s="477"/>
      <c r="I18" s="477"/>
      <c r="J18" s="477"/>
      <c r="K18" s="477"/>
      <c r="L18" s="477"/>
      <c r="M18" s="467">
        <v>4494884</v>
      </c>
      <c r="N18" s="484"/>
    </row>
    <row r="19" spans="1:14" s="485" customFormat="1" ht="12.75" customHeight="1" x14ac:dyDescent="0.2">
      <c r="A19" s="482" t="s">
        <v>1472</v>
      </c>
      <c r="B19" s="483">
        <v>250</v>
      </c>
      <c r="C19" s="477"/>
      <c r="D19" s="477"/>
      <c r="E19" s="477"/>
      <c r="F19" s="477"/>
      <c r="G19" s="477"/>
      <c r="H19" s="477"/>
      <c r="I19" s="477"/>
      <c r="J19" s="477"/>
      <c r="K19" s="477"/>
      <c r="L19" s="477"/>
      <c r="M19" s="467">
        <v>5507438</v>
      </c>
      <c r="N19" s="484"/>
    </row>
    <row r="20" spans="1:14" s="485" customFormat="1" ht="12.75" customHeight="1" x14ac:dyDescent="0.2">
      <c r="A20" s="482" t="s">
        <v>1473</v>
      </c>
      <c r="B20" s="483">
        <v>260</v>
      </c>
      <c r="C20" s="477"/>
      <c r="D20" s="477"/>
      <c r="E20" s="477"/>
      <c r="F20" s="477"/>
      <c r="G20" s="477"/>
      <c r="H20" s="477"/>
      <c r="I20" s="477"/>
      <c r="J20" s="477"/>
      <c r="K20" s="477"/>
      <c r="L20" s="477"/>
      <c r="M20" s="467">
        <v>77533</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134830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5834045</v>
      </c>
    </row>
    <row r="23" spans="1:14" ht="13.5" customHeight="1" thickBot="1" x14ac:dyDescent="0.25">
      <c r="A23" s="1758" t="s">
        <v>664</v>
      </c>
      <c r="B23" s="1763"/>
      <c r="C23" s="468"/>
      <c r="D23" s="468"/>
      <c r="E23" s="468"/>
      <c r="F23" s="468"/>
      <c r="G23" s="468"/>
      <c r="H23" s="468"/>
      <c r="I23" s="468"/>
      <c r="J23" s="468"/>
      <c r="K23" s="468"/>
      <c r="L23" s="468"/>
      <c r="M23" s="1710">
        <f>SUM(M15:M22)</f>
        <v>35913009</v>
      </c>
      <c r="N23" s="1710">
        <f>SUM(N21:N22)</f>
        <v>5968875</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205628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205628</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5968875</v>
      </c>
    </row>
    <row r="37" spans="1:14" ht="13.5" thickBot="1" x14ac:dyDescent="0.25">
      <c r="A37" s="1758" t="s">
        <v>674</v>
      </c>
      <c r="B37" s="1763"/>
      <c r="C37" s="477"/>
      <c r="D37" s="477"/>
      <c r="E37" s="477"/>
      <c r="F37" s="477"/>
      <c r="G37" s="477"/>
      <c r="H37" s="477"/>
      <c r="I37" s="477"/>
      <c r="J37" s="477"/>
      <c r="K37" s="477"/>
      <c r="L37" s="480"/>
      <c r="M37" s="468"/>
      <c r="N37" s="1710">
        <f>SUM(N36:N36)</f>
        <v>5968875</v>
      </c>
    </row>
    <row r="38" spans="1:14" s="329" customFormat="1" ht="13.5" customHeight="1" thickTop="1" x14ac:dyDescent="0.2">
      <c r="A38" s="496" t="s">
        <v>440</v>
      </c>
      <c r="B38" s="483">
        <v>714</v>
      </c>
      <c r="C38" s="466"/>
      <c r="D38" s="466"/>
      <c r="E38" s="466">
        <v>134830</v>
      </c>
      <c r="F38" s="466">
        <v>1439507</v>
      </c>
      <c r="G38" s="466">
        <v>442128</v>
      </c>
      <c r="H38" s="466">
        <v>517252</v>
      </c>
      <c r="I38" s="466">
        <v>425960</v>
      </c>
      <c r="J38" s="467">
        <v>240870</v>
      </c>
      <c r="K38" s="466">
        <v>643294</v>
      </c>
      <c r="L38" s="481"/>
      <c r="M38" s="497"/>
      <c r="N38" s="497"/>
    </row>
    <row r="39" spans="1:14" s="329" customFormat="1" ht="13.5" customHeight="1" x14ac:dyDescent="0.2">
      <c r="A39" s="496" t="s">
        <v>360</v>
      </c>
      <c r="B39" s="483">
        <v>730</v>
      </c>
      <c r="C39" s="466">
        <v>6619281</v>
      </c>
      <c r="D39" s="466">
        <v>422472</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35913009</v>
      </c>
      <c r="N40" s="497"/>
    </row>
    <row r="41" spans="1:14" ht="13.5" customHeight="1" thickBot="1" x14ac:dyDescent="0.25">
      <c r="A41" s="1758" t="s">
        <v>676</v>
      </c>
      <c r="B41" s="1728"/>
      <c r="C41" s="1710">
        <f>(SUM(C34,C37,C38,C39))</f>
        <v>6619281</v>
      </c>
      <c r="D41" s="1710">
        <f t="shared" ref="D41:L41" si="2">SUM(D34,D37,D38:D39)</f>
        <v>422472</v>
      </c>
      <c r="E41" s="1710">
        <f t="shared" si="2"/>
        <v>134830</v>
      </c>
      <c r="F41" s="1710">
        <f t="shared" si="2"/>
        <v>1439507</v>
      </c>
      <c r="G41" s="1710">
        <f t="shared" si="2"/>
        <v>442128</v>
      </c>
      <c r="H41" s="1710">
        <f t="shared" si="2"/>
        <v>517252</v>
      </c>
      <c r="I41" s="1710">
        <f t="shared" si="2"/>
        <v>425960</v>
      </c>
      <c r="J41" s="1710">
        <f t="shared" si="2"/>
        <v>240870</v>
      </c>
      <c r="K41" s="1710">
        <f t="shared" si="2"/>
        <v>643294</v>
      </c>
      <c r="L41" s="1710">
        <f t="shared" si="2"/>
        <v>205628</v>
      </c>
      <c r="M41" s="1710">
        <f>SUM(M40)</f>
        <v>35913009</v>
      </c>
      <c r="N41" s="1710">
        <f>SUM(N37)</f>
        <v>5968875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3" t="s">
        <v>1579</v>
      </c>
      <c r="B4" s="1954">
        <v>1000</v>
      </c>
      <c r="C4" s="1764">
        <f>'Revenues 9-14'!C109</f>
        <v>3567123</v>
      </c>
      <c r="D4" s="1764">
        <f>'Revenues 9-14'!D109</f>
        <v>690699</v>
      </c>
      <c r="E4" s="1764">
        <f>'Revenues 9-14'!E109</f>
        <v>714535</v>
      </c>
      <c r="F4" s="1764">
        <f>'Revenues 9-14'!F109</f>
        <v>218517</v>
      </c>
      <c r="G4" s="1764">
        <f>'Revenues 9-14'!G109</f>
        <v>395904</v>
      </c>
      <c r="H4" s="1764">
        <f>'Revenues 9-14'!H109</f>
        <v>422076</v>
      </c>
      <c r="I4" s="1764">
        <f>'Revenues 9-14'!I109</f>
        <v>53592</v>
      </c>
      <c r="J4" s="1764">
        <f>'Revenues 9-14'!J109</f>
        <v>328499</v>
      </c>
      <c r="K4" s="1764">
        <f>'Revenues 9-14'!K109</f>
        <v>56499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5688180</v>
      </c>
      <c r="D6" s="1765">
        <f>'Revenues 9-14'!D173</f>
        <v>100000</v>
      </c>
      <c r="E6" s="1765">
        <f>'Revenues 9-14'!E173</f>
        <v>0</v>
      </c>
      <c r="F6" s="1765">
        <f>'Revenues 9-14'!F173</f>
        <v>696815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765563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10020866</v>
      </c>
      <c r="D8" s="1710">
        <f t="shared" ref="D8:K8" si="0">SUM(D4:D7)</f>
        <v>790699</v>
      </c>
      <c r="E8" s="1710">
        <f t="shared" si="0"/>
        <v>714535</v>
      </c>
      <c r="F8" s="1710">
        <f t="shared" si="0"/>
        <v>915332</v>
      </c>
      <c r="G8" s="1710">
        <f t="shared" si="0"/>
        <v>395904</v>
      </c>
      <c r="H8" s="1710">
        <f t="shared" si="0"/>
        <v>422076</v>
      </c>
      <c r="I8" s="1710">
        <f t="shared" si="0"/>
        <v>53592</v>
      </c>
      <c r="J8" s="1710">
        <f t="shared" si="0"/>
        <v>328499</v>
      </c>
      <c r="K8" s="1710">
        <f t="shared" si="0"/>
        <v>56499</v>
      </c>
      <c r="L8" s="347"/>
    </row>
    <row r="9" spans="1:13" ht="15.75" thickTop="1" x14ac:dyDescent="0.2">
      <c r="A9" s="514" t="s">
        <v>1752</v>
      </c>
      <c r="B9" s="515">
        <v>3998</v>
      </c>
      <c r="C9" s="481">
        <v>5030190</v>
      </c>
      <c r="D9" s="516"/>
      <c r="E9" s="481"/>
      <c r="F9" s="481"/>
      <c r="G9" s="517"/>
      <c r="H9" s="481"/>
      <c r="I9" s="509" t="s">
        <v>1231</v>
      </c>
      <c r="J9" s="478"/>
      <c r="K9" s="481"/>
      <c r="L9" s="347"/>
    </row>
    <row r="10" spans="1:13" s="519" customFormat="1" ht="13.5" thickBot="1" x14ac:dyDescent="0.25">
      <c r="A10" s="1758" t="s">
        <v>1235</v>
      </c>
      <c r="B10" s="1731"/>
      <c r="C10" s="1710">
        <f>SUM(C8:C9)</f>
        <v>15051056</v>
      </c>
      <c r="D10" s="1710">
        <f t="shared" ref="D10:K10" si="1">SUM(D8:D9)</f>
        <v>790699</v>
      </c>
      <c r="E10" s="1710">
        <f t="shared" si="1"/>
        <v>714535</v>
      </c>
      <c r="F10" s="1710">
        <f t="shared" si="1"/>
        <v>915332</v>
      </c>
      <c r="G10" s="1710">
        <f t="shared" si="1"/>
        <v>395904</v>
      </c>
      <c r="H10" s="1710">
        <f t="shared" si="1"/>
        <v>422076</v>
      </c>
      <c r="I10" s="1710">
        <f t="shared" si="1"/>
        <v>53592</v>
      </c>
      <c r="J10" s="1710">
        <f t="shared" si="1"/>
        <v>328499</v>
      </c>
      <c r="K10" s="1710">
        <f t="shared" si="1"/>
        <v>56499</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4">
        <f>'Expenditures 15-22'!K33</f>
        <v>7859939</v>
      </c>
      <c r="D12" s="520" t="s">
        <v>1231</v>
      </c>
      <c r="E12" s="468" t="s">
        <v>1231</v>
      </c>
      <c r="F12" s="468" t="s">
        <v>1231</v>
      </c>
      <c r="G12" s="1764">
        <f>'Expenditures 15-22'!K229</f>
        <v>173270</v>
      </c>
      <c r="H12" s="521"/>
      <c r="I12" s="468" t="s">
        <v>1231</v>
      </c>
      <c r="J12" s="468" t="s">
        <v>1231</v>
      </c>
      <c r="K12" s="521" t="s">
        <v>1231</v>
      </c>
      <c r="L12" s="347"/>
    </row>
    <row r="13" spans="1:13" ht="15.75" customHeight="1" x14ac:dyDescent="0.2">
      <c r="A13" s="1598" t="s">
        <v>477</v>
      </c>
      <c r="B13" s="1600">
        <v>2000</v>
      </c>
      <c r="C13" s="1765">
        <f>'Expenditures 15-22'!K74</f>
        <v>2979756</v>
      </c>
      <c r="D13" s="1765">
        <f>'Expenditures 15-22'!K129</f>
        <v>1133171</v>
      </c>
      <c r="E13" s="469" t="s">
        <v>1231</v>
      </c>
      <c r="F13" s="1765">
        <f>'Expenditures 15-22'!K184</f>
        <v>881365</v>
      </c>
      <c r="G13" s="1765">
        <f>'Expenditures 15-22'!K279</f>
        <v>310485</v>
      </c>
      <c r="H13" s="1765">
        <f>'Expenditures 15-22'!K303</f>
        <v>145490</v>
      </c>
      <c r="I13" s="468" t="s">
        <v>1231</v>
      </c>
      <c r="J13" s="1765">
        <f>'Expenditures 15-22'!K330</f>
        <v>371852</v>
      </c>
      <c r="K13" s="1769">
        <f>'Expenditures 15-22'!K352</f>
        <v>592399</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212767</v>
      </c>
      <c r="D15" s="1765">
        <f>'Expenditures 15-22'!K139</f>
        <v>2324</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1050960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11052462</v>
      </c>
      <c r="D17" s="1710">
        <f t="shared" si="2"/>
        <v>1135495</v>
      </c>
      <c r="E17" s="1710">
        <f t="shared" si="2"/>
        <v>1050960</v>
      </c>
      <c r="F17" s="1710">
        <f t="shared" si="2"/>
        <v>881365</v>
      </c>
      <c r="G17" s="1710">
        <f t="shared" si="2"/>
        <v>483755</v>
      </c>
      <c r="H17" s="1710">
        <f t="shared" si="2"/>
        <v>145490</v>
      </c>
      <c r="I17" s="468"/>
      <c r="J17" s="1710">
        <f>SUM(J12:J16)</f>
        <v>371852</v>
      </c>
      <c r="K17" s="1710">
        <f>SUM(K12:K16)</f>
        <v>592399</v>
      </c>
      <c r="L17" s="347"/>
    </row>
    <row r="18" spans="1:12" ht="15" customHeight="1" thickTop="1" x14ac:dyDescent="0.2">
      <c r="A18" s="1766" t="s">
        <v>1753</v>
      </c>
      <c r="B18" s="1767">
        <v>4180</v>
      </c>
      <c r="C18" s="1764">
        <f t="shared" ref="C18:H18" si="3">C9</f>
        <v>5030190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16082652</v>
      </c>
      <c r="D19" s="1710">
        <f t="shared" si="4"/>
        <v>1135495</v>
      </c>
      <c r="E19" s="1710">
        <f t="shared" si="4"/>
        <v>1050960</v>
      </c>
      <c r="F19" s="1710">
        <f t="shared" si="4"/>
        <v>881365</v>
      </c>
      <c r="G19" s="1710">
        <f t="shared" si="4"/>
        <v>483755</v>
      </c>
      <c r="H19" s="1710">
        <f t="shared" si="4"/>
        <v>145490</v>
      </c>
      <c r="I19" s="468"/>
      <c r="J19" s="1710">
        <f>SUM(J17:J18)</f>
        <v>371852</v>
      </c>
      <c r="K19" s="1710">
        <f>SUM(K17:K18)</f>
        <v>592399</v>
      </c>
      <c r="L19" s="347"/>
    </row>
    <row r="20" spans="1:12" ht="16.5" thickTop="1" thickBot="1" x14ac:dyDescent="0.25">
      <c r="A20" s="2147" t="s">
        <v>1754</v>
      </c>
      <c r="B20" s="2148"/>
      <c r="C20" s="1768">
        <f>C8-C17</f>
        <v>-1031596</v>
      </c>
      <c r="D20" s="1768">
        <f t="shared" ref="D20:K20" si="5">D8-D17</f>
        <v>-344796</v>
      </c>
      <c r="E20" s="1768">
        <f t="shared" si="5"/>
        <v>-336425</v>
      </c>
      <c r="F20" s="1768">
        <f t="shared" si="5"/>
        <v>33967</v>
      </c>
      <c r="G20" s="1768">
        <f t="shared" si="5"/>
        <v>-87851</v>
      </c>
      <c r="H20" s="1768">
        <f t="shared" si="5"/>
        <v>276586</v>
      </c>
      <c r="I20" s="1768">
        <f t="shared" si="5"/>
        <v>53592</v>
      </c>
      <c r="J20" s="1768">
        <f t="shared" si="5"/>
        <v>-43353</v>
      </c>
      <c r="K20" s="1768">
        <f t="shared" si="5"/>
        <v>-535900</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1" t="s">
        <v>392</v>
      </c>
      <c r="B44" s="2162"/>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9" t="s">
        <v>1239</v>
      </c>
      <c r="B77" s="2140"/>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3" t="s">
        <v>618</v>
      </c>
      <c r="B78" s="2144"/>
      <c r="C78" s="1724">
        <f t="shared" ref="C78:K78" si="9">C20+C77</f>
        <v>-1031596</v>
      </c>
      <c r="D78" s="1724">
        <f t="shared" si="9"/>
        <v>-344796</v>
      </c>
      <c r="E78" s="1724">
        <f t="shared" si="9"/>
        <v>-336425</v>
      </c>
      <c r="F78" s="1724">
        <f t="shared" si="9"/>
        <v>33967</v>
      </c>
      <c r="G78" s="1724">
        <f t="shared" si="9"/>
        <v>-87851</v>
      </c>
      <c r="H78" s="1724">
        <f t="shared" si="9"/>
        <v>276586</v>
      </c>
      <c r="I78" s="1724">
        <f t="shared" si="9"/>
        <v>53592</v>
      </c>
      <c r="J78" s="1724">
        <f t="shared" si="9"/>
        <v>-43353</v>
      </c>
      <c r="K78" s="1724">
        <f t="shared" si="9"/>
        <v>-535900</v>
      </c>
      <c r="L78" s="533"/>
    </row>
    <row r="79" spans="1:12" ht="13.5" thickTop="1" x14ac:dyDescent="0.2">
      <c r="A79" s="1516" t="s">
        <v>2070</v>
      </c>
      <c r="B79" s="534"/>
      <c r="C79" s="478">
        <v>7650877</v>
      </c>
      <c r="D79" s="535">
        <v>767268</v>
      </c>
      <c r="E79" s="535">
        <v>471255</v>
      </c>
      <c r="F79" s="535">
        <v>1405540</v>
      </c>
      <c r="G79" s="535">
        <v>529979</v>
      </c>
      <c r="H79" s="535">
        <v>240666</v>
      </c>
      <c r="I79" s="535">
        <v>372368</v>
      </c>
      <c r="J79" s="535">
        <v>284223</v>
      </c>
      <c r="K79" s="535">
        <v>1179194</v>
      </c>
      <c r="L79" s="347"/>
    </row>
    <row r="80" spans="1:12" x14ac:dyDescent="0.2">
      <c r="A80" s="2149" t="s">
        <v>1895</v>
      </c>
      <c r="B80" s="2150"/>
      <c r="C80" s="467"/>
      <c r="D80" s="467"/>
      <c r="E80" s="467"/>
      <c r="F80" s="467"/>
      <c r="G80" s="467"/>
      <c r="H80" s="467"/>
      <c r="I80" s="467"/>
      <c r="J80" s="467"/>
      <c r="K80" s="467"/>
      <c r="L80" s="347"/>
    </row>
    <row r="81" spans="1:12" ht="13.5" thickBot="1" x14ac:dyDescent="0.25">
      <c r="A81" s="2141" t="s">
        <v>2071</v>
      </c>
      <c r="B81" s="2142"/>
      <c r="C81" s="1710">
        <f>(SUM(C78:C80))</f>
        <v>6619281</v>
      </c>
      <c r="D81" s="1710">
        <f>SUM(D78:D80)</f>
        <v>422472</v>
      </c>
      <c r="E81" s="1710">
        <f t="shared" ref="E81:K81" si="10">SUM(E78:E80)</f>
        <v>134830</v>
      </c>
      <c r="F81" s="1710">
        <f t="shared" si="10"/>
        <v>1439507</v>
      </c>
      <c r="G81" s="1710">
        <f t="shared" si="10"/>
        <v>442128</v>
      </c>
      <c r="H81" s="1710">
        <f t="shared" si="10"/>
        <v>517252</v>
      </c>
      <c r="I81" s="1710">
        <f t="shared" si="10"/>
        <v>425960</v>
      </c>
      <c r="J81" s="1710">
        <f t="shared" si="10"/>
        <v>240870</v>
      </c>
      <c r="K81" s="1710">
        <f t="shared" si="10"/>
        <v>643294</v>
      </c>
      <c r="L81" s="347"/>
    </row>
    <row r="82" spans="1:12" ht="0.75" customHeight="1" thickTop="1" thickBot="1" x14ac:dyDescent="0.25">
      <c r="A82" s="536" t="s">
        <v>361</v>
      </c>
      <c r="B82" s="537"/>
      <c r="C82" s="538">
        <f>(C81-C79)</f>
        <v>-1031596</v>
      </c>
      <c r="D82" s="538">
        <f t="shared" ref="D82:K82" si="11">(D81-D79)</f>
        <v>-344796</v>
      </c>
      <c r="E82" s="538">
        <f t="shared" si="11"/>
        <v>-336425</v>
      </c>
      <c r="F82" s="538">
        <f t="shared" si="11"/>
        <v>33967</v>
      </c>
      <c r="G82" s="538">
        <f t="shared" si="11"/>
        <v>-87851</v>
      </c>
      <c r="H82" s="538">
        <f t="shared" si="11"/>
        <v>276586</v>
      </c>
      <c r="I82" s="538">
        <f t="shared" si="11"/>
        <v>53592</v>
      </c>
      <c r="J82" s="538">
        <f t="shared" si="11"/>
        <v>-43353</v>
      </c>
      <c r="K82" s="538">
        <f t="shared" si="11"/>
        <v>-535900</v>
      </c>
    </row>
    <row r="83" spans="1:12" ht="14.25" hidden="1" thickTop="1" thickBot="1" x14ac:dyDescent="0.25">
      <c r="A83" s="539" t="s">
        <v>362</v>
      </c>
      <c r="B83" s="464"/>
      <c r="C83" s="540">
        <f>C82/C81</f>
        <v>-0.15584713808040482</v>
      </c>
      <c r="D83" s="540">
        <f t="shared" ref="D83:K83" si="12">D82/D81</f>
        <v>-0.81613929443844802</v>
      </c>
      <c r="E83" s="540">
        <f t="shared" si="12"/>
        <v>-2.4951791144404063</v>
      </c>
      <c r="F83" s="540">
        <f t="shared" si="12"/>
        <v>2.3596272890649368E-2</v>
      </c>
      <c r="G83" s="540">
        <f t="shared" si="12"/>
        <v>-0.19870037636159665</v>
      </c>
      <c r="H83" s="540">
        <f t="shared" si="12"/>
        <v>0.53472195370921716</v>
      </c>
      <c r="I83" s="540">
        <f t="shared" si="12"/>
        <v>0.12581463048173538</v>
      </c>
      <c r="J83" s="540">
        <f t="shared" si="12"/>
        <v>-0.17998505417860255</v>
      </c>
      <c r="K83" s="540">
        <f t="shared" si="12"/>
        <v>-0.83305611431165216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1902</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2729486</v>
      </c>
      <c r="D5" s="481">
        <v>527090</v>
      </c>
      <c r="E5" s="466">
        <v>714535</v>
      </c>
      <c r="F5" s="548">
        <v>210888</v>
      </c>
      <c r="G5" s="466">
        <v>150767</v>
      </c>
      <c r="H5" s="466"/>
      <c r="I5" s="466">
        <v>52490</v>
      </c>
      <c r="J5" s="467">
        <v>328499</v>
      </c>
      <c r="K5" s="466">
        <v>52489</v>
      </c>
    </row>
    <row r="6" spans="1:12" ht="15" x14ac:dyDescent="0.2">
      <c r="A6" s="463" t="s">
        <v>1761</v>
      </c>
      <c r="B6" s="470">
        <v>1130</v>
      </c>
      <c r="C6" s="466">
        <v>52489</v>
      </c>
      <c r="D6" s="466"/>
      <c r="E6" s="475"/>
      <c r="F6" s="475"/>
      <c r="G6" s="468"/>
      <c r="H6" s="468"/>
      <c r="I6" s="468"/>
      <c r="J6" s="468"/>
      <c r="K6" s="468"/>
    </row>
    <row r="7" spans="1:12" x14ac:dyDescent="0.2">
      <c r="A7" s="463" t="s">
        <v>112</v>
      </c>
      <c r="B7" s="549">
        <v>1140</v>
      </c>
      <c r="C7" s="466">
        <v>42314</v>
      </c>
      <c r="D7" s="466"/>
      <c r="E7" s="468"/>
      <c r="F7" s="467"/>
      <c r="G7" s="467"/>
      <c r="H7" s="467"/>
      <c r="I7" s="468"/>
      <c r="J7" s="468"/>
      <c r="K7" s="468"/>
    </row>
    <row r="8" spans="1:12" x14ac:dyDescent="0.2">
      <c r="A8" s="463" t="s">
        <v>433</v>
      </c>
      <c r="B8" s="470">
        <v>1150</v>
      </c>
      <c r="C8" s="475"/>
      <c r="D8" s="475"/>
      <c r="E8" s="477"/>
      <c r="F8" s="477"/>
      <c r="G8" s="481">
        <v>226573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2824289</v>
      </c>
      <c r="D12" s="1729">
        <f t="shared" si="0"/>
        <v>527090</v>
      </c>
      <c r="E12" s="1729">
        <f t="shared" si="0"/>
        <v>714535</v>
      </c>
      <c r="F12" s="1729">
        <f t="shared" si="0"/>
        <v>210888</v>
      </c>
      <c r="G12" s="1729">
        <f t="shared" si="0"/>
        <v>377340</v>
      </c>
      <c r="H12" s="1729">
        <f t="shared" si="0"/>
        <v>0</v>
      </c>
      <c r="I12" s="1729">
        <f t="shared" si="0"/>
        <v>52490</v>
      </c>
      <c r="J12" s="1729">
        <f t="shared" si="0"/>
        <v>328499</v>
      </c>
      <c r="K12" s="1710">
        <f t="shared" si="0"/>
        <v>52489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153850</v>
      </c>
      <c r="E16" s="466"/>
      <c r="F16" s="466"/>
      <c r="G16" s="466">
        <v>18564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153850</v>
      </c>
      <c r="E18" s="1732">
        <f t="shared" si="1"/>
        <v>0</v>
      </c>
      <c r="F18" s="1732">
        <f t="shared" si="1"/>
        <v>0</v>
      </c>
      <c r="G18" s="1732">
        <f t="shared" si="1"/>
        <v>18564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31336</v>
      </c>
      <c r="D65" s="466">
        <v>710</v>
      </c>
      <c r="E65" s="466"/>
      <c r="F65" s="467">
        <v>3602</v>
      </c>
      <c r="G65" s="466"/>
      <c r="H65" s="466"/>
      <c r="I65" s="466">
        <v>1102</v>
      </c>
      <c r="J65" s="467"/>
      <c r="K65" s="466">
        <v>4010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31336</v>
      </c>
      <c r="D67" s="1710">
        <f t="shared" ref="D67:K67" si="2">SUM(D65:D66)</f>
        <v>710</v>
      </c>
      <c r="E67" s="1710">
        <f t="shared" si="2"/>
        <v>0</v>
      </c>
      <c r="F67" s="1710">
        <f t="shared" si="2"/>
        <v>3602</v>
      </c>
      <c r="G67" s="1710">
        <f t="shared" si="2"/>
        <v>0</v>
      </c>
      <c r="H67" s="1710">
        <f t="shared" si="2"/>
        <v>0</v>
      </c>
      <c r="I67" s="1710">
        <f t="shared" si="2"/>
        <v>1102</v>
      </c>
      <c r="J67" s="1710">
        <f t="shared" si="2"/>
        <v>0</v>
      </c>
      <c r="K67" s="1710">
        <f t="shared" si="2"/>
        <v>4010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377251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377251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61098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57162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11289</v>
      </c>
      <c r="D81" s="466"/>
      <c r="E81" s="468"/>
      <c r="F81" s="468"/>
      <c r="G81" s="468"/>
      <c r="H81" s="468"/>
      <c r="I81" s="468"/>
      <c r="J81" s="468"/>
      <c r="K81" s="468"/>
    </row>
    <row r="82" spans="1:11" ht="12.75" customHeight="1" thickBot="1" x14ac:dyDescent="0.25">
      <c r="A82" s="1730" t="s">
        <v>259</v>
      </c>
      <c r="B82" s="1731"/>
      <c r="C82" s="1729">
        <f>SUM(C77:C81)</f>
        <v>129549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73047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73047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8010</v>
      </c>
      <c r="E95" s="521"/>
      <c r="F95" s="521"/>
      <c r="G95" s="521"/>
      <c r="H95" s="521"/>
      <c r="I95" s="521"/>
      <c r="J95" s="521"/>
      <c r="K95" s="521"/>
    </row>
    <row r="96" spans="1:11" ht="12.75" customHeight="1" x14ac:dyDescent="0.2">
      <c r="A96" s="463" t="s">
        <v>409</v>
      </c>
      <c r="B96" s="470">
        <v>1920</v>
      </c>
      <c r="C96" s="551">
        <v>82887</v>
      </c>
      <c r="D96" s="551">
        <v>1039</v>
      </c>
      <c r="E96" s="479"/>
      <c r="F96" s="478">
        <v>2927</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33912</v>
      </c>
      <c r="D99" s="466"/>
      <c r="E99" s="466"/>
      <c r="F99" s="466">
        <v>1100</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10910</v>
      </c>
      <c r="D101" s="526"/>
      <c r="E101" s="480"/>
      <c r="F101" s="526"/>
      <c r="G101" s="475"/>
      <c r="H101" s="526"/>
      <c r="I101" s="468"/>
      <c r="J101" s="475"/>
      <c r="K101" s="475"/>
    </row>
    <row r="102" spans="1:12" ht="12.75" customHeight="1" x14ac:dyDescent="0.2">
      <c r="A102" s="463" t="s">
        <v>265</v>
      </c>
      <c r="B102" s="470">
        <v>1980</v>
      </c>
      <c r="C102" s="489">
        <f>3942</f>
        <v>3942</v>
      </c>
      <c r="D102" s="489"/>
      <c r="E102" s="489"/>
      <c r="F102" s="489"/>
      <c r="G102" s="489"/>
      <c r="H102" s="489">
        <v>0</v>
      </c>
      <c r="I102" s="467"/>
      <c r="J102" s="489"/>
      <c r="K102" s="467"/>
    </row>
    <row r="103" spans="1:12" ht="12.75" customHeight="1" x14ac:dyDescent="0.2">
      <c r="A103" s="463" t="s">
        <v>363</v>
      </c>
      <c r="B103" s="470">
        <v>1983</v>
      </c>
      <c r="C103" s="468"/>
      <c r="D103" s="468"/>
      <c r="E103" s="560"/>
      <c r="F103" s="468"/>
      <c r="G103" s="468"/>
      <c r="H103" s="489">
        <v>422076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131651</v>
      </c>
      <c r="D108" s="1729">
        <f t="shared" ref="D108:K108" si="3">SUM(D95:D107)</f>
        <v>9049</v>
      </c>
      <c r="E108" s="1729">
        <f t="shared" si="3"/>
        <v>0</v>
      </c>
      <c r="F108" s="1729">
        <f t="shared" si="3"/>
        <v>4027</v>
      </c>
      <c r="G108" s="1729">
        <f t="shared" si="3"/>
        <v>0</v>
      </c>
      <c r="H108" s="1729">
        <f t="shared" si="3"/>
        <v>422076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3567123</v>
      </c>
      <c r="D109" s="1737">
        <f t="shared" si="4"/>
        <v>690699</v>
      </c>
      <c r="E109" s="1737">
        <f t="shared" si="4"/>
        <v>714535</v>
      </c>
      <c r="F109" s="1737">
        <f t="shared" si="4"/>
        <v>218517</v>
      </c>
      <c r="G109" s="1737">
        <f t="shared" si="4"/>
        <v>395904</v>
      </c>
      <c r="H109" s="1737">
        <f t="shared" si="4"/>
        <v>422076</v>
      </c>
      <c r="I109" s="1737">
        <f t="shared" si="4"/>
        <v>53592</v>
      </c>
      <c r="J109" s="1737">
        <f t="shared" si="4"/>
        <v>328499</v>
      </c>
      <c r="K109" s="1724">
        <f t="shared" si="4"/>
        <v>56499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5253589</v>
      </c>
      <c r="D117" s="481">
        <v>100000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5253589</v>
      </c>
      <c r="D121" s="1729">
        <f t="shared" si="5"/>
        <v>100000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95797</v>
      </c>
      <c r="D125" s="561"/>
      <c r="E125" s="468"/>
      <c r="F125" s="466"/>
      <c r="G125" s="468"/>
      <c r="H125" s="468"/>
      <c r="I125" s="468"/>
      <c r="J125" s="468"/>
      <c r="K125" s="468"/>
    </row>
    <row r="126" spans="1:11" ht="12.75" customHeight="1" x14ac:dyDescent="0.2">
      <c r="A126" s="463" t="s">
        <v>922</v>
      </c>
      <c r="B126" s="562">
        <v>3110</v>
      </c>
      <c r="C126" s="551">
        <v>86119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1293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183209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54742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1197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55939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3560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20673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638238</v>
      </c>
      <c r="G151" s="467"/>
      <c r="H151" s="468"/>
      <c r="I151" s="468"/>
      <c r="J151" s="468"/>
      <c r="K151" s="468"/>
    </row>
    <row r="152" spans="1:11" ht="12.75" customHeight="1" x14ac:dyDescent="0.2">
      <c r="A152" s="463" t="s">
        <v>1117</v>
      </c>
      <c r="B152" s="562">
        <v>3510</v>
      </c>
      <c r="C152" s="551"/>
      <c r="D152" s="466"/>
      <c r="E152" s="561"/>
      <c r="F152" s="466">
        <v>58577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696815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169240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1970</v>
      </c>
      <c r="D171" s="580"/>
      <c r="E171" s="580"/>
      <c r="F171" s="580"/>
      <c r="G171" s="581"/>
      <c r="H171" s="582"/>
      <c r="I171" s="581"/>
      <c r="J171" s="581"/>
      <c r="K171" s="582"/>
    </row>
    <row r="172" spans="1:11" ht="12.75" customHeight="1" thickTop="1" thickBot="1" x14ac:dyDescent="0.25">
      <c r="A172" s="2165" t="s">
        <v>418</v>
      </c>
      <c r="B172" s="2166"/>
      <c r="C172" s="1744">
        <f t="shared" ref="C172:K172" si="6">SUM(C131,C140,C144,C145:C149,C154,C155:C170,C171)</f>
        <v>434591</v>
      </c>
      <c r="D172" s="1744">
        <f t="shared" si="6"/>
        <v>0</v>
      </c>
      <c r="E172" s="1744">
        <f t="shared" si="6"/>
        <v>0</v>
      </c>
      <c r="F172" s="1744">
        <f t="shared" si="6"/>
        <v>696815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5688180</v>
      </c>
      <c r="D173" s="1737">
        <f>SUM(D121,D172)</f>
        <v>100000</v>
      </c>
      <c r="E173" s="1737">
        <f>SUM(E121,E172)</f>
        <v>0</v>
      </c>
      <c r="F173" s="1737">
        <f t="shared" ref="F173:K173" si="7">SUM(F121,F172)</f>
        <v>696815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1903</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188707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44639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233346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207454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207454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241836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241836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49372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21825</v>
      </c>
      <c r="D270" s="576"/>
      <c r="E270" s="468"/>
      <c r="F270" s="576"/>
      <c r="G270" s="576"/>
      <c r="H270" s="468"/>
      <c r="I270" s="468"/>
      <c r="J270" s="468"/>
      <c r="K270" s="468"/>
    </row>
    <row r="271" spans="1:11" ht="12.75" customHeight="1" thickTop="1" thickBot="1" x14ac:dyDescent="0.25">
      <c r="A271" s="463" t="s">
        <v>395</v>
      </c>
      <c r="B271" s="470">
        <v>4992</v>
      </c>
      <c r="C271" s="575">
        <v>11730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765563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765563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10020866</v>
      </c>
      <c r="D275" s="1737">
        <f t="shared" si="12"/>
        <v>790699</v>
      </c>
      <c r="E275" s="1737">
        <f t="shared" si="12"/>
        <v>714535</v>
      </c>
      <c r="F275" s="1737">
        <f t="shared" si="12"/>
        <v>915332</v>
      </c>
      <c r="G275" s="1737">
        <f t="shared" si="12"/>
        <v>395904</v>
      </c>
      <c r="H275" s="1737">
        <f t="shared" si="12"/>
        <v>422076</v>
      </c>
      <c r="I275" s="1737">
        <f t="shared" si="12"/>
        <v>53592</v>
      </c>
      <c r="J275" s="1737">
        <f t="shared" si="12"/>
        <v>328499</v>
      </c>
      <c r="K275" s="1724">
        <f t="shared" si="12"/>
        <v>56499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56" activePane="bottomLeft" state="frozen"/>
      <selection activeCell="A47" sqref="A47"/>
      <selection pane="bottomLeft" activeCell="G33" sqref="G3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4524530</v>
      </c>
      <c r="D5" s="466">
        <v>593061</v>
      </c>
      <c r="E5" s="466">
        <v>152535</v>
      </c>
      <c r="F5" s="466">
        <v>344439</v>
      </c>
      <c r="G5" s="466">
        <f>81555</f>
        <v>81555</v>
      </c>
      <c r="H5" s="466"/>
      <c r="I5" s="467"/>
      <c r="J5" s="467"/>
      <c r="K5" s="1693">
        <f>SUM(C5:J5)</f>
        <v>5696120</v>
      </c>
      <c r="L5" s="466">
        <v>5898540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91878</v>
      </c>
      <c r="D7" s="467">
        <v>10693</v>
      </c>
      <c r="E7" s="467">
        <v>1827</v>
      </c>
      <c r="F7" s="467">
        <v>14040</v>
      </c>
      <c r="G7" s="467"/>
      <c r="H7" s="467"/>
      <c r="I7" s="467"/>
      <c r="J7" s="467"/>
      <c r="K7" s="1693">
        <f t="shared" ref="K7:K32" si="0">SUM(C7:J7)</f>
        <v>118438</v>
      </c>
      <c r="L7" s="466">
        <v>122300</v>
      </c>
    </row>
    <row r="8" spans="1:14" x14ac:dyDescent="0.2">
      <c r="A8" s="1526" t="s">
        <v>166</v>
      </c>
      <c r="B8" s="615">
        <v>1200</v>
      </c>
      <c r="C8" s="466">
        <v>751728</v>
      </c>
      <c r="D8" s="466">
        <v>83753</v>
      </c>
      <c r="E8" s="466">
        <v>60051</v>
      </c>
      <c r="F8" s="466">
        <v>7064</v>
      </c>
      <c r="G8" s="466"/>
      <c r="H8" s="466"/>
      <c r="I8" s="467"/>
      <c r="J8" s="467"/>
      <c r="K8" s="1693">
        <f t="shared" si="0"/>
        <v>902596</v>
      </c>
      <c r="L8" s="466">
        <v>943350</v>
      </c>
    </row>
    <row r="9" spans="1:14" x14ac:dyDescent="0.2">
      <c r="A9" s="1526" t="s">
        <v>745</v>
      </c>
      <c r="B9" s="615" t="s">
        <v>1025</v>
      </c>
      <c r="C9" s="467">
        <v>31308</v>
      </c>
      <c r="D9" s="467">
        <v>3069</v>
      </c>
      <c r="E9" s="467"/>
      <c r="F9" s="467"/>
      <c r="G9" s="467"/>
      <c r="H9" s="467"/>
      <c r="I9" s="467"/>
      <c r="J9" s="467"/>
      <c r="K9" s="1693">
        <f t="shared" si="0"/>
        <v>34377</v>
      </c>
      <c r="L9" s="466">
        <v>36275</v>
      </c>
    </row>
    <row r="10" spans="1:14" x14ac:dyDescent="0.2">
      <c r="A10" s="1526" t="s">
        <v>746</v>
      </c>
      <c r="B10" s="615">
        <v>1250</v>
      </c>
      <c r="C10" s="466">
        <v>155017</v>
      </c>
      <c r="D10" s="466">
        <v>36526</v>
      </c>
      <c r="E10" s="466">
        <v>452</v>
      </c>
      <c r="F10" s="466">
        <v>20979</v>
      </c>
      <c r="G10" s="466"/>
      <c r="H10" s="466"/>
      <c r="I10" s="467"/>
      <c r="J10" s="467"/>
      <c r="K10" s="1693">
        <f t="shared" si="0"/>
        <v>212974</v>
      </c>
      <c r="L10" s="466">
        <v>228025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396297</v>
      </c>
      <c r="D13" s="466">
        <v>49631</v>
      </c>
      <c r="E13" s="466">
        <v>4253</v>
      </c>
      <c r="F13" s="466">
        <v>10441</v>
      </c>
      <c r="G13" s="466"/>
      <c r="H13" s="466"/>
      <c r="I13" s="467"/>
      <c r="J13" s="467"/>
      <c r="K13" s="1693">
        <f t="shared" si="0"/>
        <v>460622</v>
      </c>
      <c r="L13" s="466">
        <v>471900</v>
      </c>
    </row>
    <row r="14" spans="1:14" x14ac:dyDescent="0.2">
      <c r="A14" s="1526" t="s">
        <v>1020</v>
      </c>
      <c r="B14" s="615">
        <v>1500</v>
      </c>
      <c r="C14" s="466">
        <v>210947</v>
      </c>
      <c r="D14" s="466">
        <v>1659</v>
      </c>
      <c r="E14" s="466">
        <v>36063</v>
      </c>
      <c r="F14" s="466">
        <v>28804</v>
      </c>
      <c r="G14" s="466">
        <v>32655</v>
      </c>
      <c r="H14" s="466">
        <v>15423</v>
      </c>
      <c r="I14" s="467"/>
      <c r="J14" s="467"/>
      <c r="K14" s="1693">
        <f t="shared" si="0"/>
        <v>325551</v>
      </c>
      <c r="L14" s="466">
        <v>330955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9552</v>
      </c>
      <c r="D16" s="466">
        <v>25</v>
      </c>
      <c r="E16" s="466"/>
      <c r="F16" s="466"/>
      <c r="G16" s="466"/>
      <c r="H16" s="466"/>
      <c r="I16" s="467"/>
      <c r="J16" s="467"/>
      <c r="K16" s="1693">
        <f t="shared" si="0"/>
        <v>9577</v>
      </c>
      <c r="L16" s="466">
        <v>9577</v>
      </c>
    </row>
    <row r="17" spans="1:12" x14ac:dyDescent="0.2">
      <c r="A17" s="1526" t="s">
        <v>748</v>
      </c>
      <c r="B17" s="615" t="s">
        <v>164</v>
      </c>
      <c r="C17" s="467">
        <v>89007</v>
      </c>
      <c r="D17" s="467">
        <v>7578</v>
      </c>
      <c r="E17" s="467">
        <v>1005</v>
      </c>
      <c r="F17" s="467">
        <v>2094</v>
      </c>
      <c r="G17" s="467"/>
      <c r="H17" s="467"/>
      <c r="I17" s="467"/>
      <c r="J17" s="467"/>
      <c r="K17" s="1693">
        <f t="shared" si="0"/>
        <v>99684</v>
      </c>
      <c r="L17" s="466">
        <v>101300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6260264</v>
      </c>
      <c r="D33" s="1692">
        <f t="shared" ref="D33:L33" si="1">SUM(D5:D32)</f>
        <v>785995</v>
      </c>
      <c r="E33" s="1692">
        <f t="shared" si="1"/>
        <v>256186</v>
      </c>
      <c r="F33" s="1692">
        <f t="shared" si="1"/>
        <v>427861</v>
      </c>
      <c r="G33" s="1692">
        <f t="shared" si="1"/>
        <v>114210</v>
      </c>
      <c r="H33" s="1692">
        <f t="shared" si="1"/>
        <v>15423</v>
      </c>
      <c r="I33" s="1692">
        <f t="shared" si="1"/>
        <v>0</v>
      </c>
      <c r="J33" s="1692">
        <f t="shared" si="1"/>
        <v>0</v>
      </c>
      <c r="K33" s="1692">
        <f t="shared" si="1"/>
        <v>7859939</v>
      </c>
      <c r="L33" s="1692">
        <f t="shared" si="1"/>
        <v>8142222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46185</v>
      </c>
      <c r="D36" s="481">
        <v>6984</v>
      </c>
      <c r="E36" s="481">
        <v>607</v>
      </c>
      <c r="F36" s="481"/>
      <c r="G36" s="481"/>
      <c r="H36" s="481"/>
      <c r="I36" s="467"/>
      <c r="J36" s="467"/>
      <c r="K36" s="1693">
        <f t="shared" ref="K36:K41" si="2">SUM(C36:J36)</f>
        <v>53776</v>
      </c>
      <c r="L36" s="466">
        <v>58850</v>
      </c>
    </row>
    <row r="37" spans="1:14" x14ac:dyDescent="0.2">
      <c r="A37" s="1526" t="s">
        <v>1151</v>
      </c>
      <c r="B37" s="615">
        <v>2120</v>
      </c>
      <c r="C37" s="466">
        <v>214554</v>
      </c>
      <c r="D37" s="466">
        <v>33523</v>
      </c>
      <c r="E37" s="466"/>
      <c r="F37" s="466">
        <v>9153</v>
      </c>
      <c r="G37" s="466"/>
      <c r="H37" s="466"/>
      <c r="I37" s="467"/>
      <c r="J37" s="467"/>
      <c r="K37" s="1693">
        <f t="shared" si="2"/>
        <v>257230</v>
      </c>
      <c r="L37" s="466">
        <v>261075</v>
      </c>
    </row>
    <row r="38" spans="1:14" x14ac:dyDescent="0.2">
      <c r="A38" s="1526" t="s">
        <v>207</v>
      </c>
      <c r="B38" s="615">
        <v>2130</v>
      </c>
      <c r="C38" s="466">
        <v>87555</v>
      </c>
      <c r="D38" s="466">
        <v>13309</v>
      </c>
      <c r="E38" s="466">
        <v>11045</v>
      </c>
      <c r="F38" s="466">
        <v>5150</v>
      </c>
      <c r="G38" s="466"/>
      <c r="H38" s="466"/>
      <c r="I38" s="467"/>
      <c r="J38" s="467"/>
      <c r="K38" s="1693">
        <f t="shared" si="2"/>
        <v>117059</v>
      </c>
      <c r="L38" s="466">
        <v>119975</v>
      </c>
    </row>
    <row r="39" spans="1:14" x14ac:dyDescent="0.2">
      <c r="A39" s="1526" t="s">
        <v>208</v>
      </c>
      <c r="B39" s="615">
        <v>2140</v>
      </c>
      <c r="C39" s="466"/>
      <c r="D39" s="466"/>
      <c r="E39" s="466">
        <v>74499</v>
      </c>
      <c r="F39" s="466"/>
      <c r="G39" s="466"/>
      <c r="H39" s="466"/>
      <c r="I39" s="467"/>
      <c r="J39" s="467"/>
      <c r="K39" s="1693">
        <f t="shared" si="2"/>
        <v>74499</v>
      </c>
      <c r="L39" s="466">
        <v>75150</v>
      </c>
    </row>
    <row r="40" spans="1:14" x14ac:dyDescent="0.2">
      <c r="A40" s="1526" t="s">
        <v>209</v>
      </c>
      <c r="B40" s="615">
        <v>2150</v>
      </c>
      <c r="C40" s="466">
        <v>120421</v>
      </c>
      <c r="D40" s="466">
        <v>14288</v>
      </c>
      <c r="E40" s="466"/>
      <c r="F40" s="466">
        <v>457</v>
      </c>
      <c r="G40" s="466"/>
      <c r="H40" s="466"/>
      <c r="I40" s="467"/>
      <c r="J40" s="467"/>
      <c r="K40" s="1693">
        <f t="shared" si="2"/>
        <v>135166</v>
      </c>
      <c r="L40" s="466">
        <v>137750</v>
      </c>
    </row>
    <row r="41" spans="1:14" x14ac:dyDescent="0.2">
      <c r="A41" s="1526" t="s">
        <v>1768</v>
      </c>
      <c r="B41" s="615">
        <v>2190</v>
      </c>
      <c r="C41" s="466"/>
      <c r="D41" s="466"/>
      <c r="E41" s="466"/>
      <c r="F41" s="466">
        <v>16624</v>
      </c>
      <c r="G41" s="466"/>
      <c r="H41" s="466"/>
      <c r="I41" s="467"/>
      <c r="J41" s="467"/>
      <c r="K41" s="1693">
        <f t="shared" si="2"/>
        <v>16624</v>
      </c>
      <c r="L41" s="466">
        <v>17000</v>
      </c>
    </row>
    <row r="42" spans="1:14" ht="12.75" customHeight="1" thickBot="1" x14ac:dyDescent="0.25">
      <c r="A42" s="1690" t="s">
        <v>581</v>
      </c>
      <c r="B42" s="1691" t="s">
        <v>740</v>
      </c>
      <c r="C42" s="1692">
        <f>SUM(C36:C41)</f>
        <v>468715</v>
      </c>
      <c r="D42" s="1692">
        <f t="shared" ref="D42:L42" si="3">SUM(D36:D41)</f>
        <v>68104</v>
      </c>
      <c r="E42" s="1692">
        <f t="shared" si="3"/>
        <v>86151</v>
      </c>
      <c r="F42" s="1692">
        <f t="shared" si="3"/>
        <v>31384</v>
      </c>
      <c r="G42" s="1692">
        <f t="shared" si="3"/>
        <v>0</v>
      </c>
      <c r="H42" s="1692">
        <f t="shared" si="3"/>
        <v>0</v>
      </c>
      <c r="I42" s="1692">
        <f t="shared" si="3"/>
        <v>0</v>
      </c>
      <c r="J42" s="1692">
        <f t="shared" si="3"/>
        <v>0</v>
      </c>
      <c r="K42" s="1692">
        <f t="shared" si="3"/>
        <v>654354</v>
      </c>
      <c r="L42" s="1692">
        <f t="shared" si="3"/>
        <v>669800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26768</v>
      </c>
      <c r="D44" s="481">
        <v>9280</v>
      </c>
      <c r="E44" s="481">
        <v>40730</v>
      </c>
      <c r="F44" s="481">
        <v>194</v>
      </c>
      <c r="G44" s="481"/>
      <c r="H44" s="481"/>
      <c r="I44" s="467"/>
      <c r="J44" s="467"/>
      <c r="K44" s="1694">
        <f>SUM(C44:J44)</f>
        <v>76972</v>
      </c>
      <c r="L44" s="481">
        <v>119250</v>
      </c>
    </row>
    <row r="45" spans="1:14" x14ac:dyDescent="0.2">
      <c r="A45" s="1526" t="s">
        <v>869</v>
      </c>
      <c r="B45" s="615">
        <v>2220</v>
      </c>
      <c r="C45" s="466">
        <v>102249</v>
      </c>
      <c r="D45" s="466">
        <v>7124</v>
      </c>
      <c r="E45" s="466">
        <v>3196</v>
      </c>
      <c r="F45" s="466">
        <v>30273</v>
      </c>
      <c r="G45" s="466"/>
      <c r="H45" s="466"/>
      <c r="I45" s="467"/>
      <c r="J45" s="467"/>
      <c r="K45" s="1694">
        <f>SUM(C45:J45)</f>
        <v>142842</v>
      </c>
      <c r="L45" s="466">
        <v>144725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129017</v>
      </c>
      <c r="D47" s="1692">
        <f t="shared" ref="D47:K47" si="4">SUM(D44:D46)</f>
        <v>16404</v>
      </c>
      <c r="E47" s="1692">
        <f t="shared" si="4"/>
        <v>43926</v>
      </c>
      <c r="F47" s="1692">
        <f t="shared" si="4"/>
        <v>30467</v>
      </c>
      <c r="G47" s="1692">
        <f t="shared" si="4"/>
        <v>0</v>
      </c>
      <c r="H47" s="1692">
        <f t="shared" si="4"/>
        <v>0</v>
      </c>
      <c r="I47" s="1692">
        <f t="shared" si="4"/>
        <v>0</v>
      </c>
      <c r="J47" s="1692">
        <f t="shared" si="4"/>
        <v>0</v>
      </c>
      <c r="K47" s="1692">
        <f t="shared" si="4"/>
        <v>219814</v>
      </c>
      <c r="L47" s="1692">
        <f>SUM(L44:L46)</f>
        <v>263975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82971</v>
      </c>
      <c r="F49" s="481">
        <v>4487</v>
      </c>
      <c r="G49" s="481"/>
      <c r="H49" s="481">
        <v>4331</v>
      </c>
      <c r="I49" s="467"/>
      <c r="J49" s="467"/>
      <c r="K49" s="1694">
        <f>SUM(C49:J49)</f>
        <v>91789</v>
      </c>
      <c r="L49" s="481">
        <v>124900</v>
      </c>
    </row>
    <row r="50" spans="1:14" x14ac:dyDescent="0.2">
      <c r="A50" s="1526" t="s">
        <v>872</v>
      </c>
      <c r="B50" s="615">
        <v>2320</v>
      </c>
      <c r="C50" s="466">
        <v>201740</v>
      </c>
      <c r="D50" s="466">
        <v>29801</v>
      </c>
      <c r="E50" s="466">
        <v>3310</v>
      </c>
      <c r="F50" s="466">
        <v>1997</v>
      </c>
      <c r="G50" s="466"/>
      <c r="H50" s="466">
        <v>1924</v>
      </c>
      <c r="I50" s="467"/>
      <c r="J50" s="467"/>
      <c r="K50" s="1694">
        <f>SUM(C50:J50)</f>
        <v>238772</v>
      </c>
      <c r="L50" s="466">
        <v>239350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201740</v>
      </c>
      <c r="D53" s="1692">
        <f t="shared" ref="D53:L53" si="5">SUM(D49:D52)</f>
        <v>29801</v>
      </c>
      <c r="E53" s="1692">
        <f t="shared" si="5"/>
        <v>86281</v>
      </c>
      <c r="F53" s="1692">
        <f t="shared" si="5"/>
        <v>6484</v>
      </c>
      <c r="G53" s="1692">
        <f t="shared" si="5"/>
        <v>0</v>
      </c>
      <c r="H53" s="1692">
        <f t="shared" si="5"/>
        <v>6255</v>
      </c>
      <c r="I53" s="1692">
        <f t="shared" si="5"/>
        <v>0</v>
      </c>
      <c r="J53" s="1692">
        <f t="shared" si="5"/>
        <v>0</v>
      </c>
      <c r="K53" s="1692">
        <f t="shared" si="5"/>
        <v>330561</v>
      </c>
      <c r="L53" s="1692">
        <f t="shared" si="5"/>
        <v>364250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723902</v>
      </c>
      <c r="D55" s="481">
        <v>137322</v>
      </c>
      <c r="E55" s="481">
        <v>6193</v>
      </c>
      <c r="F55" s="481">
        <v>16187</v>
      </c>
      <c r="G55" s="481"/>
      <c r="H55" s="481">
        <v>2444</v>
      </c>
      <c r="I55" s="467"/>
      <c r="J55" s="467"/>
      <c r="K55" s="1694">
        <f>SUM(C55:J55)</f>
        <v>886048</v>
      </c>
      <c r="L55" s="481">
        <v>897051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723902</v>
      </c>
      <c r="D57" s="1696">
        <f t="shared" ref="D57:K57" si="6">SUM(D55:D56)</f>
        <v>137322</v>
      </c>
      <c r="E57" s="1696">
        <f t="shared" si="6"/>
        <v>6193</v>
      </c>
      <c r="F57" s="1696">
        <f t="shared" si="6"/>
        <v>16187</v>
      </c>
      <c r="G57" s="1696">
        <f t="shared" si="6"/>
        <v>0</v>
      </c>
      <c r="H57" s="1696">
        <f t="shared" si="6"/>
        <v>2444</v>
      </c>
      <c r="I57" s="1696">
        <f t="shared" si="6"/>
        <v>0</v>
      </c>
      <c r="J57" s="1696">
        <f t="shared" si="6"/>
        <v>0</v>
      </c>
      <c r="K57" s="1696">
        <f t="shared" si="6"/>
        <v>886048</v>
      </c>
      <c r="L57" s="1692">
        <f>SUM(L55:L56)</f>
        <v>897051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98586</v>
      </c>
      <c r="D60" s="466">
        <v>19385</v>
      </c>
      <c r="E60" s="466">
        <v>3730</v>
      </c>
      <c r="F60" s="466">
        <v>2769</v>
      </c>
      <c r="G60" s="466"/>
      <c r="H60" s="466"/>
      <c r="I60" s="467"/>
      <c r="J60" s="467"/>
      <c r="K60" s="1694">
        <f t="shared" si="7"/>
        <v>124470</v>
      </c>
      <c r="L60" s="466">
        <v>125275</v>
      </c>
      <c r="M60" s="610"/>
      <c r="N60" s="610"/>
    </row>
    <row r="61" spans="1:14" s="343" customFormat="1" x14ac:dyDescent="0.2">
      <c r="A61" s="1526" t="s">
        <v>206</v>
      </c>
      <c r="B61" s="615">
        <v>2540</v>
      </c>
      <c r="C61" s="466"/>
      <c r="D61" s="466"/>
      <c r="E61" s="466">
        <v>68832</v>
      </c>
      <c r="F61" s="466"/>
      <c r="G61" s="466"/>
      <c r="H61" s="466"/>
      <c r="I61" s="467"/>
      <c r="J61" s="467"/>
      <c r="K61" s="1694">
        <f t="shared" si="7"/>
        <v>68832</v>
      </c>
      <c r="L61" s="466">
        <v>77850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270734</v>
      </c>
      <c r="D63" s="466">
        <v>25054</v>
      </c>
      <c r="E63" s="466">
        <v>14572</v>
      </c>
      <c r="F63" s="466">
        <v>345162</v>
      </c>
      <c r="G63" s="466">
        <v>26738</v>
      </c>
      <c r="H63" s="466"/>
      <c r="I63" s="467">
        <v>13417</v>
      </c>
      <c r="J63" s="467"/>
      <c r="K63" s="1694">
        <f t="shared" si="7"/>
        <v>695677</v>
      </c>
      <c r="L63" s="466">
        <v>704793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369320</v>
      </c>
      <c r="D65" s="1692">
        <f t="shared" ref="D65:L65" si="8">SUM(D59:D64)</f>
        <v>44439</v>
      </c>
      <c r="E65" s="1692">
        <f t="shared" si="8"/>
        <v>87134</v>
      </c>
      <c r="F65" s="1692">
        <f t="shared" si="8"/>
        <v>347931</v>
      </c>
      <c r="G65" s="1692">
        <f t="shared" si="8"/>
        <v>26738</v>
      </c>
      <c r="H65" s="1692">
        <f t="shared" si="8"/>
        <v>0</v>
      </c>
      <c r="I65" s="1692">
        <f t="shared" si="8"/>
        <v>13417</v>
      </c>
      <c r="J65" s="1692">
        <f t="shared" si="8"/>
        <v>0</v>
      </c>
      <c r="K65" s="1692">
        <f t="shared" si="8"/>
        <v>888979</v>
      </c>
      <c r="L65" s="1692">
        <f t="shared" si="8"/>
        <v>907918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1892694</v>
      </c>
      <c r="D74" s="1699">
        <f t="shared" ref="D74:K74" si="10">SUM(D42,D47,D53,D57,D65,D72,D73)</f>
        <v>296070</v>
      </c>
      <c r="E74" s="1699">
        <f t="shared" si="10"/>
        <v>309685</v>
      </c>
      <c r="F74" s="1699">
        <f t="shared" si="10"/>
        <v>432453</v>
      </c>
      <c r="G74" s="1699">
        <f t="shared" si="10"/>
        <v>26738</v>
      </c>
      <c r="H74" s="1699">
        <f t="shared" si="10"/>
        <v>8699</v>
      </c>
      <c r="I74" s="1699">
        <f t="shared" si="10"/>
        <v>13417</v>
      </c>
      <c r="J74" s="1699">
        <f t="shared" si="10"/>
        <v>0</v>
      </c>
      <c r="K74" s="1699">
        <f t="shared" si="10"/>
        <v>2979756</v>
      </c>
      <c r="L74" s="1699">
        <f>SUM(L42,L47,L53,L57,L65,L72,L73)</f>
        <v>3102994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7706</v>
      </c>
      <c r="I78" s="477"/>
      <c r="J78" s="477"/>
      <c r="K78" s="1693">
        <f t="shared" ref="K78:K83" si="11">SUM(C78:J78)</f>
        <v>7706</v>
      </c>
      <c r="L78" s="481">
        <v>12000</v>
      </c>
    </row>
    <row r="79" spans="1:14" x14ac:dyDescent="0.2">
      <c r="A79" s="1526" t="s">
        <v>322</v>
      </c>
      <c r="B79" s="615">
        <v>4120</v>
      </c>
      <c r="C79" s="617"/>
      <c r="D79" s="617"/>
      <c r="E79" s="466"/>
      <c r="F79" s="617"/>
      <c r="G79" s="617"/>
      <c r="H79" s="466">
        <v>180086</v>
      </c>
      <c r="I79" s="477"/>
      <c r="J79" s="477"/>
      <c r="K79" s="1693">
        <f t="shared" si="11"/>
        <v>180086</v>
      </c>
      <c r="L79" s="466">
        <v>200000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24975</v>
      </c>
      <c r="I81" s="477"/>
      <c r="J81" s="477"/>
      <c r="K81" s="1693">
        <f t="shared" si="11"/>
        <v>24975</v>
      </c>
      <c r="L81" s="466">
        <v>26000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212767</v>
      </c>
      <c r="I84" s="477"/>
      <c r="J84" s="477"/>
      <c r="K84" s="1692">
        <f>SUM(K78:K83)</f>
        <v>212767</v>
      </c>
      <c r="L84" s="1692">
        <f>SUM(L78:L83)</f>
        <v>238000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212767</v>
      </c>
      <c r="I102" s="477"/>
      <c r="J102" s="477"/>
      <c r="K102" s="1699">
        <f>SUM(K84,K92,K100,K101)</f>
        <v>212767</v>
      </c>
      <c r="L102" s="1699">
        <f>SUM(L84,L92,L100,L101)</f>
        <v>238000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8152958</v>
      </c>
      <c r="D114" s="1692">
        <f t="shared" ref="D114:K114" si="13">SUM(D33,D74,D75,D102,D112,D113)</f>
        <v>1082065</v>
      </c>
      <c r="E114" s="1692">
        <f t="shared" si="13"/>
        <v>565871</v>
      </c>
      <c r="F114" s="1692">
        <f t="shared" si="13"/>
        <v>860314</v>
      </c>
      <c r="G114" s="1692">
        <f t="shared" si="13"/>
        <v>140948</v>
      </c>
      <c r="H114" s="1692">
        <f>SUM(H33,H74,H75,H102,H112,H113)</f>
        <v>236889</v>
      </c>
      <c r="I114" s="1692">
        <f t="shared" si="13"/>
        <v>13417</v>
      </c>
      <c r="J114" s="1692">
        <f t="shared" si="13"/>
        <v>0</v>
      </c>
      <c r="K114" s="1692">
        <f t="shared" si="13"/>
        <v>11052462</v>
      </c>
      <c r="L114" s="1692">
        <f>SUM(L33,L74,L75,L102,L112,L113)</f>
        <v>11483216</v>
      </c>
    </row>
    <row r="115" spans="1:14" ht="13.5" thickTop="1" x14ac:dyDescent="0.2">
      <c r="A115" s="2202" t="s">
        <v>1053</v>
      </c>
      <c r="B115" s="2203"/>
      <c r="C115" s="619"/>
      <c r="D115" s="619"/>
      <c r="E115" s="619"/>
      <c r="F115" s="619"/>
      <c r="G115" s="619"/>
      <c r="H115" s="619"/>
      <c r="I115" s="619"/>
      <c r="J115" s="619"/>
      <c r="K115" s="1706">
        <f>'Revenues 9-14'!C275-'Expenditures 15-22'!K114</f>
        <v>-1031596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528</v>
      </c>
      <c r="F123" s="466">
        <v>3351</v>
      </c>
      <c r="G123" s="466"/>
      <c r="H123" s="466"/>
      <c r="I123" s="467"/>
      <c r="J123" s="467"/>
      <c r="K123" s="1692">
        <f>SUM(C123:J123)</f>
        <v>3879</v>
      </c>
      <c r="L123" s="466">
        <v>8500</v>
      </c>
    </row>
    <row r="124" spans="1:14" ht="14.25" thickTop="1" thickBot="1" x14ac:dyDescent="0.25">
      <c r="A124" s="1526" t="s">
        <v>206</v>
      </c>
      <c r="B124" s="615">
        <v>2540</v>
      </c>
      <c r="C124" s="466">
        <v>404776</v>
      </c>
      <c r="D124" s="466">
        <v>74087</v>
      </c>
      <c r="E124" s="466">
        <v>207500</v>
      </c>
      <c r="F124" s="466">
        <v>385647</v>
      </c>
      <c r="G124" s="466">
        <f>48199</f>
        <v>48199</v>
      </c>
      <c r="H124" s="466"/>
      <c r="I124" s="467">
        <v>9083</v>
      </c>
      <c r="J124" s="467"/>
      <c r="K124" s="1692">
        <f>SUM(C124:J124)</f>
        <v>1129292</v>
      </c>
      <c r="L124" s="466">
        <v>1187650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404776</v>
      </c>
      <c r="D127" s="1692">
        <f t="shared" ref="D127:L127" si="14">SUM(D122:D126)</f>
        <v>74087</v>
      </c>
      <c r="E127" s="1692">
        <f t="shared" si="14"/>
        <v>208028</v>
      </c>
      <c r="F127" s="1692">
        <f t="shared" si="14"/>
        <v>388998</v>
      </c>
      <c r="G127" s="1692">
        <f t="shared" si="14"/>
        <v>48199</v>
      </c>
      <c r="H127" s="1692">
        <f t="shared" si="14"/>
        <v>0</v>
      </c>
      <c r="I127" s="1692">
        <f t="shared" si="14"/>
        <v>9083</v>
      </c>
      <c r="J127" s="1692">
        <f t="shared" si="14"/>
        <v>0</v>
      </c>
      <c r="K127" s="1692">
        <f t="shared" si="14"/>
        <v>1133171</v>
      </c>
      <c r="L127" s="1692">
        <f t="shared" si="14"/>
        <v>1196150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404776</v>
      </c>
      <c r="D129" s="1699">
        <f t="shared" ref="D129:L129" si="15">SUM(D120,D127,D128)</f>
        <v>74087</v>
      </c>
      <c r="E129" s="1699">
        <f t="shared" si="15"/>
        <v>208028</v>
      </c>
      <c r="F129" s="1699">
        <f t="shared" si="15"/>
        <v>388998</v>
      </c>
      <c r="G129" s="1699">
        <f t="shared" si="15"/>
        <v>48199</v>
      </c>
      <c r="H129" s="1699">
        <f t="shared" si="15"/>
        <v>0</v>
      </c>
      <c r="I129" s="1699">
        <f t="shared" si="15"/>
        <v>9083</v>
      </c>
      <c r="J129" s="1699">
        <f t="shared" si="15"/>
        <v>0</v>
      </c>
      <c r="K129" s="1699">
        <f t="shared" si="15"/>
        <v>1133171</v>
      </c>
      <c r="L129" s="1699">
        <f t="shared" si="15"/>
        <v>1196150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v>2324</v>
      </c>
      <c r="I136" s="477"/>
      <c r="J136" s="617"/>
      <c r="K136" s="1694">
        <f>SUM(E136,H136)</f>
        <v>2324</v>
      </c>
      <c r="L136" s="466">
        <v>2350</v>
      </c>
    </row>
    <row r="137" spans="1:14" ht="12.75" customHeight="1" thickBot="1" x14ac:dyDescent="0.25">
      <c r="A137" s="1690" t="s">
        <v>501</v>
      </c>
      <c r="B137" s="1700">
        <v>4100</v>
      </c>
      <c r="C137" s="617"/>
      <c r="D137" s="617"/>
      <c r="E137" s="1692">
        <f>SUM(E133:E136)</f>
        <v>0</v>
      </c>
      <c r="F137" s="617"/>
      <c r="G137" s="617"/>
      <c r="H137" s="1692">
        <f>SUM(H133:H136)</f>
        <v>2324</v>
      </c>
      <c r="I137" s="477"/>
      <c r="J137" s="617"/>
      <c r="K137" s="1692">
        <f>SUM(K133:K136)</f>
        <v>2324</v>
      </c>
      <c r="L137" s="1692">
        <f>SUM(L133:L136)</f>
        <v>2350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2324</v>
      </c>
      <c r="I139" s="477"/>
      <c r="J139" s="617"/>
      <c r="K139" s="1694">
        <f>SUM(K137,K138)</f>
        <v>2324</v>
      </c>
      <c r="L139" s="1701">
        <f>SUM(L137,L138)</f>
        <v>2350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v>0</v>
      </c>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4"/>
      <c r="C151" s="1692">
        <f>SUM(C129,C130,C139,C149,C150)</f>
        <v>404776</v>
      </c>
      <c r="D151" s="1692">
        <f t="shared" ref="D151:K151" si="16">SUM(D129,D130,D139,D149,D150)</f>
        <v>74087</v>
      </c>
      <c r="E151" s="1692">
        <f t="shared" si="16"/>
        <v>208028</v>
      </c>
      <c r="F151" s="1692">
        <f t="shared" si="16"/>
        <v>388998</v>
      </c>
      <c r="G151" s="1692">
        <f t="shared" si="16"/>
        <v>48199</v>
      </c>
      <c r="H151" s="1692">
        <f t="shared" si="16"/>
        <v>2324</v>
      </c>
      <c r="I151" s="1692">
        <f t="shared" si="16"/>
        <v>9083</v>
      </c>
      <c r="J151" s="1692">
        <f t="shared" si="16"/>
        <v>0</v>
      </c>
      <c r="K151" s="1692">
        <f t="shared" si="16"/>
        <v>1135495</v>
      </c>
      <c r="L151" s="1692">
        <f>SUM(L129,L130,L139,L149,L150)</f>
        <v>1198500</v>
      </c>
    </row>
    <row r="152" spans="1:14" ht="12.75" customHeight="1" thickTop="1" x14ac:dyDescent="0.2">
      <c r="A152" s="2195" t="s">
        <v>1240</v>
      </c>
      <c r="B152" s="2196"/>
      <c r="C152" s="619"/>
      <c r="D152" s="619"/>
      <c r="E152" s="619"/>
      <c r="F152" s="619"/>
      <c r="G152" s="619"/>
      <c r="H152" s="619"/>
      <c r="I152" s="619"/>
      <c r="J152" s="617"/>
      <c r="K152" s="1706">
        <f>'Revenues 9-14'!D275-'Expenditures 15-22'!K151</f>
        <v>-344796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804980</v>
      </c>
      <c r="I169" s="617"/>
      <c r="J169" s="617"/>
      <c r="K169" s="1693">
        <f>SUM(C169:H169)</f>
        <v>804980</v>
      </c>
      <c r="L169" s="657">
        <v>195960</v>
      </c>
    </row>
    <row r="170" spans="1:14" ht="33.75" customHeight="1" x14ac:dyDescent="0.2">
      <c r="A170" s="670" t="s">
        <v>1769</v>
      </c>
      <c r="B170" s="672" t="s">
        <v>31</v>
      </c>
      <c r="C170" s="617"/>
      <c r="D170" s="617"/>
      <c r="E170" s="617"/>
      <c r="F170" s="617"/>
      <c r="G170" s="617"/>
      <c r="H170" s="569">
        <v>245980</v>
      </c>
      <c r="I170" s="617"/>
      <c r="J170" s="617"/>
      <c r="K170" s="1693">
        <f>SUM(C170:J170)</f>
        <v>245980</v>
      </c>
      <c r="L170" s="569">
        <v>855000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1050960</v>
      </c>
      <c r="I172" s="639"/>
      <c r="J172" s="617"/>
      <c r="K172" s="1699">
        <f>SUM(K168,K169,K170,K171)</f>
        <v>1050960</v>
      </c>
      <c r="L172" s="1699">
        <f>SUM(L168,L169,L170,L171)</f>
        <v>1050960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1050960</v>
      </c>
      <c r="I174" s="639"/>
      <c r="J174" s="617"/>
      <c r="K174" s="1699">
        <f>SUM(K160,K172,K173)</f>
        <v>1050960</v>
      </c>
      <c r="L174" s="1699">
        <f>SUM(L160,L172,L173)</f>
        <v>1050960</v>
      </c>
    </row>
    <row r="175" spans="1:14" ht="13.5" thickTop="1" x14ac:dyDescent="0.2">
      <c r="A175" s="2202" t="s">
        <v>1053</v>
      </c>
      <c r="B175" s="2203"/>
      <c r="C175" s="617"/>
      <c r="D175" s="617"/>
      <c r="E175" s="617"/>
      <c r="F175" s="617"/>
      <c r="G175" s="617"/>
      <c r="H175" s="619"/>
      <c r="I175" s="617"/>
      <c r="J175" s="617"/>
      <c r="K175" s="1706">
        <f>'Revenues 9-14'!E275-'Expenditures 15-22'!K174</f>
        <v>-336425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407098</v>
      </c>
      <c r="D182" s="466">
        <v>13446</v>
      </c>
      <c r="E182" s="466">
        <v>66635</v>
      </c>
      <c r="F182" s="466">
        <v>217427</v>
      </c>
      <c r="G182" s="466">
        <f>175374</f>
        <v>175374</v>
      </c>
      <c r="H182" s="466"/>
      <c r="I182" s="467">
        <v>1385</v>
      </c>
      <c r="J182" s="467"/>
      <c r="K182" s="1693">
        <f>SUM(C182:J182)</f>
        <v>881365</v>
      </c>
      <c r="L182" s="466">
        <v>931770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407098</v>
      </c>
      <c r="D184" s="1699">
        <f t="shared" ref="D184:J184" si="17">SUM(D180,D182,D183)</f>
        <v>13446</v>
      </c>
      <c r="E184" s="1699">
        <f t="shared" si="17"/>
        <v>66635</v>
      </c>
      <c r="F184" s="1699">
        <f t="shared" si="17"/>
        <v>217427</v>
      </c>
      <c r="G184" s="1699">
        <f t="shared" si="17"/>
        <v>175374</v>
      </c>
      <c r="H184" s="1699">
        <f t="shared" si="17"/>
        <v>0</v>
      </c>
      <c r="I184" s="1699">
        <f t="shared" si="17"/>
        <v>1385</v>
      </c>
      <c r="J184" s="1699">
        <f t="shared" si="17"/>
        <v>0</v>
      </c>
      <c r="K184" s="1699">
        <f>SUM(K180,K182,K183)</f>
        <v>881365</v>
      </c>
      <c r="L184" s="1699">
        <f>SUM(L180, L182:L183)</f>
        <v>931770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v>0</v>
      </c>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407098</v>
      </c>
      <c r="D210" s="1692">
        <f>SUM(D184,D185)</f>
        <v>13446</v>
      </c>
      <c r="E210" s="1692">
        <f>SUM(E184,E185,E196)</f>
        <v>66635</v>
      </c>
      <c r="F210" s="1692">
        <f>SUM(F184,F185)</f>
        <v>217427</v>
      </c>
      <c r="G210" s="1692">
        <f>SUM(G184,G185)</f>
        <v>175374</v>
      </c>
      <c r="H210" s="1692">
        <f>SUM(H184,H185,H196,H208,H209)</f>
        <v>0</v>
      </c>
      <c r="I210" s="1692">
        <f>SUM(I184,I185)</f>
        <v>1385</v>
      </c>
      <c r="J210" s="1692">
        <f>SUM(J184,J185)</f>
        <v>0</v>
      </c>
      <c r="K210" s="1693">
        <f>SUM(K184,K185,K196,K208,K209)</f>
        <v>881365</v>
      </c>
      <c r="L210" s="1692">
        <f>SUM(L184,L185,L196,L208,L209)</f>
        <v>931770</v>
      </c>
    </row>
    <row r="211" spans="1:14" ht="13.5" thickTop="1" x14ac:dyDescent="0.2">
      <c r="A211" s="2202" t="s">
        <v>1053</v>
      </c>
      <c r="B211" s="2203"/>
      <c r="C211" s="619"/>
      <c r="D211" s="619"/>
      <c r="E211" s="619"/>
      <c r="F211" s="619"/>
      <c r="G211" s="619"/>
      <c r="H211" s="619"/>
      <c r="I211" s="617"/>
      <c r="J211" s="617"/>
      <c r="K211" s="1706">
        <f>'Revenues 9-14'!F275-'Expenditures 15-22'!K210</f>
        <v>33967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107763</v>
      </c>
      <c r="E215" s="617"/>
      <c r="F215" s="617"/>
      <c r="G215" s="617"/>
      <c r="H215" s="617"/>
      <c r="I215" s="617"/>
      <c r="J215" s="617"/>
      <c r="K215" s="1693">
        <f>D215</f>
        <v>107763</v>
      </c>
      <c r="L215" s="466">
        <v>112550</v>
      </c>
    </row>
    <row r="216" spans="1:14" x14ac:dyDescent="0.2">
      <c r="A216" s="1526" t="s">
        <v>165</v>
      </c>
      <c r="B216" s="615" t="s">
        <v>1024</v>
      </c>
      <c r="C216" s="617"/>
      <c r="D216" s="467">
        <v>5788</v>
      </c>
      <c r="E216" s="617"/>
      <c r="F216" s="617"/>
      <c r="G216" s="617"/>
      <c r="H216" s="617"/>
      <c r="I216" s="617"/>
      <c r="J216" s="617"/>
      <c r="K216" s="1693">
        <f t="shared" ref="K216:K228" si="19">D216</f>
        <v>5788</v>
      </c>
      <c r="L216" s="466">
        <v>6300</v>
      </c>
    </row>
    <row r="217" spans="1:14" x14ac:dyDescent="0.2">
      <c r="A217" s="1526" t="s">
        <v>166</v>
      </c>
      <c r="B217" s="615">
        <v>1200</v>
      </c>
      <c r="C217" s="617"/>
      <c r="D217" s="466">
        <v>38108</v>
      </c>
      <c r="E217" s="617"/>
      <c r="F217" s="617"/>
      <c r="G217" s="617"/>
      <c r="H217" s="617"/>
      <c r="I217" s="617"/>
      <c r="J217" s="617"/>
      <c r="K217" s="1693">
        <f t="shared" si="19"/>
        <v>38108</v>
      </c>
      <c r="L217" s="466">
        <v>40050</v>
      </c>
    </row>
    <row r="218" spans="1:14" x14ac:dyDescent="0.2">
      <c r="A218" s="1526" t="s">
        <v>296</v>
      </c>
      <c r="B218" s="615" t="s">
        <v>1025</v>
      </c>
      <c r="C218" s="617"/>
      <c r="D218" s="467">
        <v>2773</v>
      </c>
      <c r="E218" s="617"/>
      <c r="F218" s="617"/>
      <c r="G218" s="617"/>
      <c r="H218" s="617"/>
      <c r="I218" s="617"/>
      <c r="J218" s="617"/>
      <c r="K218" s="1693">
        <f t="shared" si="19"/>
        <v>2773</v>
      </c>
      <c r="L218" s="466">
        <v>2950</v>
      </c>
    </row>
    <row r="219" spans="1:14" x14ac:dyDescent="0.2">
      <c r="A219" s="1526" t="s">
        <v>297</v>
      </c>
      <c r="B219" s="615">
        <v>1250</v>
      </c>
      <c r="C219" s="617"/>
      <c r="D219" s="466">
        <v>2265</v>
      </c>
      <c r="E219" s="617"/>
      <c r="F219" s="617"/>
      <c r="G219" s="617"/>
      <c r="H219" s="617"/>
      <c r="I219" s="617"/>
      <c r="J219" s="617"/>
      <c r="K219" s="1693">
        <f t="shared" si="19"/>
        <v>2265</v>
      </c>
      <c r="L219" s="466">
        <v>2300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5400</v>
      </c>
      <c r="E222" s="617"/>
      <c r="F222" s="617"/>
      <c r="G222" s="617"/>
      <c r="H222" s="617"/>
      <c r="I222" s="617"/>
      <c r="J222" s="617"/>
      <c r="K222" s="1693">
        <f t="shared" si="19"/>
        <v>5400</v>
      </c>
      <c r="L222" s="466">
        <v>5400</v>
      </c>
    </row>
    <row r="223" spans="1:14" x14ac:dyDescent="0.2">
      <c r="A223" s="1526" t="s">
        <v>1020</v>
      </c>
      <c r="B223" s="615">
        <v>1500</v>
      </c>
      <c r="C223" s="617"/>
      <c r="D223" s="466">
        <v>9753</v>
      </c>
      <c r="E223" s="617"/>
      <c r="F223" s="617"/>
      <c r="G223" s="617"/>
      <c r="H223" s="617"/>
      <c r="I223" s="617"/>
      <c r="J223" s="617"/>
      <c r="K223" s="1693">
        <f t="shared" si="19"/>
        <v>9753</v>
      </c>
      <c r="L223" s="466">
        <v>11500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129</v>
      </c>
      <c r="E225" s="617"/>
      <c r="F225" s="617"/>
      <c r="G225" s="617"/>
      <c r="H225" s="617"/>
      <c r="I225" s="617"/>
      <c r="J225" s="617"/>
      <c r="K225" s="1693">
        <f t="shared" si="19"/>
        <v>129</v>
      </c>
      <c r="L225" s="466">
        <v>200</v>
      </c>
    </row>
    <row r="226" spans="1:12" x14ac:dyDescent="0.2">
      <c r="A226" s="1526" t="s">
        <v>748</v>
      </c>
      <c r="B226" s="615" t="s">
        <v>164</v>
      </c>
      <c r="C226" s="617"/>
      <c r="D226" s="467">
        <v>1291</v>
      </c>
      <c r="E226" s="617"/>
      <c r="F226" s="617"/>
      <c r="G226" s="617"/>
      <c r="H226" s="617"/>
      <c r="I226" s="617"/>
      <c r="J226" s="617"/>
      <c r="K226" s="1693">
        <f t="shared" si="19"/>
        <v>1291</v>
      </c>
      <c r="L226" s="466">
        <v>1275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173270</v>
      </c>
      <c r="E229" s="617"/>
      <c r="F229" s="617"/>
      <c r="G229" s="617"/>
      <c r="H229" s="617"/>
      <c r="I229" s="617"/>
      <c r="J229" s="617"/>
      <c r="K229" s="1692">
        <f>SUM(K215:K228)</f>
        <v>173270</v>
      </c>
      <c r="L229" s="1692">
        <f>SUM(L215:L228)</f>
        <v>182525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670</v>
      </c>
      <c r="E232" s="617"/>
      <c r="F232" s="617"/>
      <c r="G232" s="617"/>
      <c r="H232" s="617"/>
      <c r="I232" s="617"/>
      <c r="J232" s="617"/>
      <c r="K232" s="1693">
        <f t="shared" ref="K232:K237" si="20">D232</f>
        <v>670</v>
      </c>
      <c r="L232" s="466">
        <v>750</v>
      </c>
    </row>
    <row r="233" spans="1:12" x14ac:dyDescent="0.2">
      <c r="A233" s="1526" t="s">
        <v>1151</v>
      </c>
      <c r="B233" s="615">
        <v>2120</v>
      </c>
      <c r="C233" s="617"/>
      <c r="D233" s="466">
        <v>8367</v>
      </c>
      <c r="E233" s="617"/>
      <c r="F233" s="617"/>
      <c r="G233" s="617"/>
      <c r="H233" s="617"/>
      <c r="I233" s="617"/>
      <c r="J233" s="617"/>
      <c r="K233" s="1693">
        <f t="shared" si="20"/>
        <v>8367</v>
      </c>
      <c r="L233" s="466">
        <v>8425</v>
      </c>
    </row>
    <row r="234" spans="1:12" x14ac:dyDescent="0.2">
      <c r="A234" s="1526" t="s">
        <v>207</v>
      </c>
      <c r="B234" s="615">
        <v>2130</v>
      </c>
      <c r="C234" s="617"/>
      <c r="D234" s="466">
        <v>7734</v>
      </c>
      <c r="E234" s="617"/>
      <c r="F234" s="617"/>
      <c r="G234" s="617"/>
      <c r="H234" s="617"/>
      <c r="I234" s="617"/>
      <c r="J234" s="617"/>
      <c r="K234" s="1693">
        <f t="shared" si="20"/>
        <v>7734</v>
      </c>
      <c r="L234" s="466">
        <v>7900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1746</v>
      </c>
      <c r="E236" s="617"/>
      <c r="F236" s="617"/>
      <c r="G236" s="617"/>
      <c r="H236" s="617"/>
      <c r="I236" s="617"/>
      <c r="J236" s="617"/>
      <c r="K236" s="1693">
        <f t="shared" si="20"/>
        <v>1746</v>
      </c>
      <c r="L236" s="466">
        <v>1800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18517</v>
      </c>
      <c r="E238" s="617"/>
      <c r="F238" s="617"/>
      <c r="G238" s="617"/>
      <c r="H238" s="617"/>
      <c r="I238" s="617"/>
      <c r="J238" s="617"/>
      <c r="K238" s="1692">
        <f>SUM(K232:K237)</f>
        <v>18517</v>
      </c>
      <c r="L238" s="1692">
        <f>SUM(L232:L237)</f>
        <v>18875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385</v>
      </c>
      <c r="E240" s="617"/>
      <c r="F240" s="617"/>
      <c r="G240" s="617"/>
      <c r="H240" s="617"/>
      <c r="I240" s="617"/>
      <c r="J240" s="617"/>
      <c r="K240" s="1694">
        <f>D240</f>
        <v>385</v>
      </c>
      <c r="L240" s="481">
        <v>650</v>
      </c>
    </row>
    <row r="241" spans="1:12" x14ac:dyDescent="0.2">
      <c r="A241" s="1526" t="s">
        <v>869</v>
      </c>
      <c r="B241" s="615">
        <v>2220</v>
      </c>
      <c r="C241" s="617"/>
      <c r="D241" s="466">
        <v>9679</v>
      </c>
      <c r="E241" s="617"/>
      <c r="F241" s="617"/>
      <c r="G241" s="617"/>
      <c r="H241" s="617"/>
      <c r="I241" s="617"/>
      <c r="J241" s="617"/>
      <c r="K241" s="1694">
        <f>D241</f>
        <v>9679</v>
      </c>
      <c r="L241" s="466">
        <v>10275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10064</v>
      </c>
      <c r="E243" s="617"/>
      <c r="F243" s="617"/>
      <c r="G243" s="617"/>
      <c r="H243" s="617"/>
      <c r="I243" s="617"/>
      <c r="J243" s="617"/>
      <c r="K243" s="1692">
        <f>SUM(K240:K242)</f>
        <v>10064</v>
      </c>
      <c r="L243" s="1692">
        <f>SUM(L240:L242)</f>
        <v>10925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12272</v>
      </c>
      <c r="E246" s="617"/>
      <c r="F246" s="617"/>
      <c r="G246" s="617"/>
      <c r="H246" s="617"/>
      <c r="I246" s="617"/>
      <c r="J246" s="617"/>
      <c r="K246" s="1694">
        <f t="shared" ref="K246:K256" si="21">D246</f>
        <v>12272</v>
      </c>
      <c r="L246" s="466">
        <v>12275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5646</v>
      </c>
      <c r="E254" s="617"/>
      <c r="F254" s="617"/>
      <c r="G254" s="617"/>
      <c r="H254" s="617"/>
      <c r="I254" s="617"/>
      <c r="J254" s="617"/>
      <c r="K254" s="1694">
        <f t="shared" si="21"/>
        <v>5646</v>
      </c>
      <c r="L254" s="466">
        <v>6350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17918</v>
      </c>
      <c r="E257" s="617"/>
      <c r="F257" s="617"/>
      <c r="G257" s="617"/>
      <c r="H257" s="617"/>
      <c r="I257" s="617"/>
      <c r="J257" s="617"/>
      <c r="K257" s="1692">
        <f>SUM(K245:K256)</f>
        <v>17918</v>
      </c>
      <c r="L257" s="1692">
        <f>SUM(L245:L256)</f>
        <v>18625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38166</v>
      </c>
      <c r="E259" s="617"/>
      <c r="F259" s="617"/>
      <c r="G259" s="617"/>
      <c r="H259" s="617"/>
      <c r="I259" s="617"/>
      <c r="J259" s="617"/>
      <c r="K259" s="1694">
        <f>D259</f>
        <v>38166</v>
      </c>
      <c r="L259" s="481">
        <v>40800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38166</v>
      </c>
      <c r="E261" s="617"/>
      <c r="F261" s="617"/>
      <c r="G261" s="617"/>
      <c r="H261" s="617"/>
      <c r="I261" s="617"/>
      <c r="J261" s="617"/>
      <c r="K261" s="1692">
        <f>SUM(K259:K260)</f>
        <v>38166</v>
      </c>
      <c r="L261" s="1692">
        <f>SUM(L259:L260)</f>
        <v>40800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19991</v>
      </c>
      <c r="E264" s="617"/>
      <c r="F264" s="617"/>
      <c r="G264" s="617"/>
      <c r="H264" s="617"/>
      <c r="I264" s="617"/>
      <c r="J264" s="617"/>
      <c r="K264" s="1694">
        <f t="shared" ref="K264:K269" si="22">D264</f>
        <v>19991</v>
      </c>
      <c r="L264" s="466">
        <v>21500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77391</v>
      </c>
      <c r="E266" s="617"/>
      <c r="F266" s="617"/>
      <c r="G266" s="617"/>
      <c r="H266" s="617"/>
      <c r="I266" s="617"/>
      <c r="J266" s="617"/>
      <c r="K266" s="1694">
        <f t="shared" si="22"/>
        <v>77391</v>
      </c>
      <c r="L266" s="466">
        <v>82450</v>
      </c>
    </row>
    <row r="267" spans="1:14" x14ac:dyDescent="0.2">
      <c r="A267" s="1526" t="s">
        <v>1010</v>
      </c>
      <c r="B267" s="615">
        <v>2550</v>
      </c>
      <c r="C267" s="617"/>
      <c r="D267" s="466">
        <v>74938</v>
      </c>
      <c r="E267" s="617"/>
      <c r="F267" s="617"/>
      <c r="G267" s="617"/>
      <c r="H267" s="617"/>
      <c r="I267" s="617"/>
      <c r="J267" s="617"/>
      <c r="K267" s="1694">
        <f t="shared" si="22"/>
        <v>74938</v>
      </c>
      <c r="L267" s="466">
        <v>79125</v>
      </c>
    </row>
    <row r="268" spans="1:14" x14ac:dyDescent="0.2">
      <c r="A268" s="1526" t="s">
        <v>102</v>
      </c>
      <c r="B268" s="615">
        <v>2560</v>
      </c>
      <c r="C268" s="617"/>
      <c r="D268" s="466">
        <v>53500</v>
      </c>
      <c r="E268" s="617"/>
      <c r="F268" s="617"/>
      <c r="G268" s="617"/>
      <c r="H268" s="617"/>
      <c r="I268" s="617"/>
      <c r="J268" s="617"/>
      <c r="K268" s="1694">
        <f t="shared" si="22"/>
        <v>53500</v>
      </c>
      <c r="L268" s="466">
        <v>56775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225820</v>
      </c>
      <c r="E270" s="617"/>
      <c r="F270" s="617"/>
      <c r="G270" s="617"/>
      <c r="H270" s="617"/>
      <c r="I270" s="617"/>
      <c r="J270" s="617"/>
      <c r="K270" s="1692">
        <f>SUM(K263:K269)</f>
        <v>225820</v>
      </c>
      <c r="L270" s="1692">
        <f>SUM(L263:L269)</f>
        <v>239850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310485</v>
      </c>
      <c r="E279" s="617"/>
      <c r="F279" s="617"/>
      <c r="G279" s="617"/>
      <c r="H279" s="617"/>
      <c r="I279" s="617"/>
      <c r="J279" s="617"/>
      <c r="K279" s="1699">
        <f>SUM(K238,K243,K257,K261,K270,K277,K278)</f>
        <v>310485</v>
      </c>
      <c r="L279" s="1699">
        <f>SUM(L238,L243,L257,L261,L270,L277,L278)</f>
        <v>329075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483755</v>
      </c>
      <c r="E295" s="617"/>
      <c r="F295" s="617"/>
      <c r="G295" s="617"/>
      <c r="H295" s="1692">
        <f>H293</f>
        <v>0</v>
      </c>
      <c r="I295" s="617"/>
      <c r="J295" s="617"/>
      <c r="K295" s="1692">
        <f>SUM(K229,K279,K280,K285,K293,K294)</f>
        <v>483755</v>
      </c>
      <c r="L295" s="1692">
        <f>SUM(L229,L279,L280,L285,L293,L294)</f>
        <v>511600</v>
      </c>
    </row>
    <row r="296" spans="1:14" ht="13.5" thickTop="1" x14ac:dyDescent="0.2">
      <c r="A296" s="2202" t="s">
        <v>1053</v>
      </c>
      <c r="B296" s="2203"/>
      <c r="C296" s="617"/>
      <c r="D296" s="619"/>
      <c r="E296" s="617"/>
      <c r="F296" s="617"/>
      <c r="G296" s="617"/>
      <c r="H296" s="688"/>
      <c r="I296" s="617"/>
      <c r="J296" s="617"/>
      <c r="K296" s="1706">
        <f>'Revenues 9-14'!G275-'Expenditures 15-22'!K295</f>
        <v>-87851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145490</v>
      </c>
      <c r="F301" s="466"/>
      <c r="G301" s="466"/>
      <c r="H301" s="466"/>
      <c r="I301" s="467"/>
      <c r="J301" s="467"/>
      <c r="K301" s="1693">
        <f>SUM(C301:J301)</f>
        <v>145490</v>
      </c>
      <c r="L301" s="467">
        <v>150000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145490</v>
      </c>
      <c r="F303" s="1699">
        <f t="shared" si="23"/>
        <v>0</v>
      </c>
      <c r="G303" s="1699">
        <f t="shared" si="23"/>
        <v>0</v>
      </c>
      <c r="H303" s="1699">
        <f t="shared" si="23"/>
        <v>0</v>
      </c>
      <c r="I303" s="1699">
        <f t="shared" si="23"/>
        <v>0</v>
      </c>
      <c r="J303" s="1699">
        <f t="shared" si="23"/>
        <v>0</v>
      </c>
      <c r="K303" s="1699">
        <f t="shared" si="23"/>
        <v>145490</v>
      </c>
      <c r="L303" s="1699">
        <f t="shared" si="23"/>
        <v>150000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145490</v>
      </c>
      <c r="F312" s="1692">
        <f>SUM(F303)</f>
        <v>0</v>
      </c>
      <c r="G312" s="1692">
        <f>SUM(G303)</f>
        <v>0</v>
      </c>
      <c r="H312" s="1692">
        <f>SUM(H303,H310)</f>
        <v>0</v>
      </c>
      <c r="I312" s="1692">
        <f>SUM(I303)</f>
        <v>0</v>
      </c>
      <c r="J312" s="1692">
        <f>SUM(J303)</f>
        <v>0</v>
      </c>
      <c r="K312" s="1692">
        <f>SUM(K303,K310,K311)</f>
        <v>145490</v>
      </c>
      <c r="L312" s="1692">
        <f>SUM(L303,L310,L311)</f>
        <v>150000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276586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837</v>
      </c>
      <c r="F321" s="467"/>
      <c r="G321" s="467"/>
      <c r="H321" s="467"/>
      <c r="I321" s="467"/>
      <c r="J321" s="467"/>
      <c r="K321" s="1693">
        <f t="shared" si="24"/>
        <v>837</v>
      </c>
      <c r="L321" s="467">
        <v>10000</v>
      </c>
      <c r="M321" s="666"/>
      <c r="N321" s="666"/>
    </row>
    <row r="322" spans="1:14" s="675" customFormat="1" x14ac:dyDescent="0.2">
      <c r="A322" s="1541" t="s">
        <v>256</v>
      </c>
      <c r="B322" s="698" t="s">
        <v>302</v>
      </c>
      <c r="C322" s="467"/>
      <c r="D322" s="467"/>
      <c r="E322" s="467">
        <v>206611</v>
      </c>
      <c r="F322" s="467"/>
      <c r="G322" s="467"/>
      <c r="H322" s="467"/>
      <c r="I322" s="467"/>
      <c r="J322" s="467"/>
      <c r="K322" s="1693">
        <f t="shared" si="24"/>
        <v>206611</v>
      </c>
      <c r="L322" s="467">
        <v>210000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38399</v>
      </c>
      <c r="D325" s="467"/>
      <c r="E325" s="467">
        <v>89366</v>
      </c>
      <c r="F325" s="467"/>
      <c r="G325" s="467"/>
      <c r="H325" s="467"/>
      <c r="I325" s="467"/>
      <c r="J325" s="467"/>
      <c r="K325" s="1693">
        <f t="shared" si="24"/>
        <v>127765</v>
      </c>
      <c r="L325" s="467">
        <v>150000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36639</v>
      </c>
      <c r="F327" s="467"/>
      <c r="G327" s="467"/>
      <c r="H327" s="467"/>
      <c r="I327" s="467"/>
      <c r="J327" s="467"/>
      <c r="K327" s="1693">
        <f t="shared" si="24"/>
        <v>36639</v>
      </c>
      <c r="L327" s="467">
        <v>75000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38399</v>
      </c>
      <c r="D330" s="1692">
        <f t="shared" ref="D330:J330" si="25">SUM(D319:D329)</f>
        <v>0</v>
      </c>
      <c r="E330" s="1692">
        <f t="shared" si="25"/>
        <v>333453</v>
      </c>
      <c r="F330" s="1692">
        <f t="shared" si="25"/>
        <v>0</v>
      </c>
      <c r="G330" s="1692">
        <f t="shared" si="25"/>
        <v>0</v>
      </c>
      <c r="H330" s="1692">
        <f t="shared" si="25"/>
        <v>0</v>
      </c>
      <c r="I330" s="1692">
        <f t="shared" si="25"/>
        <v>0</v>
      </c>
      <c r="J330" s="1692">
        <f t="shared" si="25"/>
        <v>0</v>
      </c>
      <c r="K330" s="1692">
        <f>SUM(K319:K329)</f>
        <v>371852</v>
      </c>
      <c r="L330" s="1692">
        <f>SUM(L319:L329)</f>
        <v>445000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38399</v>
      </c>
      <c r="D342" s="1692">
        <f>SUM(D330)</f>
        <v>0</v>
      </c>
      <c r="E342" s="1692">
        <f>SUM(E330)</f>
        <v>333453</v>
      </c>
      <c r="F342" s="1692">
        <f>SUM(F330)</f>
        <v>0</v>
      </c>
      <c r="G342" s="1692">
        <f>SUM(G330)</f>
        <v>0</v>
      </c>
      <c r="H342" s="1692">
        <f>SUM(H330,H334,H340)</f>
        <v>0</v>
      </c>
      <c r="I342" s="1692">
        <f>SUM(I330)</f>
        <v>0</v>
      </c>
      <c r="J342" s="1692">
        <f>SUM(J330)</f>
        <v>0</v>
      </c>
      <c r="K342" s="1692">
        <f>SUM(K330,K334,K340)</f>
        <v>371852</v>
      </c>
      <c r="L342" s="1699">
        <f>SUM(L330,L340,L341)</f>
        <v>445000</v>
      </c>
    </row>
    <row r="343" spans="1:14" ht="12.75" customHeight="1" thickTop="1" x14ac:dyDescent="0.2">
      <c r="A343" s="2188" t="s">
        <v>1053</v>
      </c>
      <c r="B343" s="2189"/>
      <c r="C343" s="617"/>
      <c r="D343" s="617"/>
      <c r="E343" s="617"/>
      <c r="F343" s="617"/>
      <c r="G343" s="617"/>
      <c r="H343" s="617"/>
      <c r="I343" s="617"/>
      <c r="J343" s="617"/>
      <c r="K343" s="1706">
        <f>'Revenues 9-14'!J275-'Expenditures 15-22'!K342</f>
        <v>-43353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592399</v>
      </c>
      <c r="H348" s="466"/>
      <c r="I348" s="467"/>
      <c r="J348" s="467"/>
      <c r="K348" s="1693">
        <f>SUM(C348:J348)</f>
        <v>592399</v>
      </c>
      <c r="L348" s="466">
        <v>675000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592399</v>
      </c>
      <c r="H350" s="1692">
        <f t="shared" si="26"/>
        <v>0</v>
      </c>
      <c r="I350" s="1692">
        <f t="shared" si="26"/>
        <v>0</v>
      </c>
      <c r="J350" s="1692">
        <f t="shared" si="26"/>
        <v>0</v>
      </c>
      <c r="K350" s="1692">
        <f t="shared" si="26"/>
        <v>592399</v>
      </c>
      <c r="L350" s="1692">
        <f t="shared" si="26"/>
        <v>675000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592399</v>
      </c>
      <c r="H352" s="1692">
        <f t="shared" si="27"/>
        <v>0</v>
      </c>
      <c r="I352" s="1692">
        <f t="shared" si="27"/>
        <v>0</v>
      </c>
      <c r="J352" s="1692">
        <f t="shared" si="27"/>
        <v>0</v>
      </c>
      <c r="K352" s="1692">
        <f t="shared" si="27"/>
        <v>592399</v>
      </c>
      <c r="L352" s="1692">
        <f t="shared" si="27"/>
        <v>675000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592399</v>
      </c>
      <c r="H367" s="1692">
        <f t="shared" si="28"/>
        <v>0</v>
      </c>
      <c r="I367" s="1692">
        <f t="shared" si="28"/>
        <v>0</v>
      </c>
      <c r="J367" s="1692">
        <f t="shared" si="28"/>
        <v>0</v>
      </c>
      <c r="K367" s="1692">
        <f t="shared" si="28"/>
        <v>592399</v>
      </c>
      <c r="L367" s="1692">
        <f t="shared" si="28"/>
        <v>675000</v>
      </c>
    </row>
    <row r="368" spans="1:14" ht="13.5" thickTop="1" x14ac:dyDescent="0.2">
      <c r="A368" s="2202" t="s">
        <v>1053</v>
      </c>
      <c r="B368" s="2203"/>
      <c r="C368" s="655"/>
      <c r="D368" s="655"/>
      <c r="E368" s="627"/>
      <c r="F368" s="627"/>
      <c r="G368" s="627"/>
      <c r="H368" s="627"/>
      <c r="I368" s="627"/>
      <c r="J368" s="624"/>
      <c r="K368" s="1693">
        <f>'Revenues 9-14'!K275-'Expenditures 15-22'!K367</f>
        <v>-535900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d21dc803-237d-4c68-8692-8d731fd29118"/>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purl.org/dc/elements/1.1/"/>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SEFA2</vt:lpstr>
      <vt:lpstr> SEFA3</vt:lpstr>
      <vt:lpstr>SF&amp;QC Sec-1</vt:lpstr>
      <vt:lpstr>SF&amp;QC Sec-2</vt:lpstr>
      <vt:lpstr>SF&amp;QC Sec-2 (2)</vt:lpstr>
      <vt:lpstr>SF&amp;QC Sec-2 (3)</vt:lpstr>
      <vt:lpstr>SF&amp;QC Sec-2 (4)</vt:lpstr>
      <vt:lpstr>SF&amp;QC Sec-3</vt:lpstr>
      <vt:lpstr>SSPAF</vt:lpstr>
      <vt:lpstr>' SEFA'!Print_Area</vt:lpstr>
      <vt:lpstr>' SEFA2'!Print_Area</vt:lpstr>
      <vt:lpstr>' SEFA3'!Print_Area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2018-09-13T14:59:23Z</cp:lastPrinted>
  <dcterms:created xsi:type="dcterms:W3CDTF">2003-10-29T19:06:34Z</dcterms:created>
  <dcterms:modified xsi:type="dcterms:W3CDTF">2018-10-16T15:55:55Z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